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9C51EA1-38D9-447B-9966-6F64D69A1455}" xr6:coauthVersionLast="36" xr6:coauthVersionMax="36" xr10:uidLastSave="{00000000-0000-0000-0000-000000000000}"/>
  <bookViews>
    <workbookView xWindow="-120" yWindow="-120" windowWidth="20640" windowHeight="11160" tabRatio="831" xr2:uid="{37A82E68-54D0-4FAD-86EF-BCF30915A564}"/>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71" i="29" l="1"/>
  <c r="D274" i="29" l="1"/>
  <c r="D245" i="29"/>
  <c r="D246" i="29"/>
  <c r="D235" i="29"/>
  <c r="D237" i="29"/>
  <c r="D234" i="29"/>
  <c r="D232" i="29"/>
  <c r="D227" i="29"/>
  <c r="D219" i="29"/>
  <c r="C96" i="5" l="1"/>
  <c r="C107" i="5"/>
  <c r="C81" i="5"/>
  <c r="C79" i="5"/>
  <c r="C74"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F27" i="108"/>
  <c r="G27" i="108"/>
  <c r="F31" i="108"/>
  <c r="F36" i="108"/>
  <c r="G28" i="108"/>
  <c r="G30" i="108"/>
  <c r="D31" i="108"/>
  <c r="D36" i="108"/>
  <c r="E31" i="108"/>
  <c r="G31"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B2633" i="106"/>
  <c r="D2633" i="106" s="1"/>
  <c r="D7" i="118"/>
  <c r="D8" i="118"/>
  <c r="D9" i="118"/>
  <c r="H14" i="118"/>
  <c r="H19" i="118"/>
  <c r="H24" i="118"/>
  <c r="H28" i="118"/>
  <c r="D22" i="37"/>
  <c r="J22" i="37"/>
  <c r="D24" i="37" l="1"/>
  <c r="B4270" i="106" s="1"/>
  <c r="D4270" i="106" s="1"/>
  <c r="F36" i="34"/>
  <c r="G33" i="108"/>
  <c r="F68" i="34"/>
  <c r="B2724" i="106"/>
  <c r="D2724" i="106" s="1"/>
  <c r="G35" i="108"/>
  <c r="H76" i="4"/>
  <c r="B3298" i="106" s="1"/>
  <c r="D3298" i="106" s="1"/>
  <c r="L13" i="11"/>
  <c r="B2060" i="106" s="1"/>
  <c r="D2060" i="106" s="1"/>
  <c r="L5" i="11"/>
  <c r="H33" i="118"/>
  <c r="C129" i="29"/>
  <c r="C151" i="29" s="1"/>
  <c r="B1226" i="106" s="1"/>
  <c r="D1226" i="106" s="1"/>
  <c r="F56" i="34"/>
  <c r="C342" i="29"/>
  <c r="B7216" i="106" s="1"/>
  <c r="D7216" i="106" s="1"/>
  <c r="E30" i="108"/>
  <c r="F70" i="34"/>
  <c r="F62" i="34"/>
  <c r="E38" i="108"/>
  <c r="B2805" i="106"/>
  <c r="D2805" i="106" s="1"/>
  <c r="H112" i="29"/>
  <c r="B7018" i="106" s="1"/>
  <c r="D7018" i="106" s="1"/>
  <c r="J129" i="29"/>
  <c r="B7038" i="106" s="1"/>
  <c r="D7038" i="106" s="1"/>
  <c r="F34" i="34"/>
  <c r="J210" i="29"/>
  <c r="B7072" i="106" s="1"/>
  <c r="D7072" i="106" s="1"/>
  <c r="G14" i="4"/>
  <c r="B2609" i="106" s="1"/>
  <c r="D2609" i="106" s="1"/>
  <c r="F42" i="34"/>
  <c r="G210" i="29"/>
  <c r="B1365" i="106" s="1"/>
  <c r="D1365" i="106" s="1"/>
  <c r="G39" i="108"/>
  <c r="F38" i="34"/>
  <c r="L342" i="29"/>
  <c r="F28" i="108"/>
  <c r="B3647" i="106"/>
  <c r="D3647" i="106" s="1"/>
  <c r="F72" i="34"/>
  <c r="F44" i="34"/>
  <c r="F71" i="34"/>
  <c r="F46" i="34"/>
  <c r="G38" i="108"/>
  <c r="E34" i="108"/>
  <c r="L367" i="29"/>
  <c r="D9" i="7"/>
  <c r="B1767" i="106" s="1"/>
  <c r="D1767" i="106" s="1"/>
  <c r="B6289" i="106"/>
  <c r="D6289" i="106" s="1"/>
  <c r="K184" i="29"/>
  <c r="F13" i="4" s="1"/>
  <c r="B2596" i="106" s="1"/>
  <c r="D2596" i="106" s="1"/>
  <c r="I210" i="29"/>
  <c r="B7071" i="106" s="1"/>
  <c r="D7071" i="106" s="1"/>
  <c r="I129" i="29"/>
  <c r="B7037" i="106" s="1"/>
  <c r="D7037" i="106" s="1"/>
  <c r="J352" i="29"/>
  <c r="K76" i="4"/>
  <c r="B3586" i="106" s="1"/>
  <c r="D3586" i="106" s="1"/>
  <c r="H342" i="29"/>
  <c r="B7221" i="106" s="1"/>
  <c r="D7221" i="106" s="1"/>
  <c r="J41" i="3"/>
  <c r="B6216" i="106" s="1"/>
  <c r="D6216" i="106" s="1"/>
  <c r="H365" i="29"/>
  <c r="B7242" i="106" s="1"/>
  <c r="D7242" i="106" s="1"/>
  <c r="F77" i="4"/>
  <c r="B3255" i="106" s="1"/>
  <c r="D3255" i="106" s="1"/>
  <c r="G15" i="145"/>
  <c r="J49" i="8"/>
  <c r="B4172" i="106" s="1"/>
  <c r="D4172" i="106" s="1"/>
  <c r="H29" i="118"/>
  <c r="K28" i="118" s="1"/>
  <c r="O27" i="118" s="1"/>
  <c r="O29" i="118" s="1"/>
  <c r="D17" i="7"/>
  <c r="B4104" i="106" s="1"/>
  <c r="D4104" i="106" s="1"/>
  <c r="D11" i="37"/>
  <c r="F14" i="4"/>
  <c r="B2597" i="106" s="1"/>
  <c r="D2597" i="106" s="1"/>
  <c r="D37" i="108"/>
  <c r="F37" i="108"/>
  <c r="E28" i="108"/>
  <c r="D26" i="108"/>
  <c r="D31" i="36"/>
  <c r="J77" i="4"/>
  <c r="B6262" i="106" s="1"/>
  <c r="D6262" i="106" s="1"/>
  <c r="B4087" i="106"/>
  <c r="D4087" i="106" s="1"/>
  <c r="K41" i="3"/>
  <c r="L15" i="11"/>
  <c r="L22" i="37"/>
  <c r="F19" i="7"/>
  <c r="B1807" i="106" s="1"/>
  <c r="D1807" i="106" s="1"/>
  <c r="G29" i="108"/>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2059" i="106" l="1"/>
  <c r="D2059" i="106" s="1"/>
  <c r="M19" i="3"/>
  <c r="B276" i="106" s="1"/>
  <c r="D276" i="106" s="1"/>
  <c r="B2057" i="106"/>
  <c r="D2057" i="106" s="1"/>
  <c r="M17" i="3"/>
  <c r="B274" i="106" s="1"/>
  <c r="D274" i="106" s="1"/>
  <c r="B3459" i="106"/>
  <c r="D3459" i="106" s="1"/>
  <c r="M20" i="3"/>
  <c r="B2864" i="106" s="1"/>
  <c r="D2864" i="106" s="1"/>
  <c r="B2056" i="106"/>
  <c r="D2056" i="106" s="1"/>
  <c r="M16" i="3"/>
  <c r="B2058" i="106"/>
  <c r="D2058" i="106" s="1"/>
  <c r="M18" i="3"/>
  <c r="B275" i="106" s="1"/>
  <c r="D275" i="106" s="1"/>
  <c r="J151" i="29"/>
  <c r="B7052" i="106" s="1"/>
  <c r="D7052" i="106" s="1"/>
  <c r="K77" i="4"/>
  <c r="B3587" i="106" s="1"/>
  <c r="D3587" i="106" s="1"/>
  <c r="F66" i="34"/>
  <c r="F65" i="34"/>
  <c r="I7" i="4"/>
  <c r="B4444" i="106" s="1"/>
  <c r="D4444" i="106" s="1"/>
  <c r="D44" i="36"/>
  <c r="D51" i="36"/>
  <c r="B1328" i="106"/>
  <c r="D1328" i="106" s="1"/>
  <c r="I151" i="29"/>
  <c r="F59" i="34" s="1"/>
  <c r="L114" i="29"/>
  <c r="F41" i="108"/>
  <c r="G43" i="108" s="1"/>
  <c r="B1266" i="106"/>
  <c r="D1266" i="106" s="1"/>
  <c r="C114" i="29"/>
  <c r="B757" i="106" s="1"/>
  <c r="D757" i="106" s="1"/>
  <c r="K342" i="29"/>
  <c r="F13" i="34" s="1"/>
  <c r="B5770" i="106"/>
  <c r="D5770" i="106" s="1"/>
  <c r="G6" i="4"/>
  <c r="B2604" i="106" s="1"/>
  <c r="D2604" i="106" s="1"/>
  <c r="K365" i="29"/>
  <c r="K16" i="4" s="1"/>
  <c r="J16" i="4"/>
  <c r="B6226" i="106" s="1"/>
  <c r="D6226" i="106" s="1"/>
  <c r="D7256" i="106"/>
  <c r="D7251" i="106"/>
  <c r="N22" i="3"/>
  <c r="J367" i="29"/>
  <c r="B7245" i="106" s="1"/>
  <c r="D7245" i="106" s="1"/>
  <c r="B7235" i="106"/>
  <c r="D7235" i="106" s="1"/>
  <c r="B1381" i="106"/>
  <c r="D1381" i="106" s="1"/>
  <c r="D41" i="108"/>
  <c r="E43" i="108" s="1"/>
  <c r="L16" i="11"/>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061" i="106" l="1"/>
  <c r="D2061" i="106" s="1"/>
  <c r="M40" i="3"/>
  <c r="B273" i="106"/>
  <c r="D273" i="106" s="1"/>
  <c r="M23" i="3"/>
  <c r="B279" i="106" s="1"/>
  <c r="D279" i="106" s="1"/>
  <c r="B7243" i="106"/>
  <c r="D7243" i="106" s="1"/>
  <c r="F24" i="37"/>
  <c r="B7224" i="106"/>
  <c r="D7224" i="106" s="1"/>
  <c r="B1145" i="106"/>
  <c r="D1145" i="106" s="1"/>
  <c r="K367" i="29"/>
  <c r="K368" i="29" s="1"/>
  <c r="B3681" i="106" s="1"/>
  <c r="D3681" i="106" s="1"/>
  <c r="B283" i="106"/>
  <c r="D283" i="106" s="1"/>
  <c r="N23" i="3"/>
  <c r="B284" i="106" s="1"/>
  <c r="D28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3678" i="106"/>
  <c r="D3678" i="106" s="1"/>
  <c r="B6223" i="106"/>
  <c r="D6223" i="106" s="1"/>
  <c r="B6227" i="106"/>
  <c r="D6227" i="106" s="1"/>
  <c r="F8" i="4"/>
  <c r="F10" i="4" s="1"/>
  <c r="B4125" i="106" s="1"/>
  <c r="D4125" i="106" s="1"/>
  <c r="J20" i="4"/>
  <c r="B6230" i="106" s="1"/>
  <c r="D6230" i="106" s="1"/>
  <c r="K17" i="4"/>
  <c r="B3575" i="106" s="1"/>
  <c r="D357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D8" i="146"/>
  <c r="J78" i="4"/>
  <c r="B6263" i="106" s="1"/>
  <c r="D6263" i="106" s="1"/>
  <c r="B2595" i="106"/>
  <c r="D2595" i="106" s="1"/>
  <c r="K20" i="4"/>
  <c r="B3576" i="106" s="1"/>
  <c r="D3576" i="106"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K78" i="4"/>
  <c r="B3588" i="106" s="1"/>
  <c r="D3588" i="106" s="1"/>
  <c r="F8" i="146"/>
  <c r="D10" i="146"/>
  <c r="J81" i="4"/>
  <c r="B6266" i="106" s="1"/>
  <c r="D6266" i="106" s="1"/>
  <c r="D78" i="4"/>
  <c r="D81" i="4" s="1"/>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J82" i="4" l="1"/>
  <c r="F177" i="34"/>
  <c r="F179" i="34" s="1"/>
  <c r="K81" i="4"/>
  <c r="B3591" i="106" s="1"/>
  <c r="D3591" i="106" s="1"/>
  <c r="F10" i="146"/>
  <c r="D64" i="36"/>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D65" i="36"/>
  <c r="J83" i="4"/>
  <c r="B6283" i="106" s="1"/>
  <c r="D6283" i="106" s="1"/>
  <c r="B6274" i="106"/>
  <c r="D6274" i="106" s="1"/>
  <c r="D82" i="4"/>
  <c r="B1644" i="106"/>
  <c r="D1644" i="106" s="1"/>
  <c r="D58" i="36"/>
  <c r="C11" i="146"/>
  <c r="K82" i="4" l="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<sst xmlns="http://schemas.openxmlformats.org/spreadsheetml/2006/main" count="5125" uniqueCount="2126">
  <si>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</si>
  <si>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</si>
  <si>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</si>
  <si>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</si>
  <si>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</si>
  <si>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</si>
  <si>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</si>
  <si>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</si>
  <si>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</si>
  <si>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</si>
  <si>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</si>
  <si>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</si>
  <si>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</si>
  <si>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</si>
  <si>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</si>
  <si>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</si>
  <si>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</si>
  <si>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</si>
  <si>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</si>
  <si>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</si>
  <si>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</si>
  <si>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</si>
  <si>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</si>
  <si>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</si>
  <si>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</si>
  <si>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</si>
  <si>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</si>
  <si>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</si>
  <si>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</si>
  <si>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</si>
  <si>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</si>
  <si>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</si>
  <si>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</si>
  <si>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</si>
  <si>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</si>
  <si>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</si>
  <si>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</si>
  <si>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</si>
  <si>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</si>
  <si>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</si>
  <si>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</si>
  <si>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</si>
  <si>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</si>
  <si>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</si>
  <si>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</si>
  <si>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</si>
  <si>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</si>
  <si>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</si>
  <si>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</si>
  <si>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</si>
  <si>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</si>
  <si>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</si>
  <si>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</si>
  <si>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</si>
  <si>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</si>
  <si>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</si>
  <si>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</si>
  <si>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</si>
  <si>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</si>
  <si>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</si>
  <si>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</si>
  <si>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</si>
  <si>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</si>
  <si>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</si>
  <si>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</si>
  <si>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</si>
  <si>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</si>
  <si>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</si>
  <si>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</si>
  <si>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</si>
  <si>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</si>
  <si>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</si>
  <si>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</si>
  <si>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</si>
  <si>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</si>
  <si>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</si>
  <si>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</si>
  <si>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</si>
  <si>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</si>
  <si>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</si>
  <si>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</si>
  <si>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</si>
  <si>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</si>
  <si>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</si>
  <si>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</si>
  <si>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</si>
  <si>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</si>
  <si>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</si>
  <si>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</si>
  <si>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</si>
  <si>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</si>
  <si>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</si>
  <si>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</si>
  <si>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</si>
  <si>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</si>
  <si>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</si>
  <si>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</si>
  <si>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</si>
  <si>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</si>
  <si>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</si>
  <si>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</si>
  <si>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</si>
  <si>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</si>
  <si>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</si>
  <si>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</si>
  <si>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</si>
  <si>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</si>
  <si>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</si>
  <si>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</si>
  <si>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</si>
  <si>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</si>
  <si>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</si>
  <si>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</si>
  <si>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</si>
  <si>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</si>
  <si>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</si>
  <si>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</si>
  <si>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</si>
  <si>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</si>
  <si>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</si>
  <si>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</si>
  <si>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</si>
  <si>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</si>
  <si>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</si>
  <si>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</si>
  <si>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</si>
  <si>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</si>
  <si>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</si>
  <si>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</si>
  <si>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</si>
  <si>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</si>
  <si>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</si>
  <si>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</si>
  <si>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</si>
  <si>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</si>
  <si>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</si>
  <si>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</si>
  <si>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</si>
  <si>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</si>
  <si>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</si>
  <si>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</si>
  <si>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</si>
  <si>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</si>
  <si>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</si>
  <si>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</si>
  <si>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</si>
  <si>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</si>
  <si>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</si>
  <si>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</si>
  <si>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</si>
  <si>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</si>
  <si>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</si>
  <si>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</si>
  <si>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</si>
  <si>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</si>
  <si>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</si>
  <si>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</si>
  <si>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</si>
  <si>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</si>
  <si>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</si>
  <si>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</si>
  <si>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</si>
  <si>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</si>
  <si>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</si>
  <si>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</si>
  <si>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</si>
  <si>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</si>
  <si>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</si>
  <si>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</si>
  <si>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</si>
  <si>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</si>
  <si>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</si>
  <si>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</si>
  <si>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</si>
  <si>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</si>
  <si>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</si>
  <si>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</si>
  <si>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</si>
  <si>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</si>
  <si>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</si>
  <si>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</si>
  <si>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</si>
  <si>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</si>
  <si>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</si>
  <si>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</si>
  <si>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</si>
  <si>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</si>
  <si>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</si>
  <si>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</si>
  <si>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</si>
  <si>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</si>
  <si>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</si>
  <si>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</si>
  <si>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</si>
  <si>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</si>
  <si>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</si>
  <si>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</si>
  <si>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</si>
  <si>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</si>
  <si>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</si>
  <si>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</si>
  <si>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</si>
  <si>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</si>
  <si>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</si>
  <si>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</si>
  <si>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</si>
  <si>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</si>
  <si>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</si>
  <si>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</si>
  <si>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</si>
  <si>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</si>
  <si>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</si>
  <si>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</si>
  <si>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</si>
  <si>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</si>
  <si>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</si>
  <si>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</si>
  <si>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</si>
  <si>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</si>
  <si>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</si>
  <si>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</si>
  <si>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</si>
  <si>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</si>
  <si>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</si>
  <si>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</si>
  <si>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</si>
  <si>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</si>
  <si>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</si>
  <si>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</si>
  <si>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</si>
  <si>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</si>
  <si>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</si>
  <si>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</si>
  <si>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</si>
  <si>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</si>
  <si>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</si>
  <si>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</si>
  <si>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</si>
  <si>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</si>
  <si>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</si>
  <si>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</si>
  <si>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</si>
  <si>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</si>
  <si>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</si>
  <si>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</si>
  <si>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</si>
  <si>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</si>
  <si>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</si>
  <si>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</si>
  <si>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</si>
  <si>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</si>
  <si>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</si>
  <si>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</si>
  <si>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</si>
  <si>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</si>
  <si>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</si>
  <si>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</si>
  <si>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</si>
  <si>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</si>
  <si>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</si>
  <si>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</si>
  <si>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</si>
  <si>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</si>
  <si>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</si>
  <si>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</si>
  <si>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</si>
  <si>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</si>
  <si>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</si>
  <si>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</si>
  <si>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</si>
  <si>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</si>
  <si>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</si>
  <si>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</si>
  <si>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</si>
  <si>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</si>
  <si>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</si>
  <si>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</si>
  <si>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</si>
  <si>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</si>
  <si>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</si>
  <si>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</si>
  <si>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</si>
  <si>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</si>
  <si>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</si>
  <si>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</si>
  <si>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</si>
  <si>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</si>
  <si>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</si>
  <si>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</si>
  <si>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</si>
  <si>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</si>
  <si>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</si>
  <si>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</si>
  <si>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</si>
  <si>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</si>
  <si>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</si>
  <si>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</si>
  <si>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</si>
  <si>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</si>
  <si>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</si>
  <si>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</si>
  <si>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</si>
  <si>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</si>
  <si>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</si>
  <si>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</si>
  <si>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</si>
  <si>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</si>
  <si>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</si>
  <si>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</si>
  <si>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</si>
  <si>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</si>
  <si>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</si>
  <si>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</si>
  <si>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</si>
  <si>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</si>
  <si>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</si>
  <si>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</si>
  <si>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</si>
  <si>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</si>
  <si>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</si>
  <si>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</si>
  <si>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</si>
  <si>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</si>
  <si>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</si>
  <si>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</si>
  <si>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</si>
  <si>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</si>
  <si>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</si>
  <si>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</si>
  <si>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</si>
  <si>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</si>
  <si>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</si>
  <si>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</si>
  <si>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</si>
  <si>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</si>
  <si>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</si>
  <si>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</si>
  <si>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</si>
  <si>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</si>
  <si>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</si>
  <si>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</si>
  <si>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</si>
  <si>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</si>
  <si>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</si>
  <si>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</si>
  <si>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</si>
  <si>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</si>
  <si>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</si>
  <si>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</si>
  <si>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</si>
  <si>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</si>
  <si>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</si>
  <si>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</si>
  <si>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</si>
  <si>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</si>
  <si>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</si>
  <si>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</si>
  <si>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</si>
  <si>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</si>
  <si>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</si>
  <si>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</si>
  <si>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</si>
  <si>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</si>
  <si>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</si>
  <si>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</si>
  <si>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</si>
  <si>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</si>
  <si>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</si>
  <si>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</si>
  <si>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</si>
  <si>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</si>
  <si>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</si>
  <si>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</si>
  <si>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</si>
  <si>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</si>
  <si>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</si>
  <si>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</si>
  <si>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</si>
  <si>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</si>
  <si>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</si>
  <si>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</si>
  <si>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</si>
  <si>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</si>
  <si>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</si>
  <si>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</si>
  <si>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</si>
  <si>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</si>
  <si>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</si>
  <si>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</si>
  <si>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</si>
  <si>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</si>
  <si>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</si>
  <si>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</si>
  <si>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</si>
  <si>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</si>
  <si>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</si>
  <si>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</si>
  <si>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</si>
  <si>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</si>
  <si>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</si>
  <si>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</si>
  <si>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</si>
  <si>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</si>
  <si>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</si>
  <si>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</si>
  <si>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</si>
  <si>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</si>
  <si>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</si>
  <si>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</si>
  <si>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</si>
  <si>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</si>
  <si>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</si>
  <si>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</si>
  <si>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</si>
  <si>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</si>
  <si>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</si>
  <si>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</si>
  <si>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</si>
  <si>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</si>
  <si>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</si>
  <si>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</si>
  <si>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</si>
  <si>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</si>
  <si>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</si>
  <si>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</si>
  <si>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</si>
  <si>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</si>
  <si>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</si>
  <si>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</si>
  <si>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</si>
  <si>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</si>
  <si>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</si>
  <si>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</si>
  <si>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</si>
  <si>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</si>
  <si>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</si>
  <si>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</si>
  <si>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</si>
  <si>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</si>
  <si>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</si>
  <si>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</si>
  <si>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</si>
  <si>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</si>
  <si>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</si>
  <si>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</si>
  <si>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</si>
  <si>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</si>
  <si>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</si>
  <si>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</si>
  <si>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</si>
  <si>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</si>
  <si>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</si>
  <si>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</si>
  <si>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</si>
  <si>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</si>
  <si>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</si>
  <si>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</si>
  <si>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</si>
  <si>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</si>
  <si>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</si>
  <si>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</si>
  <si>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</si>
  <si>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</si>
  <si>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</si>
  <si>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</si>
  <si>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</si>
  <si>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</si>
  <si>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</si>
  <si>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</si>
  <si>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</si>
  <si>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</si>
  <si>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</si>
  <si>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</si>
  <si>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</si>
  <si>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</si>
  <si>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</si>
  <si>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</si>
  <si>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</si>
  <si>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</si>
  <si>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</si>
  <si>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</si>
  <si>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</si>
  <si>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</si>
  <si>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</si>
  <si>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</si>
  <si>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</si>
  <si>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</si>
  <si>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</si>
  <si>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</si>
  <si>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</si>
  <si>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</si>
  <si>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</si>
  <si>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</si>
  <si>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</si>
  <si>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</si>
  <si>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</si>
  <si>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</si>
  <si>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</si>
  <si>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</si>
  <si>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</si>
  <si>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</si>
  <si>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</si>
  <si>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</si>
  <si>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</si>
  <si>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</si>
  <si>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</si>
  <si>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</si>
  <si>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</si>
  <si>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</si>
  <si>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</si>
  <si>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</si>
  <si>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</si>
  <si>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</si>
  <si>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</si>
  <si>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</si>
  <si>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</si>
  <si>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</si>
  <si>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</si>
  <si>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</si>
  <si>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</si>
  <si>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</si>
  <si>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</si>
  <si>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</si>
  <si>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</si>
  <si>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</si>
  <si>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</si>
  <si>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</si>
  <si>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</si>
  <si>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</si>
  <si>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</si>
  <si>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</si>
  <si>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</si>
  <si>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</si>
  <si>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</si>
  <si>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</si>
  <si>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</si>
  <si>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</si>
  <si>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</si>
  <si>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</si>
  <si>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</si>
  <si>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</si>
  <si>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</si>
  <si>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</si>
  <si>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</si>
  <si>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</si>
  <si>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</si>
  <si>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</si>
  <si>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</si>
  <si>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</si>
  <si>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</si>
  <si>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</si>
  <si>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</si>
  <si>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</si>
  <si>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</si>
  <si>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</si>
  <si>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</si>
  <si>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</si>
  <si>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</si>
  <si>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</si>
  <si>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</si>
  <si>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</si>
  <si>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</si>
  <si>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</si>
  <si>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</si>
  <si>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</si>
  <si>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</si>
  <si>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</si>
  <si>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</si>
  <si>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</si>
  <si>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</si>
  <si>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</si>
  <si>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</si>
  <si>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</si>
  <si>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</si>
  <si>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</si>
  <si>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</si>
  <si>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</si>
  <si>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</si>
  <si>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</si>
  <si>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</si>
  <si>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</si>
  <si>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</si>
  <si>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</si>
  <si>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</si>
  <si>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</si>
  <si>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</si>
  <si>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</si>
  <si>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</si>
  <si>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</si>
  <si>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</si>
  <si>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</si>
  <si>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</si>
  <si>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</si>
  <si>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</si>
  <si>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</si>
  <si>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</si>
  <si>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</si>
  <si>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</si>
  <si>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</si>
  <si>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</si>
  <si>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</si>
  <si>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</si>
  <si>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</si>
  <si>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</si>
  <si>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</si>
  <si>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</si>
  <si>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</si>
  <si>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</si>
  <si>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</si>
  <si>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</si>
  <si>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</si>
  <si>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</si>
  <si>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</si>
  <si>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</si>
  <si>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</si>
  <si>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</si>
  <si>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</si>
  <si>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</si>
  <si>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</si>
  <si>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</si>
  <si>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</si>
  <si>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</si>
  <si>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</si>
  <si>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</si>
  <si>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</si>
  <si>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</si>
  <si>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</si>
  <si>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</si>
  <si>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</si>
  <si>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</si>
  <si>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</si>
  <si>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</si>
  <si>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</si>
  <si>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</si>
  <si>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</si>
  <si>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</si>
  <si>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</si>
  <si>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</si>
  <si>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</si>
  <si>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</si>
  <si>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</si>
  <si>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</si>
  <si>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</si>
  <si>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</si>
  <si>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</si>
  <si>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</si>
  <si>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</si>
  <si>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</si>
  <si>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</si>
  <si>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</si>
  <si>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</si>
  <si>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</si>
  <si>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</si>
  <si>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</si>
  <si>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</si>
  <si>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</si>
  <si>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</si>
  <si>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</si>
  <si>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</si>
  <si>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</si>
  <si>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</si>
  <si>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</si>
  <si>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</si>
  <si>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</si>
  <si>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</si>
  <si>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</si>
  <si>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</si>
  <si>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</si>
  <si>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</si>
  <si>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</si>
  <si>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</si>
  <si>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</si>
  <si>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</si>
  <si>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</si>
  <si>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</si>
  <si>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</si>
  <si>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</si>
  <si>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</si>
  <si>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</si>
  <si>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</si>
  <si>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</si>
  <si>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</si>
  <si>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</si>
  <si>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</si>
  <si>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</si>
  <si>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</si>
  <si>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</si>
  <si>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</si>
  <si>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</si>
  <si>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</si>
  <si>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</si>
  <si>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</si>
  <si>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</si>
  <si>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</si>
  <si>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</si>
  <si>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</si>
  <si>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</si>
  <si>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</si>
  <si>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</si>
  <si>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</si>
  <si>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</si>
  <si>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</si>
  <si>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</si>
  <si>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</si>
  <si>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</si>
  <si>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</si>
  <si>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</si>
  <si>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</si>
  <si>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</si>
  <si>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</si>
  <si>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</si>
  <si>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</si>
  <si>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</si>
  <si>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</si>
  <si>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</si>
  <si>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</si>
  <si>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</si>
  <si>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</si>
  <si>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</si>
  <si>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</si>
  <si>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</si>
  <si>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</si>
  <si>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</si>
  <si>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</si>
  <si>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</si>
  <si>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</si>
  <si>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</si>
  <si>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</si>
  <si>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</si>
  <si>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</si>
  <si>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</si>
  <si>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</si>
  <si>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</si>
  <si>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</si>
  <si>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</si>
  <si>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</si>
  <si>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</si>
  <si>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</si>
  <si>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</si>
  <si>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</si>
  <si>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</si>
  <si>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</si>
  <si>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</si>
  <si>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</si>
  <si>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</si>
  <si>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</si>
  <si>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</si>
  <si>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</si>
  <si>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</si>
  <si>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</si>
  <si>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</si>
  <si>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</si>
  <si>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</si>
  <si>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</si>
  <si>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</si>
  <si>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</si>
  <si>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</si>
  <si>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</si>
  <si>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</si>
  <si>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</si>
  <si>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</si>
  <si>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</si>
  <si>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</si>
  <si>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</si>
  <si>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</si>
  <si>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</si>
  <si>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</si>
  <si>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</si>
  <si>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</si>
  <si>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</si>
  <si>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</si>
  <si>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</si>
  <si>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</si>
  <si>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</si>
  <si>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</si>
  <si>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</si>
  <si>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</si>
  <si>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</si>
  <si>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</si>
  <si>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</si>
  <si>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</si>
  <si>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</si>
  <si>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</si>
  <si>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</si>
  <si>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</si>
  <si>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</si>
  <si>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</si>
  <si>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</si>
  <si>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</si>
  <si>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</si>
  <si>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</si>
  <si>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</si>
  <si>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</si>
  <si>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</si>
  <si>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</si>
  <si>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</si>
  <si>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</si>
  <si>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</si>
  <si>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</si>
  <si>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</si>
  <si>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</si>
  <si>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</si>
  <si>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</si>
  <si>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</si>
  <si>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</si>
  <si>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</si>
  <si>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</si>
  <si>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</si>
  <si>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</si>
  <si>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</si>
  <si>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</si>
  <si>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</si>
  <si>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</si>
  <si>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</si>
  <si>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</si>
  <si>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</si>
  <si>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</si>
  <si>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</si>
  <si>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</si>
  <si>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</si>
  <si>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</si>
  <si>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</si>
  <si>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</si>
  <si>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</si>
  <si>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</si>
  <si>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</si>
  <si>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</si>
  <si>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</si>
  <si>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</si>
  <si>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</si>
  <si>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</si>
  <si>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</si>
  <si>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</si>
  <si>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</si>
  <si>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</si>
  <si>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</si>
  <si>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</si>
  <si>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</si>
  <si>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</si>
  <si>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</si>
  <si>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</si>
  <si>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</si>
  <si>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</si>
  <si>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</si>
  <si>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</si>
  <si>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</si>
  <si>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</si>
  <si>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</si>
  <si>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</si>
  <si>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</si>
  <si>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</si>
  <si>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</si>
  <si>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</si>
  <si>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</si>
  <si>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</si>
  <si>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</si>
  <si>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</si>
  <si>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</si>
  <si>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</si>
  <si>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</si>
  <si>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</si>
  <si>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</si>
  <si>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</si>
  <si>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</si>
  <si>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</si>
  <si>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</si>
  <si>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</si>
  <si>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</si>
  <si>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</si>
  <si>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</si>
  <si>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</si>
  <si>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</si>
  <si>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</si>
  <si>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</si>
  <si>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</si>
  <si>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</si>
  <si>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</si>
  <si>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</si>
  <si>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</si>
  <si>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</si>
  <si>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</si>
  <si>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</si>
  <si>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</si>
  <si>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</si>
  <si>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</si>
  <si>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</si>
  <si>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</si>
  <si>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</si>
  <si>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</si>
  <si>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</si>
  <si>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</si>
  <si>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</si>
  <si>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</si>
  <si>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</si>
  <si>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</si>
  <si>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</si>
  <si>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</si>
  <si>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</si>
  <si>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</si>
  <si>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</si>
  <si>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</si>
  <si>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</si>
  <si>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</si>
  <si>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</si>
  <si>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</si>
  <si>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</si>
  <si>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</si>
  <si>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</si>
  <si>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</si>
  <si>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</si>
  <si>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</si>
  <si>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</si>
  <si>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</si>
  <si>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</si>
  <si>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</si>
  <si>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</si>
  <si>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</si>
  <si>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</si>
  <si>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</si>
  <si>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</si>
  <si>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</si>
  <si>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</si>
  <si>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</si>
  <si>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</si>
  <si>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</si>
  <si>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</si>
  <si>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</si>
  <si>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</si>
  <si>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</si>
  <si>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</si>
  <si>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</si>
  <si>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</si>
  <si>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</si>
  <si>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</si>
  <si>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</si>
  <si>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</si>
  <si>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</si>
  <si>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</si>
  <si>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</si>
  <si>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</si>
  <si>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</si>
  <si>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</si>
  <si>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</si>
  <si>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</si>
  <si>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</si>
  <si>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</si>
  <si>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</si>
  <si>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</si>
  <si>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</si>
  <si>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</si>
  <si>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</si>
  <si>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</si>
  <si>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</si>
  <si>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</si>
  <si>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</si>
  <si>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</si>
  <si>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</si>
  <si>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</si>
  <si>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</si>
  <si>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</si>
  <si>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</si>
  <si>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</si>
  <si>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</si>
  <si>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</si>
  <si>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</si>
  <si>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</si>
  <si>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</si>
  <si>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</si>
  <si>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</si>
  <si>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</si>
  <si>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</si>
  <si>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</si>
  <si>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</si>
  <si>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</si>
  <si>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</si>
  <si>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</si>
  <si>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</si>
  <si>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</si>
  <si>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</si>
  <si>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</si>
  <si>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</si>
  <si>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</si>
  <si>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</si>
  <si>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</si>
  <si>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</si>
  <si>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</si>
  <si>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</si>
  <si>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</si>
  <si>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</si>
  <si>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</si>
  <si>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</si>
  <si>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</si>
  <si>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</si>
  <si>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</si>
  <si>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</si>
  <si>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</si>
  <si>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</si>
  <si>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</si>
  <si>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</si>
  <si>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</si>
  <si>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</si>
  <si>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</si>
  <si>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</si>
  <si>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</si>
  <si>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</si>
  <si>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</si>
  <si>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</si>
  <si>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</si>
  <si>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</si>
  <si>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</si>
  <si>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</si>
  <si>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</si>
  <si>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</si>
  <si>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</si>
  <si>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</si>
  <si>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</si>
  <si>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</si>
  <si>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</si>
  <si>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</si>
  <si>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</si>
  <si>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</si>
  <si>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</si>
  <si>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</si>
  <si>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</si>
  <si>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</si>
  <si>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</si>
  <si>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</si>
  <si>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</si>
  <si>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</si>
  <si>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</si>
  <si>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</si>
  <si>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</si>
  <si>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</si>
  <si>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</si>
  <si>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</si>
  <si>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</si>
  <si>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</si>
  <si>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</si>
  <si>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</si>
  <si>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</si>
  <si>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</si>
  <si>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</si>
  <si>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</si>
  <si>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</si>
  <si>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</si>
  <si>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</si>
  <si>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</si>
  <si>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</si>
  <si>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</si>
  <si>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</si>
  <si>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</si>
  <si>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</si>
  <si>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</si>
  <si>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</si>
  <si>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</si>
  <si>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</si>
  <si>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</si>
  <si>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</si>
  <si>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</si>
  <si>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</si>
  <si>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</si>
  <si>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</si>
  <si>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</si>
  <si>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</si>
  <si>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</si>
  <si>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</si>
  <si>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</si>
  <si>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</si>
  <si>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</si>
  <si>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</si>
  <si>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</si>
  <si>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</si>
  <si>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</si>
  <si>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</si>
  <si>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</si>
  <si>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</si>
  <si>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</si>
  <si>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</si>
  <si>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</si>
  <si>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</si>
  <si>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</si>
  <si>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</si>
  <si>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</si>
  <si>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</si>
  <si>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</si>
  <si>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</si>
  <si>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</si>
  <si>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</si>
  <si>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</si>
  <si>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</si>
  <si>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</si>
  <si>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</si>
  <si>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</si>
  <si>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</si>
  <si>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</si>
  <si>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</si>
  <si>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</si>
  <si>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</si>
  <si>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</si>
  <si>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</si>
  <si>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</si>
  <si>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</si>
  <si>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</si>
  <si>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</si>
  <si>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</si>
  <si>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</si>
  <si>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</si>
  <si>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</si>
  <si>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</si>
  <si>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</si>
  <si>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</si>
  <si>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</si>
  <si>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</si>
  <si>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</si>
  <si>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</si>
  <si>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</si>
  <si>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</si>
  <si>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</si>
  <si>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</si>
  <si>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</si>
  <si>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</si>
  <si>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</si>
  <si>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</si>
  <si>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</si>
  <si>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</si>
  <si>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</si>
  <si>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</si>
  <si>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</si>
  <si>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</si>
  <si>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</si>
  <si>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</si>
  <si>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</si>
  <si>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</si>
  <si>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</si>
  <si>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</si>
  <si>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</si>
  <si>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</si>
  <si>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</si>
  <si>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</si>
  <si>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</si>
  <si>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</si>
  <si>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</si>
  <si>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</si>
  <si>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</si>
  <si>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</si>
  <si>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</si>
  <si>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</si>
  <si>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</si>
  <si>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</si>
  <si>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</si>
  <si>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</si>
  <si>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</si>
  <si>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</si>
  <si>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</si>
  <si>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</si>
  <si>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</si>
  <si>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</si>
  <si>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</si>
  <si>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</si>
  <si>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</si>
  <si>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</si>
  <si>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</si>
  <si>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</si>
  <si>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</si>
  <si>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</si>
  <si>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</si>
  <si>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</si>
  <si>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</si>
  <si>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</si>
  <si>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</si>
  <si>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</si>
  <si>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</si>
  <si>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</si>
  <si>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</si>
  <si>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</si>
  <si>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</si>
  <si>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</si>
  <si>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</si>
  <si>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</si>
  <si>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</si>
  <si>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</si>
  <si>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</si>
  <si>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</si>
  <si>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</si>
  <si>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</si>
  <si>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</si>
  <si>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</si>
  <si>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</si>
  <si>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</si>
  <si>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</si>
  <si>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</si>
  <si>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</si>
  <si>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</si>
  <si>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</si>
  <si>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</si>
  <si>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</si>
  <si>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</si>
  <si>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</si>
  <si>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</si>
  <si>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</si>
  <si>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</si>
  <si>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</si>
  <si>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</si>
  <si>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</si>
  <si>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</si>
  <si>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</si>
  <si>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</si>
  <si>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</si>
  <si>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</si>
  <si>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</si>
  <si>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</si>
  <si>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</si>
  <si>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</si>
  <si>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</si>
  <si>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</si>
  <si>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</si>
  <si>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</si>
  <si>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</si>
  <si>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</si>
  <si>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</si>
  <si>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</si>
  <si>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</si>
  <si>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</si>
  <si>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</si>
  <si>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</si>
  <si>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</si>
  <si>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</si>
  <si>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</si>
  <si>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</si>
  <si>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</si>
  <si>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</si>
  <si>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</si>
  <si>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</si>
  <si>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</si>
  <si>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</si>
  <si>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</si>
  <si>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</si>
  <si>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</si>
  <si>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</si>
  <si>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</si>
  <si>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</si>
  <si>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</si>
  <si>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</si>
  <si>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</si>
  <si>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</si>
  <si>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</si>
  <si>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</si>
  <si>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</si>
  <si>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</si>
  <si>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</si>
  <si>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</si>
  <si>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</si>
  <si>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</si>
  <si>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</si>
  <si>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</si>
  <si>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</si>
  <si>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</si>
  <si>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</si>
  <si>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</si>
  <si>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</si>
  <si>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</si>
  <si>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</si>
  <si>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</si>
  <si>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</si>
  <si>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</si>
  <si>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</si>
  <si>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</si>
  <si>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</si>
  <si>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</si>
  <si>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</si>
  <si>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</si>
  <si>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</si>
  <si>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</si>
  <si>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</si>
  <si>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</si>
  <si>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</si>
  <si>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</si>
  <si>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</si>
  <si>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</si>
  <si>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</si>
  <si>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</si>
  <si>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</si>
  <si>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</si>
  <si>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</si>
  <si>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</si>
  <si>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</si>
  <si>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</si>
  <si>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</si>
  <si>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</si>
  <si>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</si>
  <si>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</si>
  <si>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</si>
  <si>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</si>
  <si>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</si>
  <si>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</si>
  <si>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</si>
  <si>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</si>
  <si>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</si>
  <si>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</si>
  <si>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</si>
  <si>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</si>
  <si>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</si>
  <si>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</si>
  <si>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</si>
  <si>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</si>
  <si>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</si>
  <si>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</si>
  <si>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</si>
  <si>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</si>
  <si>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</si>
  <si>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</si>
  <si>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</si>
  <si>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</si>
  <si>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</si>
  <si>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</si>
  <si>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</si>
  <si>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</si>
  <si>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</si>
  <si>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</si>
  <si>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</si>
  <si>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</si>
  <si>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</si>
  <si>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</si>
  <si>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</si>
  <si>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</si>
  <si>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</si>
  <si>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</si>
  <si>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</si>
  <si>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</si>
  <si>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</si>
  <si>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</si>
  <si>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</si>
  <si>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</si>
  <si>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</si>
  <si>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</si>
  <si>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</si>
  <si>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</si>
  <si>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</si>
  <si>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</si>
  <si>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</si>
  <si>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</si>
  <si>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</si>
  <si>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</si>
  <si>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</si>
  <si>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</si>
  <si>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</si>
  <si>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</si>
  <si>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</si>
  <si>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</si>
  <si>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</si>
  <si>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</si>
  <si>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</si>
  <si>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</si>
  <si>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</si>
  <si>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</si>
  <si>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</si>
  <si>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</si>
  <si>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</si>
  <si>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</si>
  <si>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</si>
  <si>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</si>
  <si>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</si>
  <si>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</si>
  <si>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</si>
  <si>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</si>
  <si>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</si>
  <si>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</si>
  <si>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</si>
  <si>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</si>
  <si>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</si>
  <si>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</si>
  <si>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</si>
  <si>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</si>
  <si>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</si>
  <si>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</si>
  <si>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</si>
  <si>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</si>
  <si>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</si>
  <si>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</si>
  <si>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</si>
  <si>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</si>
  <si>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</si>
  <si>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</si>
  <si>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</si>
  <si>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</si>
  <si>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</si>
  <si>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</si>
  <si>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</si>
  <si>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</si>
  <si>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</si>
  <si>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</si>
  <si>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</si>
  <si>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</si>
  <si>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</si>
  <si>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</si>
  <si>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</si>
  <si>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</si>
  <si>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</si>
  <si>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</si>
  <si>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</si>
  <si>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</si>
  <si>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</si>
  <si>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</si>
  <si>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</si>
  <si>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</si>
  <si>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</si>
  <si>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</si>
  <si>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</si>
  <si>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</si>
  <si>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</si>
  <si>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</si>
  <si>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</si>
  <si>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</si>
  <si>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</si>
  <si>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</si>
  <si>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</si>
  <si>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</si>
  <si>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</si>
  <si>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</si>
  <si>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</si>
  <si>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</si>
  <si>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</si>
  <si>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</si>
  <si>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</si>
  <si>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</si>
  <si>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</si>
  <si>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</si>
  <si>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</si>
  <si>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</si>
  <si>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</si>
  <si>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</si>
  <si>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</si>
  <si>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</si>
  <si>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</si>
  <si>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</si>
  <si>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</si>
  <si>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</si>
  <si>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</si>
  <si>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</si>
  <si>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</si>
  <si>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</si>
  <si>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</si>
  <si>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</si>
  <si>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</si>
  <si>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</si>
  <si>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</si>
  <si>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</si>
  <si>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</si>
  <si>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</si>
  <si>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</si>
  <si>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</si>
  <si>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</si>
  <si>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</si>
  <si>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</si>
  <si>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</si>
  <si>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</si>
  <si>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</si>
  <si>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</si>
  <si>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</si>
  <si>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</si>
  <si>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</si>
  <si>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</si>
  <si>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</si>
  <si>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</si>
  <si>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</si>
  <si>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</si>
  <si>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</si>
  <si>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</si>
  <si>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</si>
  <si>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</si>
  <si>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</si>
  <si>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</si>
  <si>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</si>
  <si>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</si>
  <si>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</si>
  <si>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</si>
  <si>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</si>
  <si>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</si>
  <si>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</si>
  <si>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</si>
  <si>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</si>
  <si>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</si>
  <si>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</si>
  <si>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</si>
  <si>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</si>
  <si>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</si>
  <si>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</si>
  <si>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</si>
  <si>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</si>
  <si>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</si>
  <si>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</si>
  <si>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</si>
  <si>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</si>
  <si>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</si>
  <si>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</si>
  <si>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</si>
  <si>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</si>
  <si>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</si>
  <si>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</si>
  <si>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</si>
  <si>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</si>
  <si>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</si>
  <si>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</si>
  <si>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</si>
  <si>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</si>
  <si>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</si>
  <si>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</si>
  <si>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</si>
  <si>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</si>
  <si>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</si>
  <si>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</si>
  <si>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</si>
  <si>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</si>
  <si>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</si>
  <si>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</si>
  <si>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</si>
  <si>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</si>
  <si>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</si>
  <si>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</si>
  <si>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</si>
  <si>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</si>
  <si>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</si>
  <si>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</si>
  <si>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</si>
  <si>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</si>
  <si>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</si>
  <si>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</si>
  <si>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</si>
  <si>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</si>
  <si>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</si>
  <si>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</si>
  <si>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</si>
  <si>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</si>
  <si>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</si>
  <si>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</si>
  <si>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</si>
  <si>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</si>
  <si>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</si>
  <si>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</si>
  <si>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</si>
  <si>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</si>
  <si>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</si>
  <si>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</si>
  <si>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</si>
  <si>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</si>
  <si>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</si>
  <si>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</si>
  <si>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</si>
  <si>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</si>
  <si>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</si>
  <si>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</si>
  <si>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</si>
  <si>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</si>
  <si>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</si>
  <si>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</si>
  <si>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</si>
  <si>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</si>
  <si>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</si>
  <si>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</si>
  <si>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</si>
  <si>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</si>
  <si>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</si>
  <si>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</si>
  <si>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</si>
  <si>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</si>
  <si>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</si>
  <si>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</si>
  <si>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</si>
  <si>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</si>
  <si>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</si>
  <si>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</si>
  <si>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</si>
  <si>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</si>
  <si>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</si>
  <si>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</si>
  <si>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</si>
  <si>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</si>
  <si>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</si>
  <si>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</si>
  <si>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</si>
  <si>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</si>
  <si>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</si>
  <si>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</si>
  <si>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</si>
  <si>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</si>
  <si>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</si>
  <si>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</si>
  <si>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</si>
  <si>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</si>
  <si>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</si>
  <si>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</si>
  <si>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</si>
  <si>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</si>
  <si>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</si>
  <si>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</si>
  <si>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</si>
  <si>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</si>
  <si>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</si>
  <si>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</si>
  <si>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</si>
  <si>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</si>
  <si>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</si>
  <si>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</si>
  <si>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</si>
  <si>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</si>
  <si>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</si>
  <si>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</si>
  <si>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</si>
  <si>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</si>
  <si>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</si>
  <si>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</si>
  <si>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</si>
  <si>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</si>
  <si>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</si>
  <si>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</si>
  <si>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</si>
  <si>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</si>
  <si>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</si>
  <si>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</si>
  <si>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</si>
  <si>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</si>
  <si>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</si>
  <si>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</si>
  <si>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</si>
  <si>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</si>
  <si>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</si>
  <si>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</si>
  <si>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</si>
  <si>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</si>
  <si>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</si>
  <si>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</si>
  <si>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</si>
  <si>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</si>
  <si>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</si>
  <si>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</si>
  <si>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</si>
  <si>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</si>
  <si>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</si>
  <si>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</si>
  <si>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</si>
  <si>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</si>
  <si>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</si>
  <si>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</si>
  <si>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</si>
  <si>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</si>
  <si>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</si>
  <si>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</si>
  <si>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</si>
  <si>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</si>
  <si>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</si>
  <si>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</si>
  <si>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</si>
  <si>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</si>
  <si>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</si>
  <si>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</si>
  <si>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</si>
  <si>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</si>
  <si>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</si>
  <si>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</si>
  <si>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</si>
  <si>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</si>
  <si>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</si>
  <si>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</si>
  <si>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</si>
  <si>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</si>
  <si>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</si>
  <si>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</si>
  <si>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</si>
  <si>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</si>
  <si>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</si>
  <si>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</si>
  <si>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</si>
  <si>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</si>
  <si>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</si>
  <si>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</si>
  <si>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</si>
  <si>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</si>
  <si>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</si>
  <si>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</si>
  <si>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</si>
  <si>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</si>
  <si>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</si>
  <si>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</si>
  <si>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</si>
  <si>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</si>
  <si>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</si>
  <si>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</si>
  <si>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</si>
  <si>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</si>
  <si>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</si>
  <si>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</si>
  <si>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</si>
  <si>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</si>
  <si>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</si>
  <si>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</si>
  <si>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</si>
  <si>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</si>
  <si>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</si>
  <si>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</si>
  <si>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</si>
  <si>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</si>
  <si>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</si>
  <si>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</si>
  <si>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</si>
  <si>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</si>
  <si>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</si>
  <si>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</si>
  <si>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</si>
  <si>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</si>
  <si>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</si>
  <si>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</si>
  <si>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</si>
  <si>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</si>
  <si>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</si>
  <si>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</si>
  <si>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</si>
  <si>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</si>
  <si>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</si>
  <si>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</si>
  <si>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</si>
  <si>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</si>
  <si>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</si>
  <si>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</si>
  <si>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</si>
  <si>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</si>
  <si>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</si>
  <si>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</si>
  <si>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</si>
  <si>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</si>
  <si>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</si>
  <si>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</si>
  <si>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</si>
  <si>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</si>
  <si>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</si>
  <si>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</si>
  <si>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</si>
  <si>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</si>
  <si>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</si>
  <si>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</si>
  <si>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</si>
  <si>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</si>
  <si>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</si>
  <si>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</si>
  <si>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</si>
  <si>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</si>
  <si>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</si>
  <si>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</si>
  <si>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</si>
  <si>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</si>
  <si>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</si>
  <si>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</si>
  <si>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</si>
  <si>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</si>
  <si>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</si>
  <si>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</si>
  <si>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</si>
  <si>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</si>
  <si>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</si>
  <si>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</si>
  <si>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</si>
  <si>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</si>
  <si>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</si>
  <si>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</si>
  <si>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</si>
  <si>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</si>
  <si>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</si>
  <si>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</si>
  <si>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</si>
  <si>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</si>
  <si>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</si>
  <si>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</si>
  <si>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</si>
  <si>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</si>
  <si>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</si>
  <si>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</si>
  <si>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</si>
  <si>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</si>
  <si>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</si>
  <si>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</si>
  <si>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</si>
  <si>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</si>
  <si>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</si>
  <si>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</si>
  <si>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</si>
  <si>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</si>
  <si>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</si>
  <si>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</si>
  <si>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</si>
  <si>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</si>
  <si>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</si>
  <si>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</si>
  <si>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</si>
  <si>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</si>
  <si>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</si>
  <si>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</si>
  <si>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</si>
  <si>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</si>
  <si>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</si>
  <si>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</si>
  <si>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</si>
  <si>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</si>
  <si>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</si>
  <si>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</si>
  <si>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</si>
  <si>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</si>
  <si>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</si>
  <si>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</si>
  <si>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</si>
  <si>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</si>
  <si>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</si>
  <si>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</si>
  <si>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</si>
  <si>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</si>
  <si>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</si>
  <si>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</si>
  <si>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</si>
  <si>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</si>
  <si>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</si>
  <si>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</si>
  <si>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</si>
  <si>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</si>
  <si>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</si>
  <si>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</si>
  <si>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</si>
  <si>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</si>
  <si>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</si>
  <si>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</si>
  <si>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</si>
  <si>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</si>
  <si>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</si>
  <si>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</si>
  <si>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</si>
  <si>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</si>
  <si>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</si>
  <si>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</si>
  <si>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</si>
  <si>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</si>
  <si>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</si>
  <si>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</si>
  <si>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</si>
  <si>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</si>
  <si>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</si>
  <si>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</si>
  <si>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</si>
  <si>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</si>
  <si>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</si>
  <si>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</si>
  <si>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</si>
  <si>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</si>
  <si>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</si>
  <si>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</si>
  <si>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</si>
  <si>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</si>
  <si>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</si>
  <si>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</si>
  <si>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</si>
  <si>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</si>
  <si>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</si>
  <si>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</si>
  <si>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</si>
  <si>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</si>
  <si>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</si>
  <si>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</si>
  <si>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</si>
  <si>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</si>
  <si>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</si>
  <si>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</si>
  <si>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</si>
  <si>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</si>
  <si>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</si>
  <si>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</si>
  <si>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</si>
  <si>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</si>
  <si>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</si>
  <si>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</si>
  <si>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</si>
  <si>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</si>
  <si>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</si>
  <si>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</si>
  <si>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</si>
  <si>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</si>
  <si>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</si>
  <si>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</si>
  <si>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</si>
  <si>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</si>
  <si>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</si>
  <si>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</si>
  <si>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</si>
  <si>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</si>
  <si>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</si>
  <si>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</si>
  <si>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</si>
  <si>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</si>
  <si>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</si>
  <si>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</si>
  <si>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</si>
  <si>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</si>
  <si>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</si>
  <si>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</si>
  <si>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</si>
  <si>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</si>
  <si>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</si>
  <si>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</si>
  <si>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</si>
  <si>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</si>
  <si>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</si>
  <si>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</si>
  <si>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</si>
  <si>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</si>
  <si>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</si>
  <si>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</si>
  <si>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</si>
  <si>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</si>
  <si>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</si>
  <si>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</si>
  <si>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</si>
  <si>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</si>
  <si>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</si>
  <si>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</si>
  <si>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</si>
  <si>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</si>
  <si>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</si>
  <si>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</si>
  <si>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</si>
  <si>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</si>
  <si>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</si>
  <si>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</si>
  <si>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</si>
  <si>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</si>
  <si>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</si>
  <si>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</si>
  <si>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</si>
  <si>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</si>
  <si>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</si>
  <si>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</si>
  <si>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</si>
  <si>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</si>
  <si>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</si>
  <si>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</si>
  <si>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</si>
  <si>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</si>
  <si>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</si>
  <si>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</si>
  <si>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</si>
  <si>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</si>
  <si>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</si>
  <si>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</si>
  <si>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</si>
  <si>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</si>
  <si>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</si>
  <si>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</si>
  <si>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</si>
  <si>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</si>
  <si>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</si>
  <si>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</si>
  <si>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</si>
  <si>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</si>
  <si>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</si>
  <si>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</si>
  <si>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</si>
  <si>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</si>
  <si>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</si>
  <si>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</si>
  <si>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</si>
  <si>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</si>
  <si>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</si>
  <si>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</si>
  <si>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</si>
  <si>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</si>
  <si>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</si>
  <si>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</si>
  <si>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</si>
  <si>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</si>
  <si>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</si>
  <si>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</si>
  <si>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</si>
  <si>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</si>
  <si>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</si>
  <si>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</si>
  <si>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</si>
  <si>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</si>
  <si>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</si>
  <si>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</si>
  <si>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</si>
  <si>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</si>
  <si>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</si>
  <si>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</si>
  <si>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</si>
  <si>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</si>
  <si>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</si>
  <si>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</si>
  <si>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</si>
  <si>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</si>
  <si>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</si>
  <si>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</si>
  <si>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</si>
  <si>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</si>
  <si>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</si>
  <si>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</si>
  <si>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</si>
  <si>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</si>
  <si>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</si>
  <si>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</si>
  <si>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</si>
  <si>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</si>
  <si>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</si>
  <si>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</si>
  <si>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</si>
  <si>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</si>
  <si>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</si>
  <si>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</si>
  <si>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</si>
  <si>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</si>
  <si>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</si>
  <si>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</si>
  <si>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</si>
  <si>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</si>
  <si>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</si>
  <si>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</si>
  <si>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</si>
  <si>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</si>
  <si>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</si>
  <si>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</si>
  <si>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</si>
  <si>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</si>
  <si>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</si>
  <si>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</si>
  <si>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</si>
  <si>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</si>
  <si>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</si>
  <si>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</si>
  <si>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</si>
  <si>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</si>
  <si>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</si>
  <si>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</si>
  <si>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</si>
  <si>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</si>
  <si>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</si>
  <si>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</si>
  <si>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</si>
  <si>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</si>
  <si>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</si>
  <si>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</si>
  <si>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</si>
  <si>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</si>
  <si>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</si>
  <si>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</si>
  <si>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</si>
  <si>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</si>
  <si>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</si>
  <si>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</si>
  <si>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</si>
  <si>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</si>
  <si>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</si>
  <si>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</si>
  <si>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</si>
  <si>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</si>
  <si>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</si>
  <si>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</si>
  <si>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</si>
  <si>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</si>
  <si>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</si>
  <si>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</si>
  <si>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</si>
  <si>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</si>
  <si>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Will County</t>
  </si>
  <si>
    <t>11244 Willowcrest Lane</t>
  </si>
  <si>
    <t>Mokena</t>
  </si>
  <si>
    <t>shawt@mokena159.org</t>
  </si>
  <si>
    <t>Dr. Don White</t>
  </si>
  <si>
    <t>whited@mokena159.org</t>
  </si>
  <si>
    <t>708-342-4900</t>
  </si>
  <si>
    <t>Lauterbach &amp; Amen, LLP</t>
  </si>
  <si>
    <t>Matt Beran</t>
  </si>
  <si>
    <t>668 N River Road</t>
  </si>
  <si>
    <t>Naperville</t>
  </si>
  <si>
    <t>IL</t>
  </si>
  <si>
    <t>630-393-1483</t>
  </si>
  <si>
    <t>630-393-2516</t>
  </si>
  <si>
    <t>065-033233</t>
  </si>
  <si>
    <t>mberan@lauterbachamen.com</t>
  </si>
  <si>
    <t>GO Capital Appreciation Bonds, 2000</t>
  </si>
  <si>
    <t>GO Limited Working Cash Bonds, 2016A</t>
  </si>
  <si>
    <t>GO Refunding Bonds, 2016B</t>
  </si>
  <si>
    <t>Capital Lease 2016</t>
  </si>
  <si>
    <t>Capital Lease</t>
  </si>
  <si>
    <t>Mokena Park District</t>
  </si>
  <si>
    <t>North Illinois Independent Purchasing Cooperative</t>
  </si>
  <si>
    <t>Illinois Public Risk Fund &amp; CLIC</t>
  </si>
  <si>
    <t>x</t>
  </si>
  <si>
    <t>Lincoln-Way Area Special Education District #843</t>
  </si>
  <si>
    <t>Lincoln-Way High School - Gas for buses &amp; district vehicles</t>
  </si>
  <si>
    <t>Ed-Student Services-Purchased Services</t>
  </si>
  <si>
    <t>Verizon</t>
  </si>
  <si>
    <t>Ed-Building Administration-Purchase Services</t>
  </si>
  <si>
    <t>Ed-Information Services-Purchase Services</t>
  </si>
  <si>
    <t>Kansas State Bank of Manhattan</t>
  </si>
  <si>
    <t>Ed-Technology-Purchase Services</t>
  </si>
  <si>
    <t>American Capital Financial Services</t>
  </si>
  <si>
    <t>First Eagle Bank</t>
  </si>
  <si>
    <t>O&amp;M-O&amp;M Plant-Purchase Services</t>
  </si>
  <si>
    <t>GCA</t>
  </si>
  <si>
    <t>O&amp;M-Maintenance Dept-Community Recreation Services</t>
  </si>
  <si>
    <t>Republic Services</t>
  </si>
  <si>
    <t>O&amp;M-Maintenance Dept-Purchase Services</t>
  </si>
  <si>
    <t>Emcor</t>
  </si>
  <si>
    <t>Call One</t>
  </si>
  <si>
    <t>Comcast</t>
  </si>
  <si>
    <t>Rival5</t>
  </si>
  <si>
    <t>Midwest Transit Equipment</t>
  </si>
  <si>
    <t>Santander Leasing</t>
  </si>
  <si>
    <t>Transportation-Transportation-Purchase Services</t>
  </si>
  <si>
    <t>Revenues 9-14 Other District/School Activity Revenue (Describe &amp; Itemize) 1790 - Graduation Fees $7,027 + Yearbooks - MJH $27</t>
  </si>
  <si>
    <t>Expenditures 15-22 Other Support Services - Pupils 2190 - Interventionist</t>
  </si>
  <si>
    <t>Revenues 9-14 Other Local Revenues (Describe &amp; Itemize) 1999 - Miscellaneous Revenues</t>
  </si>
  <si>
    <t>Revenues 9-14 Other Local Revenues (Describe &amp; Itemize) - Other Food Service 1690 - Miscellaneous Revenues $589 and Trinity Lunches $9,355</t>
  </si>
  <si>
    <t>Expenditures 15-22 Other Support Services 2900 - Yearbooks</t>
  </si>
  <si>
    <t>Revenues 9-14 Other Local Revenues 1999 - Miscellaneous</t>
  </si>
  <si>
    <t>Debt Retirement does not match expenditures in the debt service fund as there is a capital lease payment made from the education fund</t>
  </si>
  <si>
    <t>10-1000-300</t>
  </si>
  <si>
    <t>10-2630-300</t>
  </si>
  <si>
    <t>10-2400-300</t>
  </si>
  <si>
    <t>10-2660-300</t>
  </si>
  <si>
    <t>20-2540-300</t>
  </si>
  <si>
    <t>40-2550-300</t>
  </si>
  <si>
    <t>Mokena SD 159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</si>
</sst>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1</xdr:row>
          <xdr:rowOff>0</xdr:rowOff>
        </xdr:from>
        <xdr:to>
          <xdr:col>1</xdr:col>
          <xdr:colOff>1857375</xdr:colOff>
          <xdr:row>5</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66675</xdr:rowOff>
        </xdr:from>
        <xdr:to>
          <xdr:col>1</xdr:col>
          <xdr:colOff>923925</xdr:colOff>
          <xdr:row>11</xdr:row>
          <xdr:rowOff>28575</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6</xdr:row>
          <xdr:rowOff>66675</xdr:rowOff>
        </xdr:from>
        <xdr:to>
          <xdr:col>1</xdr:col>
          <xdr:colOff>2038350</xdr:colOff>
          <xdr:row>11</xdr:row>
          <xdr:rowOff>28575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tabSelected="1"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1" t="s">
        <v>405</v>
      </c>
      <c r="J1" s="1982"/>
      <c r="K1" s="1982"/>
      <c r="L1" s="1982"/>
      <c r="M1" s="1982"/>
      <c r="N1" s="1982"/>
      <c r="O1" s="1982"/>
      <c r="P1" s="1982"/>
      <c r="Q1" s="1982"/>
      <c r="R1" s="1982"/>
      <c r="S1" s="1982"/>
    </row>
    <row r="2" spans="1:28" ht="12" customHeight="1" x14ac:dyDescent="0.2">
      <c r="A2" s="47" t="s">
        <v>1993</v>
      </c>
      <c r="D2" s="48"/>
      <c r="I2" s="1983" t="s">
        <v>979</v>
      </c>
      <c r="J2" s="1982"/>
      <c r="K2" s="1982"/>
      <c r="L2" s="1982"/>
      <c r="M2" s="1982"/>
      <c r="N2" s="1982"/>
      <c r="O2" s="1982"/>
      <c r="P2" s="1982"/>
      <c r="Q2" s="1982"/>
      <c r="R2" s="1982"/>
      <c r="S2" s="1982"/>
    </row>
    <row r="3" spans="1:28" ht="12" customHeight="1" x14ac:dyDescent="0.2">
      <c r="A3" s="155" t="s">
        <v>1945</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2064</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2064</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56099159002</v>
      </c>
      <c r="B13" s="2017"/>
      <c r="C13" s="2017"/>
      <c r="D13" s="2017"/>
      <c r="E13" s="2017"/>
      <c r="F13" s="2017"/>
      <c r="G13" s="2017"/>
      <c r="H13" s="2018"/>
      <c r="I13" s="31"/>
      <c r="J13" s="30"/>
      <c r="K13" s="28"/>
      <c r="L13" s="30"/>
      <c r="M13" s="30"/>
      <c r="N13" s="30"/>
      <c r="O13" s="30"/>
      <c r="P13" s="30"/>
      <c r="Q13" s="30"/>
      <c r="R13" s="30"/>
      <c r="S13" s="30"/>
      <c r="T13" s="2021" t="s">
        <v>2072</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2065</v>
      </c>
      <c r="B15" s="2019"/>
      <c r="C15" s="2019"/>
      <c r="D15" s="2019"/>
      <c r="E15" s="2019"/>
      <c r="F15" s="2019"/>
      <c r="G15" s="2019"/>
      <c r="H15" s="2020"/>
      <c r="T15" s="2025" t="s">
        <v>2073</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2125</v>
      </c>
      <c r="B17" s="1976"/>
      <c r="C17" s="1976"/>
      <c r="D17" s="1976"/>
      <c r="E17" s="1976"/>
      <c r="F17" s="1976"/>
      <c r="G17" s="1976"/>
      <c r="H17" s="2001"/>
      <c r="T17" s="2032" t="s">
        <v>2074</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2066</v>
      </c>
      <c r="B19" s="1961"/>
      <c r="C19" s="1961"/>
      <c r="D19" s="1961"/>
      <c r="E19" s="1961"/>
      <c r="F19" s="1961"/>
      <c r="G19" s="1961"/>
      <c r="H19" s="1941"/>
      <c r="I19" s="30"/>
      <c r="J19" s="99"/>
      <c r="K19" s="40"/>
      <c r="L19" s="38"/>
      <c r="M19" s="112" t="s">
        <v>315</v>
      </c>
      <c r="P19" s="27"/>
      <c r="Q19" s="27"/>
      <c r="R19" s="27"/>
      <c r="S19" s="31"/>
      <c r="T19" s="2015" t="s">
        <v>2075</v>
      </c>
      <c r="U19" s="1940"/>
      <c r="V19" s="1940"/>
      <c r="W19" s="1941"/>
      <c r="X19" s="2030" t="s">
        <v>2076</v>
      </c>
      <c r="Y19" s="2031"/>
      <c r="Z19" s="2028">
        <v>60563</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2067</v>
      </c>
      <c r="B21" s="1940"/>
      <c r="C21" s="1940"/>
      <c r="D21" s="1940"/>
      <c r="E21" s="1940"/>
      <c r="F21" s="1940"/>
      <c r="G21" s="1940"/>
      <c r="H21" s="1941"/>
      <c r="I21" s="1995" t="s">
        <v>678</v>
      </c>
      <c r="J21" s="1990"/>
      <c r="K21" s="1990"/>
      <c r="L21" s="1990"/>
      <c r="M21" s="1990"/>
      <c r="N21" s="1990"/>
      <c r="O21" s="1990"/>
      <c r="P21" s="1990"/>
      <c r="Q21" s="1990"/>
      <c r="R21" s="1990"/>
      <c r="S21" s="1996"/>
      <c r="T21" s="2039" t="s">
        <v>2077</v>
      </c>
      <c r="U21" s="2040"/>
      <c r="V21" s="2040"/>
      <c r="W21" s="2040"/>
      <c r="X21" s="2045" t="s">
        <v>2078</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2068</v>
      </c>
      <c r="B23" s="1993"/>
      <c r="C23" s="1993"/>
      <c r="D23" s="1993"/>
      <c r="E23" s="1993"/>
      <c r="F23" s="1993"/>
      <c r="G23" s="1993"/>
      <c r="H23" s="1994"/>
      <c r="T23" s="1975" t="s">
        <v>2079</v>
      </c>
      <c r="U23" s="2038"/>
      <c r="V23" s="2038"/>
      <c r="W23" s="2038"/>
      <c r="X23" s="2042">
        <v>44469</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60448</v>
      </c>
      <c r="B25" s="1940"/>
      <c r="C25" s="1940"/>
      <c r="D25" s="1940"/>
      <c r="E25" s="1940"/>
      <c r="F25" s="1940"/>
      <c r="G25" s="1940"/>
      <c r="H25" s="1941"/>
      <c r="I25" s="113"/>
      <c r="J25" s="1964"/>
      <c r="K25" s="1964"/>
      <c r="L25" s="1964"/>
      <c r="M25" s="1964"/>
      <c r="N25" s="1964"/>
      <c r="O25" s="1964"/>
      <c r="P25" s="1964"/>
      <c r="Q25" s="1964"/>
      <c r="R25" s="1964"/>
      <c r="S25" s="1965"/>
      <c r="T25" s="2035" t="s">
        <v>2080</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02"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02"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2069</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2070</v>
      </c>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2071</v>
      </c>
      <c r="B42" s="1959"/>
      <c r="C42" s="1960"/>
      <c r="D42" s="1958"/>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workbookViewId="0"/>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1951</v>
      </c>
      <c r="C2" s="714" t="s">
        <v>1952</v>
      </c>
      <c r="D2" s="714" t="s">
        <v>1953</v>
      </c>
      <c r="E2" s="714" t="s">
        <v>1954</v>
      </c>
      <c r="F2" s="714" t="s">
        <v>1955</v>
      </c>
    </row>
    <row r="3" spans="1:6" ht="12" customHeight="1" x14ac:dyDescent="0.2">
      <c r="A3" s="2182"/>
      <c r="B3" s="1525"/>
      <c r="C3" s="1526"/>
      <c r="D3" s="1527" t="s">
        <v>256</v>
      </c>
      <c r="E3" s="1526"/>
      <c r="F3" s="1527" t="s">
        <v>257</v>
      </c>
    </row>
    <row r="4" spans="1:6" ht="13.7" customHeight="1" x14ac:dyDescent="0.2">
      <c r="A4" s="715" t="s">
        <v>1155</v>
      </c>
      <c r="B4" s="1749">
        <f>'Revenues 9-14'!C5</f>
        <v>11682835</v>
      </c>
      <c r="C4" s="1524">
        <v>6330266</v>
      </c>
      <c r="D4" s="1752">
        <f>B4-C4</f>
        <v>5352569</v>
      </c>
      <c r="E4" s="1524">
        <v>12074108</v>
      </c>
      <c r="F4" s="1752">
        <f>E4-C4</f>
        <v>5743842</v>
      </c>
    </row>
    <row r="5" spans="1:6" ht="13.7" customHeight="1" x14ac:dyDescent="0.2">
      <c r="A5" s="715" t="s">
        <v>870</v>
      </c>
      <c r="B5" s="1750">
        <f>'Revenues 9-14'!D5</f>
        <v>1214412</v>
      </c>
      <c r="C5" s="585">
        <v>652070</v>
      </c>
      <c r="D5" s="1753">
        <f t="shared" ref="D5:D18" si="0">B5-C5</f>
        <v>562342</v>
      </c>
      <c r="E5" s="585">
        <v>1243733</v>
      </c>
      <c r="F5" s="1753">
        <f>E5-C5</f>
        <v>591663</v>
      </c>
    </row>
    <row r="6" spans="1:6" ht="13.7" customHeight="1" x14ac:dyDescent="0.2">
      <c r="A6" s="715" t="s">
        <v>411</v>
      </c>
      <c r="B6" s="1750">
        <f>'Revenues 9-14'!E5</f>
        <v>2215469</v>
      </c>
      <c r="C6" s="585">
        <v>1180188</v>
      </c>
      <c r="D6" s="1753">
        <f t="shared" si="0"/>
        <v>1035281</v>
      </c>
      <c r="E6" s="585">
        <v>2251045</v>
      </c>
      <c r="F6" s="1753">
        <f t="shared" ref="F6:F18" si="1">E6-C6</f>
        <v>1070857</v>
      </c>
    </row>
    <row r="7" spans="1:6" ht="13.7" customHeight="1" x14ac:dyDescent="0.2">
      <c r="A7" s="715" t="s">
        <v>155</v>
      </c>
      <c r="B7" s="1750">
        <f>'Revenues 9-14'!F5</f>
        <v>415659</v>
      </c>
      <c r="C7" s="585">
        <v>223363</v>
      </c>
      <c r="D7" s="1753">
        <f t="shared" si="0"/>
        <v>192296</v>
      </c>
      <c r="E7" s="585">
        <v>426033</v>
      </c>
      <c r="F7" s="1753">
        <f t="shared" si="1"/>
        <v>202670</v>
      </c>
    </row>
    <row r="8" spans="1:6" ht="13.7" customHeight="1" x14ac:dyDescent="0.2">
      <c r="A8" s="715" t="s">
        <v>1179</v>
      </c>
      <c r="B8" s="1750">
        <f>'Revenues 9-14'!G5</f>
        <v>392078</v>
      </c>
      <c r="C8" s="585">
        <v>105313</v>
      </c>
      <c r="D8" s="1753">
        <f t="shared" si="0"/>
        <v>286765</v>
      </c>
      <c r="E8" s="585">
        <v>200870</v>
      </c>
      <c r="F8" s="1753">
        <f t="shared" si="1"/>
        <v>95557</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68709</v>
      </c>
      <c r="C10" s="585">
        <v>36968</v>
      </c>
      <c r="D10" s="1753">
        <f t="shared" si="0"/>
        <v>31741</v>
      </c>
      <c r="E10" s="585">
        <v>70512</v>
      </c>
      <c r="F10" s="1753">
        <f t="shared" si="1"/>
        <v>33544</v>
      </c>
    </row>
    <row r="11" spans="1:6" x14ac:dyDescent="0.2">
      <c r="A11" s="715" t="s">
        <v>409</v>
      </c>
      <c r="B11" s="1750">
        <f>'Revenues 9-14'!J5</f>
        <v>147460</v>
      </c>
      <c r="C11" s="585">
        <v>79218</v>
      </c>
      <c r="D11" s="1753">
        <f t="shared" si="0"/>
        <v>68242</v>
      </c>
      <c r="E11" s="585">
        <v>151097</v>
      </c>
      <c r="F11" s="1753">
        <f t="shared" si="1"/>
        <v>71879</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465077</v>
      </c>
      <c r="C14" s="585">
        <v>249769</v>
      </c>
      <c r="D14" s="1753">
        <f t="shared" si="0"/>
        <v>215308</v>
      </c>
      <c r="E14" s="585">
        <v>476399</v>
      </c>
      <c r="F14" s="1753">
        <f t="shared" si="1"/>
        <v>226630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v>105313</v>
      </c>
      <c r="D16" s="1753">
        <f t="shared" si="0"/>
        <v>-105313</v>
      </c>
      <c r="E16" s="585">
        <v>200870</v>
      </c>
      <c r="F16" s="1753">
        <f t="shared" si="1"/>
        <v>95557</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16601699</v>
      </c>
      <c r="C19" s="1751">
        <f>SUM(C4:C18)</f>
        <v>8962468</v>
      </c>
      <c r="D19" s="1751">
        <f>SUM(D4:D18)</f>
        <v>7639231</v>
      </c>
      <c r="E19" s="1751">
        <f>SUM(E4:E18)</f>
        <v>17094667</v>
      </c>
      <c r="F19" s="1751">
        <f>SUM(F4:F18)</f>
        <v>8132199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topLeftCell="A25"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1802</v>
      </c>
      <c r="B2" s="2209"/>
      <c r="C2" s="1884" t="s">
        <v>1956</v>
      </c>
      <c r="D2" s="723" t="s">
        <v>1957</v>
      </c>
      <c r="E2" s="723" t="s">
        <v>1958</v>
      </c>
      <c r="F2" s="1884" t="s">
        <v>1959</v>
      </c>
    </row>
    <row r="3" spans="1:7" ht="15.75" customHeight="1" x14ac:dyDescent="0.2">
      <c r="A3" s="2210" t="s">
        <v>1114</v>
      </c>
      <c r="B3" s="2211"/>
      <c r="C3" s="2204"/>
      <c r="D3" s="2205"/>
      <c r="E3" s="2205"/>
      <c r="F3" s="2206"/>
    </row>
    <row r="4" spans="1:7" ht="12.75" customHeight="1" thickBot="1" x14ac:dyDescent="0.25">
      <c r="A4" s="2198" t="s">
        <v>630</v>
      </c>
      <c r="B4" s="2199"/>
      <c r="C4" s="581"/>
      <c r="D4" s="581"/>
      <c r="E4" s="581"/>
      <c r="F4" s="1755">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5">
        <f>SUM(C17+D17)-E17</f>
        <v>0</v>
      </c>
    </row>
    <row r="18" spans="1:11" ht="12.75" customHeight="1" thickTop="1" thickBot="1" x14ac:dyDescent="0.25">
      <c r="A18" s="2189" t="s">
        <v>6</v>
      </c>
      <c r="B18" s="2190"/>
      <c r="C18" s="726"/>
      <c r="D18" s="585"/>
      <c r="E18" s="726"/>
      <c r="F18" s="1755">
        <f>SUM(C18+D18)-E18</f>
        <v>0</v>
      </c>
    </row>
    <row r="19" spans="1:11" ht="12.75" customHeight="1" thickTop="1" thickBot="1" x14ac:dyDescent="0.25">
      <c r="A19" s="2189" t="s">
        <v>388</v>
      </c>
      <c r="B19" s="2190"/>
      <c r="C19" s="726"/>
      <c r="D19" s="585"/>
      <c r="E19" s="726"/>
      <c r="F19" s="1755">
        <f>SUM(C19+D19)-E19</f>
        <v>0</v>
      </c>
    </row>
    <row r="20" spans="1:11" ht="12.75" customHeight="1" thickTop="1" thickBot="1" x14ac:dyDescent="0.25">
      <c r="A20" s="2189" t="s">
        <v>448</v>
      </c>
      <c r="B20" s="2190"/>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2081</v>
      </c>
      <c r="B31" s="733">
        <v>40698</v>
      </c>
      <c r="C31" s="734">
        <v>8439978</v>
      </c>
      <c r="D31" s="735">
        <v>6</v>
      </c>
      <c r="E31" s="734">
        <v>996106</v>
      </c>
      <c r="F31" s="734"/>
      <c r="G31" s="734"/>
      <c r="H31" s="734">
        <v>515535</v>
      </c>
      <c r="I31" s="1756">
        <f>((E31+F31)-H31)+G31</f>
        <v>480571</v>
      </c>
      <c r="J31" s="734">
        <f>I31</f>
        <v>480571</v>
      </c>
      <c r="K31" s="736"/>
    </row>
    <row r="32" spans="1:11" ht="12" customHeight="1" x14ac:dyDescent="0.2">
      <c r="A32" s="732" t="s">
        <v>2082</v>
      </c>
      <c r="B32" s="733">
        <v>42436</v>
      </c>
      <c r="C32" s="734">
        <v>2865000</v>
      </c>
      <c r="D32" s="735">
        <v>1</v>
      </c>
      <c r="E32" s="734">
        <v>2670000</v>
      </c>
      <c r="F32" s="734"/>
      <c r="G32" s="734"/>
      <c r="H32" s="734">
        <v>110000</v>
      </c>
      <c r="I32" s="1756">
        <f>((E32+F32)-H32)+G32</f>
        <v>2560000</v>
      </c>
      <c r="J32" s="734">
        <f>I32</f>
        <v>2560000</v>
      </c>
      <c r="K32" s="736"/>
    </row>
    <row r="33" spans="1:11" ht="12" customHeight="1" x14ac:dyDescent="0.2">
      <c r="A33" s="732" t="s">
        <v>2083</v>
      </c>
      <c r="B33" s="733">
        <v>42436</v>
      </c>
      <c r="C33" s="734">
        <v>4080800</v>
      </c>
      <c r="D33" s="735">
        <v>3</v>
      </c>
      <c r="E33" s="734">
        <v>4080000</v>
      </c>
      <c r="F33" s="734"/>
      <c r="G33" s="734"/>
      <c r="H33" s="734"/>
      <c r="I33" s="1756">
        <f t="shared" ref="I33:I48" si="1">((E33+F33)-H33)+G33</f>
        <v>4080000</v>
      </c>
      <c r="J33" s="734">
        <f>I33-'Assets-Liab 5-6'!N21</f>
        <v>4080000</v>
      </c>
      <c r="K33" s="736"/>
    </row>
    <row r="34" spans="1:11" ht="12" customHeight="1" x14ac:dyDescent="0.2">
      <c r="A34" s="732" t="s">
        <v>2084</v>
      </c>
      <c r="B34" s="733">
        <v>42561</v>
      </c>
      <c r="C34" s="734">
        <v>502324</v>
      </c>
      <c r="D34" s="735">
        <v>7</v>
      </c>
      <c r="E34" s="734">
        <v>186859</v>
      </c>
      <c r="F34" s="734"/>
      <c r="G34" s="734"/>
      <c r="H34" s="734">
        <v>106023</v>
      </c>
      <c r="I34" s="1756">
        <f t="shared" si="1"/>
        <v>80836</v>
      </c>
      <c r="J34" s="734">
        <f>I34</f>
        <v>80836</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15888102</v>
      </c>
      <c r="D49" s="745"/>
      <c r="E49" s="1756">
        <f t="shared" ref="E49:J49" si="2">SUM(E31:E48)</f>
        <v>7932965</v>
      </c>
      <c r="F49" s="1756">
        <f t="shared" si="2"/>
        <v>0</v>
      </c>
      <c r="G49" s="1756">
        <f t="shared" si="2"/>
        <v>0</v>
      </c>
      <c r="H49" s="1756">
        <f t="shared" si="2"/>
        <v>731558</v>
      </c>
      <c r="I49" s="1756">
        <f t="shared" si="2"/>
        <v>7201407</v>
      </c>
      <c r="J49" s="1756">
        <f t="shared" si="2"/>
        <v>7201407</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t="s">
        <v>2085</v>
      </c>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1964</v>
      </c>
      <c r="B3" s="2235"/>
      <c r="C3" s="2235"/>
      <c r="D3" s="2235"/>
      <c r="E3" s="2236"/>
      <c r="F3" s="763"/>
      <c r="G3" s="764"/>
      <c r="H3" s="764"/>
      <c r="I3" s="764"/>
      <c r="J3" s="765"/>
      <c r="K3" s="765"/>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466051</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5" t="s">
        <v>1813</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7"/>
      <c r="G12" s="1758">
        <f>SUM(G5:G11)</f>
        <v>0</v>
      </c>
      <c r="H12" s="1758">
        <f>SUM(H5:H11)</f>
        <v>466051</v>
      </c>
      <c r="I12" s="1758">
        <f>SUM(I5:I11)</f>
        <v>0</v>
      </c>
      <c r="J12" s="1758">
        <f>SUM(J5:J11)</f>
        <v>0</v>
      </c>
      <c r="K12" s="1758">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c r="I14" s="771"/>
      <c r="J14" s="773"/>
      <c r="K14" s="765"/>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1809</v>
      </c>
      <c r="B19" s="2224"/>
      <c r="C19" s="2224"/>
      <c r="D19" s="2224"/>
      <c r="E19" s="2225"/>
      <c r="F19" s="789" t="s">
        <v>933</v>
      </c>
      <c r="G19" s="782"/>
      <c r="H19" s="782"/>
      <c r="I19" s="782"/>
      <c r="J19" s="765"/>
      <c r="K19" s="795"/>
    </row>
    <row r="20" spans="1:11" x14ac:dyDescent="0.2">
      <c r="A20" s="2226" t="s">
        <v>1814</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1815</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1"/>
      <c r="G23" s="1758">
        <f>SUM(G14:G16,G21,G22)</f>
        <v>0</v>
      </c>
      <c r="H23" s="1758">
        <f>SUM(H14:H16,H21,H22)</f>
        <v>0</v>
      </c>
      <c r="I23" s="1758">
        <f>SUM(I14:I16,I21,I22)</f>
        <v>0</v>
      </c>
      <c r="J23" s="1758">
        <f>SUM(J14:J16,J21,J22)</f>
        <v>0</v>
      </c>
      <c r="K23" s="1758">
        <f>SUM(K14:K16,K21,K22)</f>
        <v>0</v>
      </c>
    </row>
    <row r="24" spans="1:11" ht="14.25" thickTop="1" thickBot="1" x14ac:dyDescent="0.25">
      <c r="A24" s="2246" t="s">
        <v>1965</v>
      </c>
      <c r="B24" s="2245"/>
      <c r="C24" s="2245"/>
      <c r="D24" s="2245"/>
      <c r="E24" s="2245"/>
      <c r="F24" s="1762"/>
      <c r="G24" s="1763">
        <f>SUM(G3,G12)-G23</f>
        <v>0</v>
      </c>
      <c r="H24" s="1763">
        <f>SUM(H3,H12)-H23</f>
        <v>466051</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466051</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topLeftCell="A4" workbookViewId="0"/>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6"/>
      <c r="E1" s="827"/>
      <c r="F1" s="827"/>
      <c r="G1" s="828"/>
      <c r="H1" s="829"/>
      <c r="I1" s="830"/>
      <c r="J1" s="2249"/>
      <c r="K1" s="2250"/>
      <c r="L1" s="225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723912</v>
      </c>
      <c r="D5" s="841"/>
      <c r="E5" s="841"/>
      <c r="F5" s="1760">
        <f>(C5+D5)-E5</f>
        <v>723912</v>
      </c>
      <c r="G5" s="837"/>
      <c r="H5" s="842"/>
      <c r="I5" s="842"/>
      <c r="J5" s="842"/>
      <c r="K5" s="793"/>
      <c r="L5" s="1769">
        <f>F5-K5</f>
        <v>723912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29483208</v>
      </c>
      <c r="D8" s="844">
        <v>374060</v>
      </c>
      <c r="E8" s="844"/>
      <c r="F8" s="1760">
        <f>(C8+D8)-E8</f>
        <v>29857268</v>
      </c>
      <c r="G8" s="843">
        <v>50</v>
      </c>
      <c r="H8" s="765">
        <v>15454575</v>
      </c>
      <c r="I8" s="765">
        <v>725379</v>
      </c>
      <c r="J8" s="765"/>
      <c r="K8" s="1769">
        <f>(H8+I8)-J8</f>
        <v>16179954</v>
      </c>
      <c r="L8" s="1769">
        <f>F8-K8</f>
        <v>13677314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723912</v>
      </c>
      <c r="D10" s="846"/>
      <c r="E10" s="846"/>
      <c r="F10" s="1764">
        <f>(C10+D10)-E10</f>
        <v>723912</v>
      </c>
      <c r="G10" s="843">
        <v>20</v>
      </c>
      <c r="H10" s="847">
        <v>650045</v>
      </c>
      <c r="I10" s="847">
        <v>18936</v>
      </c>
      <c r="J10" s="847"/>
      <c r="K10" s="1769">
        <f>(H10+I10)-J10</f>
        <v>668981</v>
      </c>
      <c r="L10" s="1769">
        <f>F10-K10</f>
        <v>54931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4316449</v>
      </c>
      <c r="D12" s="844">
        <v>48134</v>
      </c>
      <c r="E12" s="844"/>
      <c r="F12" s="1760">
        <f>(C12+D12)-E12</f>
        <v>4364583</v>
      </c>
      <c r="G12" s="843">
        <v>10</v>
      </c>
      <c r="H12" s="765">
        <v>4038651</v>
      </c>
      <c r="I12" s="765">
        <v>82666</v>
      </c>
      <c r="J12" s="765"/>
      <c r="K12" s="1769">
        <f>(H12+I12)-J12</f>
        <v>4121317</v>
      </c>
      <c r="L12" s="1769">
        <f>F12-K12</f>
        <v>243266</v>
      </c>
    </row>
    <row r="13" spans="1:14" ht="14.25" thickTop="1" thickBot="1" x14ac:dyDescent="0.25">
      <c r="A13" s="848" t="s">
        <v>1122</v>
      </c>
      <c r="B13" s="840">
        <v>252</v>
      </c>
      <c r="C13" s="844">
        <v>564413</v>
      </c>
      <c r="D13" s="844">
        <v>24388</v>
      </c>
      <c r="E13" s="844">
        <v>472957</v>
      </c>
      <c r="F13" s="1760">
        <f>(C13+D13)-E13</f>
        <v>115844</v>
      </c>
      <c r="G13" s="843">
        <v>5</v>
      </c>
      <c r="H13" s="765">
        <v>394709</v>
      </c>
      <c r="I13" s="765">
        <v>55141</v>
      </c>
      <c r="J13" s="765">
        <v>334006</v>
      </c>
      <c r="K13" s="1769">
        <f>(H13+I13)-J13</f>
        <v>115844</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35811894</v>
      </c>
      <c r="D16" s="1760">
        <f>SUM(D3,D5:D6,D8:D10,D12:D15)</f>
        <v>446582</v>
      </c>
      <c r="E16" s="1760">
        <f>SUM(E3,E5:E6,E8:E10,E12:E15)</f>
        <v>472957</v>
      </c>
      <c r="F16" s="1760">
        <f>SUM(F3,F5:F6,F8:F10,F12:F15)</f>
        <v>35785519</v>
      </c>
      <c r="G16" s="843"/>
      <c r="H16" s="1760">
        <f>SUM(H3,H6,H8:H10,H12:H14,)</f>
        <v>20537980</v>
      </c>
      <c r="I16" s="1760">
        <f>SUM(I3,I6,I8:I10,I12:I14,)</f>
        <v>882122</v>
      </c>
      <c r="J16" s="1760">
        <f>SUM(J3,J6,J8:J10,J12:J14,)</f>
        <v>334006</v>
      </c>
      <c r="K16" s="1760">
        <f>(H16+I16)-J16</f>
        <v>21086096</v>
      </c>
      <c r="L16" s="1760">
        <f>F16-K16</f>
        <v>14699423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90865</v>
      </c>
      <c r="G17" s="837">
        <v>10</v>
      </c>
      <c r="H17" s="769"/>
      <c r="I17" s="1769">
        <f>F17/G17</f>
        <v>9086.5</v>
      </c>
      <c r="J17" s="769"/>
      <c r="K17" s="795"/>
      <c r="L17" s="795"/>
    </row>
    <row r="18" spans="1:12" ht="14.25" thickTop="1" thickBot="1" x14ac:dyDescent="0.25">
      <c r="A18" s="1767" t="s">
        <v>685</v>
      </c>
      <c r="B18" s="1768"/>
      <c r="C18" s="771"/>
      <c r="D18" s="771"/>
      <c r="E18" s="771"/>
      <c r="F18" s="850"/>
      <c r="G18" s="851"/>
      <c r="H18" s="773"/>
      <c r="I18" s="1760">
        <f>SUM(I16,I17)</f>
        <v>891208.5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topLeftCell="A160" workbookViewId="0"/>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1975</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14284004</v>
      </c>
      <c r="G8" s="865"/>
    </row>
    <row r="9" spans="1:7" x14ac:dyDescent="0.2">
      <c r="A9" s="869" t="s">
        <v>460</v>
      </c>
      <c r="B9" s="870" t="s">
        <v>1877</v>
      </c>
      <c r="C9" s="871"/>
      <c r="D9" s="869" t="s">
        <v>501</v>
      </c>
      <c r="E9" s="868"/>
      <c r="F9" s="1909">
        <f>'Expenditures 15-22'!K151</f>
        <v>2675319</v>
      </c>
      <c r="G9" s="872"/>
    </row>
    <row r="10" spans="1:7" x14ac:dyDescent="0.2">
      <c r="A10" s="869" t="s">
        <v>499</v>
      </c>
      <c r="B10" s="870" t="s">
        <v>1878</v>
      </c>
      <c r="C10" s="871"/>
      <c r="D10" s="869" t="s">
        <v>501</v>
      </c>
      <c r="E10" s="868"/>
      <c r="F10" s="1909">
        <f>'Expenditures 15-22'!K174</f>
        <v>2262206</v>
      </c>
      <c r="G10" s="872"/>
    </row>
    <row r="11" spans="1:7" x14ac:dyDescent="0.2">
      <c r="A11" s="869" t="s">
        <v>461</v>
      </c>
      <c r="B11" s="870" t="s">
        <v>1879</v>
      </c>
      <c r="C11" s="871"/>
      <c r="D11" s="869" t="s">
        <v>501</v>
      </c>
      <c r="E11" s="868"/>
      <c r="F11" s="1909">
        <f>'Expenditures 15-22'!K210</f>
        <v>877352</v>
      </c>
      <c r="G11" s="872"/>
    </row>
    <row r="12" spans="1:7" x14ac:dyDescent="0.2">
      <c r="A12" s="869" t="s">
        <v>462</v>
      </c>
      <c r="B12" s="870" t="s">
        <v>1880</v>
      </c>
      <c r="C12" s="871"/>
      <c r="D12" s="869" t="s">
        <v>501</v>
      </c>
      <c r="E12" s="868"/>
      <c r="F12" s="1909">
        <f>'Expenditures 15-22'!K295</f>
        <v>506381</v>
      </c>
      <c r="G12" s="872"/>
    </row>
    <row r="13" spans="1:7" x14ac:dyDescent="0.2">
      <c r="A13" s="869" t="s">
        <v>106</v>
      </c>
      <c r="B13" s="870" t="s">
        <v>1881</v>
      </c>
      <c r="C13" s="871"/>
      <c r="D13" s="869" t="s">
        <v>501</v>
      </c>
      <c r="E13" s="868"/>
      <c r="F13" s="1909">
        <f>'Expenditures 15-22'!K342</f>
        <v>120920</v>
      </c>
      <c r="G13" s="873"/>
    </row>
    <row r="14" spans="1:7" ht="12" customHeight="1" thickBot="1" x14ac:dyDescent="0.25">
      <c r="A14" s="1770"/>
      <c r="B14" s="1771"/>
      <c r="C14" s="1772"/>
      <c r="D14" s="1773" t="s">
        <v>501</v>
      </c>
      <c r="E14" s="1774" t="s">
        <v>958</v>
      </c>
      <c r="F14" s="1775">
        <f>SUM(F8:F13)</f>
        <v>20726182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113044</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35867</v>
      </c>
      <c r="G52" s="865"/>
    </row>
    <row r="53" spans="1:7" x14ac:dyDescent="0.2">
      <c r="A53" s="869" t="s">
        <v>459</v>
      </c>
      <c r="B53" s="869" t="s">
        <v>1475</v>
      </c>
      <c r="C53" s="889">
        <f>'Expenditures 15-22'!B102</f>
        <v>4000</v>
      </c>
      <c r="D53" s="888" t="str">
        <f>'Expenditures 15-22'!A102</f>
        <v>Total Payments to Other Govt Units</v>
      </c>
      <c r="E53" s="868"/>
      <c r="F53" s="1913">
        <f>'Expenditures 15-22'!K102</f>
        <v>909857</v>
      </c>
      <c r="G53" s="865"/>
    </row>
    <row r="54" spans="1:7" x14ac:dyDescent="0.2">
      <c r="A54" s="869" t="s">
        <v>459</v>
      </c>
      <c r="B54" s="869" t="s">
        <v>1476</v>
      </c>
      <c r="C54" s="889" t="s">
        <v>982</v>
      </c>
      <c r="D54" s="885" t="s">
        <v>1095</v>
      </c>
      <c r="E54" s="868"/>
      <c r="F54" s="1913">
        <f>'Expenditures 15-22'!G114</f>
        <v>86703</v>
      </c>
      <c r="G54" s="865"/>
    </row>
    <row r="55" spans="1:7" x14ac:dyDescent="0.2">
      <c r="A55" s="869" t="s">
        <v>459</v>
      </c>
      <c r="B55" s="869" t="s">
        <v>1477</v>
      </c>
      <c r="C55" s="889" t="s">
        <v>982</v>
      </c>
      <c r="D55" s="885" t="s">
        <v>291</v>
      </c>
      <c r="E55" s="868"/>
      <c r="F55" s="1913">
        <f>'Expenditures 15-22'!I114</f>
        <v>66398</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28186</v>
      </c>
      <c r="G57" s="865"/>
    </row>
    <row r="58" spans="1:7" x14ac:dyDescent="0.2">
      <c r="A58" s="869" t="s">
        <v>460</v>
      </c>
      <c r="B58" s="869" t="s">
        <v>1883</v>
      </c>
      <c r="C58" s="886" t="s">
        <v>982</v>
      </c>
      <c r="D58" s="885" t="s">
        <v>1095</v>
      </c>
      <c r="E58" s="868"/>
      <c r="F58" s="1915">
        <f>'Expenditures 15-22'!G151</f>
        <v>544251</v>
      </c>
      <c r="G58" s="865"/>
    </row>
    <row r="59" spans="1:7" x14ac:dyDescent="0.2">
      <c r="A59" s="893" t="s">
        <v>460</v>
      </c>
      <c r="B59" s="856" t="s">
        <v>1884</v>
      </c>
      <c r="C59" s="894" t="s">
        <v>982</v>
      </c>
      <c r="D59" s="856" t="s">
        <v>291</v>
      </c>
      <c r="F59" s="1916">
        <f>'Expenditures 15-22'!I151</f>
        <v>24467</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625535</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50130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3453</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2487891</v>
      </c>
      <c r="G76" s="865"/>
    </row>
    <row r="77" spans="1:8" s="893" customFormat="1" ht="12" customHeight="1" thickTop="1" thickBot="1" x14ac:dyDescent="0.25">
      <c r="A77" s="1779"/>
      <c r="B77" s="1776"/>
      <c r="C77" s="1772"/>
      <c r="D77" s="1777" t="s">
        <v>1900</v>
      </c>
      <c r="E77" s="1774"/>
      <c r="F77" s="1780">
        <f>(F14-F76)</f>
        <v>18238291</v>
      </c>
      <c r="G77" s="869"/>
    </row>
    <row r="78" spans="1:8" s="893" customFormat="1" ht="12" customHeight="1" thickTop="1" x14ac:dyDescent="0.2">
      <c r="A78" s="1781"/>
      <c r="B78" s="1776"/>
      <c r="C78" s="1772"/>
      <c r="D78" s="1777" t="s">
        <v>2062</v>
      </c>
      <c r="E78" s="1774"/>
      <c r="F78" s="898">
        <v>1211.7</v>
      </c>
      <c r="G78" s="899"/>
      <c r="H78" s="869"/>
    </row>
    <row r="79" spans="1:8" s="893" customFormat="1" ht="12" customHeight="1" thickBot="1" x14ac:dyDescent="0.25">
      <c r="A79" s="1782"/>
      <c r="B79" s="1776"/>
      <c r="C79" s="1772"/>
      <c r="D79" s="1777" t="s">
        <v>1901</v>
      </c>
      <c r="E79" s="1774" t="s">
        <v>958</v>
      </c>
      <c r="F79" s="1783">
        <f>IF(F78&gt;0,F77/F78," Complete Line 78")</f>
        <v>15051.820582652472</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9134</v>
      </c>
      <c r="G84" s="912"/>
    </row>
    <row r="85" spans="1:7" x14ac:dyDescent="0.2">
      <c r="A85" s="908" t="s">
        <v>461</v>
      </c>
      <c r="B85" s="908" t="s">
        <v>183</v>
      </c>
      <c r="C85" s="913">
        <f>'Revenues 9-14'!B44</f>
        <v>1413</v>
      </c>
      <c r="D85" s="911" t="str">
        <f>'Revenues 9-14'!A44</f>
        <v>Regular - Transp Fees from Other Sources (In State)</v>
      </c>
      <c r="E85" s="906"/>
      <c r="F85" s="1789">
        <f>'Revenues 9-14'!F44</f>
        <v>750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211947</v>
      </c>
      <c r="G94" s="912"/>
    </row>
    <row r="95" spans="1:7" x14ac:dyDescent="0.2">
      <c r="A95" s="908" t="s">
        <v>140</v>
      </c>
      <c r="B95" s="908" t="s">
        <v>175</v>
      </c>
      <c r="C95" s="910">
        <v>1700</v>
      </c>
      <c r="D95" s="918" t="str">
        <f>'Revenues 9-14'!A82</f>
        <v>Total District/School Activity Income</v>
      </c>
      <c r="E95" s="906"/>
      <c r="F95" s="1789">
        <f>SUM('Revenues 9-14'!C82,'Revenues 9-14'!D82)</f>
        <v>56598</v>
      </c>
      <c r="G95" s="912"/>
    </row>
    <row r="96" spans="1:7" x14ac:dyDescent="0.2">
      <c r="A96" s="908" t="s">
        <v>459</v>
      </c>
      <c r="B96" s="908" t="s">
        <v>176</v>
      </c>
      <c r="C96" s="910">
        <f>'Revenues 9-14'!B84</f>
        <v>1811</v>
      </c>
      <c r="D96" s="911" t="str">
        <f>'Revenues 9-14'!A84</f>
        <v>Rentals - Regular Textbooks</v>
      </c>
      <c r="E96" s="906"/>
      <c r="F96" s="1789">
        <f>'Revenues 9-14'!C84</f>
        <v>365527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36277</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122071</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1229</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1256</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222348</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84461</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128563</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12135</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383421</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26308</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34760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582235</v>
      </c>
      <c r="G171" s="927"/>
    </row>
    <row r="172" spans="1:7" x14ac:dyDescent="0.2">
      <c r="A172" s="1918" t="s">
        <v>664</v>
      </c>
      <c r="B172" s="1919" t="s">
        <v>1920</v>
      </c>
      <c r="C172" s="1920">
        <v>3300</v>
      </c>
      <c r="D172" s="1921" t="s">
        <v>1923</v>
      </c>
      <c r="E172" s="906"/>
      <c r="F172" s="1906">
        <v>9085</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2288105</v>
      </c>
    </row>
    <row r="175" spans="1:7" ht="12" customHeight="1" x14ac:dyDescent="0.2">
      <c r="A175" s="1770"/>
      <c r="B175" s="1784"/>
      <c r="C175" s="1785"/>
      <c r="D175" s="1786" t="s">
        <v>2057</v>
      </c>
      <c r="E175" s="1787"/>
      <c r="F175" s="1789">
        <f>'PCTC-OEPP 27-28'!F77-F174</f>
        <v>15950186</v>
      </c>
    </row>
    <row r="176" spans="1:7" ht="12" customHeight="1" x14ac:dyDescent="0.2">
      <c r="A176" s="1770"/>
      <c r="B176" s="1784"/>
      <c r="C176" s="1785"/>
      <c r="D176" s="1786" t="s">
        <v>1817</v>
      </c>
      <c r="E176" s="1787"/>
      <c r="F176" s="1789">
        <f>'Cap Outlay Deprec 26'!I18</f>
        <v>891208.5</v>
      </c>
    </row>
    <row r="177" spans="1:7" ht="12" customHeight="1" x14ac:dyDescent="0.2">
      <c r="A177" s="1770"/>
      <c r="B177" s="1784"/>
      <c r="C177" s="1785"/>
      <c r="D177" s="1786" t="s">
        <v>2058</v>
      </c>
      <c r="E177" s="1787"/>
      <c r="F177" s="1789">
        <f>F175+F176</f>
        <v>16841394.5</v>
      </c>
    </row>
    <row r="178" spans="1:7" ht="12" customHeight="1" x14ac:dyDescent="0.2">
      <c r="A178" s="1770"/>
      <c r="B178" s="1790"/>
      <c r="C178" s="1785"/>
      <c r="D178" s="1786" t="str">
        <f>D78</f>
        <v>9 Month ADA from District Average Daily Attendance/Prior General State Aid Inquiry 2018-2019</v>
      </c>
      <c r="E178" s="1787"/>
      <c r="F178" s="1791">
        <f>'PCTC-OEPP 27-28'!F78</f>
        <v>1211.7</v>
      </c>
      <c r="G178" s="930"/>
    </row>
    <row r="179" spans="1:7" ht="12" customHeight="1" thickBot="1" x14ac:dyDescent="0.25">
      <c r="A179" s="1770"/>
      <c r="B179" s="1790"/>
      <c r="C179" s="1785"/>
      <c r="D179" s="1786" t="s">
        <v>2059</v>
      </c>
      <c r="E179" s="1787" t="s">
        <v>1545</v>
      </c>
      <c r="F179" s="1792">
        <f>F177/F178</f>
        <v>13898.980358174465</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topLeftCell="A13" workbookViewId="0">
      <selection activeCell="B32" sqref="B32"/>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1934</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1976</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t="s">
        <v>2092</v>
      </c>
      <c r="B17" s="1938" t="s">
        <v>2119</v>
      </c>
      <c r="C17" s="1656" t="s">
        <v>2093</v>
      </c>
      <c r="D17" s="1844">
        <v>554</v>
      </c>
      <c r="E17" s="1540">
        <f t="shared" ref="E17:E141" si="0">IF(D17&lt;=25000,D17,IF(D17&gt;25000,25000,0))</f>
        <v>554</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554</v>
      </c>
      <c r="G17" s="1793">
        <f>IF(F17=0,0,D17-F17)</f>
        <v>0</v>
      </c>
      <c r="H17" s="1647"/>
    </row>
    <row r="18" spans="1:8" x14ac:dyDescent="0.25">
      <c r="A18" s="1653" t="s">
        <v>2094</v>
      </c>
      <c r="B18" s="1938" t="s">
        <v>2121</v>
      </c>
      <c r="C18" s="1656" t="s">
        <v>2093</v>
      </c>
      <c r="D18" s="1844">
        <v>3509</v>
      </c>
      <c r="E18" s="1540">
        <f t="shared" ref="E18:E140" si="2">IF(D18&lt;=25000,D18,IF(D18&gt;25000,25000,0))</f>
        <v>3509</v>
      </c>
      <c r="F18" s="1933">
        <f t="shared" si="1"/>
        <v>3509</v>
      </c>
      <c r="G18" s="1793">
        <f t="shared" ref="G18:G140" si="3">IF(F18=0,0,D18-F18)</f>
        <v>0</v>
      </c>
    </row>
    <row r="19" spans="1:8" x14ac:dyDescent="0.25">
      <c r="A19" s="1653" t="s">
        <v>2095</v>
      </c>
      <c r="B19" s="1938" t="s">
        <v>2120</v>
      </c>
      <c r="C19" s="1656" t="s">
        <v>2096</v>
      </c>
      <c r="D19" s="1844">
        <v>6571</v>
      </c>
      <c r="E19" s="1540">
        <f t="shared" si="2"/>
        <v>6571</v>
      </c>
      <c r="F19" s="1933">
        <f t="shared" si="1"/>
        <v>6571</v>
      </c>
      <c r="G19" s="1793">
        <f t="shared" si="3"/>
        <v>0</v>
      </c>
    </row>
    <row r="20" spans="1:8" x14ac:dyDescent="0.25">
      <c r="A20" s="1653" t="s">
        <v>2097</v>
      </c>
      <c r="B20" s="1938" t="s">
        <v>2122</v>
      </c>
      <c r="C20" s="1656" t="s">
        <v>2098</v>
      </c>
      <c r="D20" s="1844">
        <v>49387</v>
      </c>
      <c r="E20" s="1540">
        <f t="shared" si="2"/>
        <v>25000</v>
      </c>
      <c r="F20" s="1933">
        <f t="shared" si="1"/>
        <v>25000</v>
      </c>
      <c r="G20" s="1793">
        <f t="shared" si="3"/>
        <v>24387</v>
      </c>
    </row>
    <row r="21" spans="1:8" x14ac:dyDescent="0.25">
      <c r="A21" s="1653" t="s">
        <v>2097</v>
      </c>
      <c r="B21" s="1938" t="s">
        <v>2122</v>
      </c>
      <c r="C21" s="1656" t="s">
        <v>2099</v>
      </c>
      <c r="D21" s="1844">
        <v>26377</v>
      </c>
      <c r="E21" s="1540">
        <f t="shared" si="2"/>
        <v>25000</v>
      </c>
      <c r="F21" s="1933">
        <f t="shared" si="1"/>
        <v>25000</v>
      </c>
      <c r="G21" s="1793">
        <f t="shared" si="3"/>
        <v>1377</v>
      </c>
    </row>
    <row r="22" spans="1:8" x14ac:dyDescent="0.25">
      <c r="A22" s="1653" t="s">
        <v>2097</v>
      </c>
      <c r="B22" s="1938" t="s">
        <v>2122</v>
      </c>
      <c r="C22" s="1656" t="s">
        <v>2096</v>
      </c>
      <c r="D22" s="1844">
        <v>39967</v>
      </c>
      <c r="E22" s="1540">
        <f t="shared" si="2"/>
        <v>25000</v>
      </c>
      <c r="F22" s="1933">
        <f t="shared" si="1"/>
        <v>25000</v>
      </c>
      <c r="G22" s="1793">
        <f t="shared" si="3"/>
        <v>14967</v>
      </c>
    </row>
    <row r="23" spans="1:8" x14ac:dyDescent="0.25">
      <c r="A23" s="1653" t="s">
        <v>2100</v>
      </c>
      <c r="B23" s="1938" t="s">
        <v>2123</v>
      </c>
      <c r="C23" s="1656" t="s">
        <v>2101</v>
      </c>
      <c r="D23" s="1844">
        <v>806471</v>
      </c>
      <c r="E23" s="1540">
        <f t="shared" si="2"/>
        <v>25000</v>
      </c>
      <c r="F23" s="1933">
        <f t="shared" si="1"/>
        <v>25000</v>
      </c>
      <c r="G23" s="1793">
        <f t="shared" si="3"/>
        <v>781471</v>
      </c>
    </row>
    <row r="24" spans="1:8" ht="30" x14ac:dyDescent="0.25">
      <c r="A24" s="1653" t="s">
        <v>2102</v>
      </c>
      <c r="B24" s="1938" t="s">
        <v>2123</v>
      </c>
      <c r="C24" s="1656" t="s">
        <v>2103</v>
      </c>
      <c r="D24" s="1844">
        <v>12994</v>
      </c>
      <c r="E24" s="1540">
        <f t="shared" si="2"/>
        <v>12994</v>
      </c>
      <c r="F24" s="1933">
        <f t="shared" si="1"/>
        <v>12994</v>
      </c>
      <c r="G24" s="1793">
        <f t="shared" si="3"/>
        <v>0</v>
      </c>
    </row>
    <row r="25" spans="1:8" x14ac:dyDescent="0.25">
      <c r="A25" s="1653" t="s">
        <v>2104</v>
      </c>
      <c r="B25" s="1938" t="s">
        <v>2123</v>
      </c>
      <c r="C25" s="1656" t="s">
        <v>2105</v>
      </c>
      <c r="D25" s="1844">
        <v>7448</v>
      </c>
      <c r="E25" s="1540">
        <f t="shared" si="2"/>
        <v>7448</v>
      </c>
      <c r="F25" s="1933">
        <f t="shared" si="1"/>
        <v>7448</v>
      </c>
      <c r="G25" s="1793">
        <f t="shared" si="3"/>
        <v>0</v>
      </c>
    </row>
    <row r="26" spans="1:8" x14ac:dyDescent="0.25">
      <c r="A26" s="1653" t="s">
        <v>2104</v>
      </c>
      <c r="B26" s="1938" t="s">
        <v>2123</v>
      </c>
      <c r="C26" s="1654" t="s">
        <v>2106</v>
      </c>
      <c r="D26" s="1844">
        <v>8826</v>
      </c>
      <c r="E26" s="1540">
        <f t="shared" si="2"/>
        <v>8826</v>
      </c>
      <c r="F26" s="1933">
        <f t="shared" si="1"/>
        <v>8826</v>
      </c>
      <c r="G26" s="1793">
        <f t="shared" si="3"/>
        <v>0</v>
      </c>
    </row>
    <row r="27" spans="1:8" x14ac:dyDescent="0.25">
      <c r="A27" s="1653" t="s">
        <v>2104</v>
      </c>
      <c r="B27" s="1938" t="s">
        <v>2123</v>
      </c>
      <c r="C27" s="1654" t="s">
        <v>2107</v>
      </c>
      <c r="D27" s="1844">
        <v>76992</v>
      </c>
      <c r="E27" s="1540">
        <f t="shared" si="2"/>
        <v>25000</v>
      </c>
      <c r="F27" s="1933">
        <f t="shared" si="1"/>
        <v>25000</v>
      </c>
      <c r="G27" s="1793">
        <f t="shared" si="3"/>
        <v>51992</v>
      </c>
    </row>
    <row r="28" spans="1:8" x14ac:dyDescent="0.25">
      <c r="A28" s="1653" t="s">
        <v>2104</v>
      </c>
      <c r="B28" s="1938" t="s">
        <v>2123</v>
      </c>
      <c r="C28" s="1654" t="s">
        <v>2108</v>
      </c>
      <c r="D28" s="1844">
        <v>39659</v>
      </c>
      <c r="E28" s="1540">
        <f t="shared" si="2"/>
        <v>25000</v>
      </c>
      <c r="F28" s="1933">
        <f t="shared" si="1"/>
        <v>25000</v>
      </c>
      <c r="G28" s="1793">
        <f t="shared" si="3"/>
        <v>14659</v>
      </c>
    </row>
    <row r="29" spans="1:8" x14ac:dyDescent="0.25">
      <c r="A29" s="1653" t="s">
        <v>2104</v>
      </c>
      <c r="B29" s="1938" t="s">
        <v>2123</v>
      </c>
      <c r="C29" s="1654" t="s">
        <v>2093</v>
      </c>
      <c r="D29" s="1844">
        <v>5480</v>
      </c>
      <c r="E29" s="1540">
        <f t="shared" si="2"/>
        <v>5480</v>
      </c>
      <c r="F29" s="1933">
        <f t="shared" si="1"/>
        <v>5480</v>
      </c>
      <c r="G29" s="1793">
        <f t="shared" si="3"/>
        <v>0</v>
      </c>
    </row>
    <row r="30" spans="1:8" x14ac:dyDescent="0.25">
      <c r="A30" s="1653" t="s">
        <v>2111</v>
      </c>
      <c r="B30" s="1938" t="s">
        <v>2124</v>
      </c>
      <c r="C30" s="1654" t="s">
        <v>2109</v>
      </c>
      <c r="D30" s="1844">
        <v>43928</v>
      </c>
      <c r="E30" s="1540">
        <f t="shared" si="2"/>
        <v>25000</v>
      </c>
      <c r="F30" s="1933">
        <f t="shared" si="1"/>
        <v>25000</v>
      </c>
      <c r="G30" s="1793">
        <f t="shared" si="3"/>
        <v>18928</v>
      </c>
    </row>
    <row r="31" spans="1:8" x14ac:dyDescent="0.25">
      <c r="A31" s="1653" t="s">
        <v>2111</v>
      </c>
      <c r="B31" s="1938" t="s">
        <v>2124</v>
      </c>
      <c r="C31" s="1654" t="s">
        <v>2110</v>
      </c>
      <c r="D31" s="1844">
        <v>93980</v>
      </c>
      <c r="E31" s="1540">
        <f t="shared" si="2"/>
        <v>25000</v>
      </c>
      <c r="F31" s="1933">
        <f t="shared" si="1"/>
        <v>25000</v>
      </c>
      <c r="G31" s="1793">
        <f t="shared" si="3"/>
        <v>68980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1222143</v>
      </c>
      <c r="E141" s="1541">
        <f t="shared" si="0"/>
        <v>25000</v>
      </c>
      <c r="F141" s="1934">
        <f>SUM(F17:F140)</f>
        <v>245382</v>
      </c>
      <c r="G141" s="1795">
        <f>SUM(G17:G140)</f>
        <v>976761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topLeftCell="A28"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284521</v>
      </c>
      <c r="F10" s="974"/>
      <c r="G10" s="975"/>
      <c r="H10" s="162"/>
      <c r="I10" s="162"/>
    </row>
    <row r="11" spans="1:9" s="668" customFormat="1" ht="22.5" customHeight="1" x14ac:dyDescent="0.2">
      <c r="A11" s="2285" t="s">
        <v>1977</v>
      </c>
      <c r="B11" s="2286"/>
      <c r="C11" s="2286"/>
      <c r="D11" s="2287"/>
      <c r="E11" s="977">
        <v>23498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9866400</v>
      </c>
      <c r="F19" s="1799"/>
      <c r="G19" s="1801">
        <f>'Expenditures 15-22'!K33-SUM('Expenditures 15-22'!G33,'Expenditures 15-22'!I33)+'Expenditures 15-22'!D229</f>
        <v>9866400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631571</v>
      </c>
      <c r="F21" s="1802"/>
      <c r="G21" s="1805">
        <f>'Expenditures 15-22'!K42-SUM('Expenditures 15-22'!G42,'Expenditures 15-22'!I42)+'Expenditures 15-22'!K120-SUM('Expenditures 15-22'!G120,'Expenditures 15-22'!I120)+'Expenditures 15-22'!K180-SUM('Expenditures 15-22'!G180,'Expenditures 15-22'!I180)+'Expenditures 15-22'!D238</f>
        <v>631571</v>
      </c>
      <c r="H21" s="987"/>
      <c r="I21" s="162"/>
    </row>
    <row r="22" spans="1:9" s="668" customFormat="1" ht="12" customHeight="1" x14ac:dyDescent="0.2">
      <c r="A22" s="994" t="s">
        <v>564</v>
      </c>
      <c r="B22" s="995"/>
      <c r="C22" s="993">
        <v>2200</v>
      </c>
      <c r="D22" s="1802"/>
      <c r="E22" s="1804">
        <f>'Expenditures 15-22'!K47-SUM('Expenditures 15-22'!G47,'Expenditures 15-22'!I47)+'Expenditures 15-22'!D243</f>
        <v>463716</v>
      </c>
      <c r="F22" s="1802"/>
      <c r="G22" s="1805">
        <f>'Expenditures 15-22'!K47-SUM('Expenditures 15-22'!G47,'Expenditures 15-22'!I47)+'Expenditures 15-22'!D243</f>
        <v>463716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607282</v>
      </c>
      <c r="F23" s="1802"/>
      <c r="G23" s="1804">
        <f>'Expenditures 15-22'!K53-SUM('Expenditures 15-22'!G53,'Expenditures 15-22'!I53)+'Expenditures 15-22'!D257+'Expenditures 15-22'!K330-SUM('Expenditures 15-22'!G330,'Expenditures 15-22'!I330)</f>
        <v>607282</v>
      </c>
      <c r="H23" s="987"/>
      <c r="I23" s="162"/>
    </row>
    <row r="24" spans="1:9" s="668" customFormat="1" ht="12" customHeight="1" x14ac:dyDescent="0.2">
      <c r="A24" s="994" t="s">
        <v>566</v>
      </c>
      <c r="B24" s="995"/>
      <c r="C24" s="993">
        <v>2400</v>
      </c>
      <c r="D24" s="1802"/>
      <c r="E24" s="1804">
        <f>'Expenditures 15-22'!K57-SUM('Expenditures 15-22'!G57,'Expenditures 15-22'!I57)+'Expenditures 15-22'!D261</f>
        <v>973764</v>
      </c>
      <c r="F24" s="1802"/>
      <c r="G24" s="1805">
        <f>'Expenditures 15-22'!K57-SUM('Expenditures 15-22'!G57,'Expenditures 15-22'!I57)+'Expenditures 15-22'!D261</f>
        <v>973764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83625</v>
      </c>
      <c r="E26" s="1804">
        <f>'Expenditures 15-22'!K122-SUM('Expenditures 15-22'!G122,'Expenditures 15-22'!I122)+E7</f>
        <v>0</v>
      </c>
      <c r="F26" s="1804">
        <f>'Expenditures 15-22'!K59-SUM('Expenditures 15-22'!G59,'Expenditures 15-22'!I59)+'Expenditures 15-22'!D263-E7</f>
        <v>83625</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155605</v>
      </c>
      <c r="E27" s="1804">
        <f>E8</f>
        <v>0</v>
      </c>
      <c r="F27" s="1804">
        <f>'Expenditures 15-22'!K60-SUM('Expenditures 15-22'!G60,'Expenditures 15-22'!I60)+'Expenditures 15-22'!D264-E8</f>
        <v>155605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2122972</v>
      </c>
      <c r="F28" s="1806">
        <f>'Expenditures 15-22'!K61-SUM('Expenditures 15-22'!G61,'Expenditures 15-22'!I61)+'Expenditures 15-22'!K124-SUM('Expenditures 15-22'!G124,'Expenditures 15-22'!I124)+'Expenditures 15-22'!D266-E9</f>
        <v>2122972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891558</v>
      </c>
      <c r="F29" s="1802"/>
      <c r="G29" s="1805">
        <f>'Expenditures 15-22'!K62-SUM('Expenditures 15-22'!G62,'Expenditures 15-22'!I62)+'Expenditures 15-22'!K125-SUM('Expenditures 15-22'!G125,'Expenditures 15-22'!I125)+'Expenditures 15-22'!K182-SUM('Expenditures 15-22'!G182,'Expenditures 15-22'!I182)+'Expenditures 15-22'!D267</f>
        <v>891558</v>
      </c>
      <c r="H29" s="985"/>
    </row>
    <row r="30" spans="1:9" ht="12" customHeight="1" x14ac:dyDescent="0.2">
      <c r="A30" s="994" t="s">
        <v>100</v>
      </c>
      <c r="B30" s="997"/>
      <c r="C30" s="993">
        <v>2560</v>
      </c>
      <c r="D30" s="1802"/>
      <c r="E30" s="1804">
        <f>'Expenditures 15-22'!K63-SUM('Expenditures 15-22'!G63,'Expenditures 15-22'!I63)+'Expenditures 15-22'!D268-E10</f>
        <v>27928</v>
      </c>
      <c r="F30" s="1802"/>
      <c r="G30" s="1804">
        <f>'Expenditures 15-22'!K63-SUM('Expenditures 15-22'!G63,'Expenditures 15-22'!I63)+'Expenditures 15-22'!D268-E10</f>
        <v>27928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19209</v>
      </c>
      <c r="F35" s="1802"/>
      <c r="G35" s="1804">
        <f>'Expenditures 15-22'!K69-SUM('Expenditures 15-22'!G69,'Expenditures 15-22'!I69)+'Expenditures 15-22'!D274</f>
        <v>19209</v>
      </c>
    </row>
    <row r="36" spans="1:7" ht="12" customHeight="1" x14ac:dyDescent="0.2">
      <c r="A36" s="994" t="s">
        <v>403</v>
      </c>
      <c r="B36" s="997"/>
      <c r="C36" s="993">
        <v>2640</v>
      </c>
      <c r="D36" s="1804">
        <f>'Expenditures 15-22'!K70-SUM('Expenditures 15-22'!G70,'Expenditures 15-22'!I70)+'Expenditures 15-22'!D275-E13</f>
        <v>1812</v>
      </c>
      <c r="E36" s="1804">
        <f>E13</f>
        <v>0</v>
      </c>
      <c r="F36" s="1804">
        <f>'Expenditures 15-22'!K70-SUM('Expenditures 15-22'!G70,'Expenditures 15-22'!I70)+'Expenditures 15-22'!D275-E13</f>
        <v>1812</v>
      </c>
      <c r="G36" s="1804">
        <f>E13</f>
        <v>0</v>
      </c>
    </row>
    <row r="37" spans="1:7" ht="12" customHeight="1" x14ac:dyDescent="0.2">
      <c r="A37" s="994" t="s">
        <v>404</v>
      </c>
      <c r="B37" s="997"/>
      <c r="C37" s="993">
        <v>2660</v>
      </c>
      <c r="D37" s="1804">
        <f>'Expenditures 15-22'!K71-SUM('Expenditures 15-22'!G71,'Expenditures 15-22'!I71)+'Expenditures 15-22'!D276-E14</f>
        <v>582257</v>
      </c>
      <c r="E37" s="1804">
        <f>E14</f>
        <v>0</v>
      </c>
      <c r="F37" s="1804">
        <f>'Expenditures 15-22'!K71-SUM('Expenditures 15-22'!G71,'Expenditures 15-22'!I71)+'Expenditures 15-22'!D276-E14</f>
        <v>582257</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5897</v>
      </c>
      <c r="F38" s="1802"/>
      <c r="G38" s="1804">
        <f>'Expenditures 15-22'!K73-SUM('Expenditures 15-22'!G73,'Expenditures 15-22'!I73)+'Expenditures 15-22'!K128-SUM('Expenditures 15-22'!G128,'Expenditures 15-22'!I128)+'Expenditures 15-22'!K183-SUM('Expenditures 15-22'!G183,'Expenditures 15-22'!I183)+'Expenditures 15-22'!D278</f>
        <v>5897</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35867</v>
      </c>
      <c r="F39" s="1802"/>
      <c r="G39" s="1804">
        <f>'Expenditures 15-22'!K75-SUM('Expenditures 15-22'!G75,'Expenditures 15-22'!I75)+'Expenditures 15-22'!K130-SUM('Expenditures 15-22'!G130,'Expenditures 15-22'!I130)+'Expenditures 15-22'!K185-SUM('Expenditures 15-22'!G185,'Expenditures 15-22'!I185)+'Expenditures 15-22'!D280</f>
        <v>35867</v>
      </c>
    </row>
    <row r="40" spans="1:7" ht="12" customHeight="1" x14ac:dyDescent="0.2">
      <c r="A40" s="990" t="s">
        <v>1823</v>
      </c>
      <c r="B40" s="991"/>
      <c r="C40" s="993"/>
      <c r="D40" s="1802"/>
      <c r="E40" s="1806">
        <f>-'Contracts Paid in CY 29'!G141</f>
        <v>-976761</v>
      </c>
      <c r="F40" s="1802"/>
      <c r="G40" s="1806">
        <f>-'Contracts Paid in CY 29'!G141</f>
        <v>-976761</v>
      </c>
    </row>
    <row r="41" spans="1:7" ht="12" customHeight="1" x14ac:dyDescent="0.2">
      <c r="A41" s="998" t="s">
        <v>156</v>
      </c>
      <c r="B41" s="999"/>
      <c r="C41" s="1000"/>
      <c r="D41" s="1806">
        <f>SUM(D19:D39)</f>
        <v>823299</v>
      </c>
      <c r="E41" s="1806">
        <f>SUM(E19:E40)</f>
        <v>14669403</v>
      </c>
      <c r="F41" s="1806">
        <f>SUM(F19:F39)</f>
        <v>2946271</v>
      </c>
      <c r="G41" s="1806">
        <f>SUM(G19:G40)</f>
        <v>12546431</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823299</v>
      </c>
      <c r="F43" s="1807" t="s">
        <v>473</v>
      </c>
      <c r="G43" s="1808">
        <f>F41</f>
        <v>2946271</v>
      </c>
    </row>
    <row r="44" spans="1:7" ht="12" customHeight="1" x14ac:dyDescent="0.2">
      <c r="A44" s="987"/>
      <c r="B44" s="162"/>
      <c r="C44" s="1001"/>
      <c r="D44" s="1807" t="s">
        <v>474</v>
      </c>
      <c r="E44" s="1808">
        <f>E41</f>
        <v>14669403</v>
      </c>
      <c r="F44" s="1807" t="s">
        <v>474</v>
      </c>
      <c r="G44" s="1808">
        <f>G41</f>
        <v>12546431</v>
      </c>
    </row>
    <row r="45" spans="1:7" ht="12" customHeight="1" x14ac:dyDescent="0.2">
      <c r="A45" s="987"/>
      <c r="B45" s="162"/>
      <c r="C45" s="162"/>
      <c r="D45" s="1809" t="s">
        <v>1006</v>
      </c>
      <c r="E45" s="1810">
        <f>(E43/E44)</f>
        <v>5.6123551858245357E-2</v>
      </c>
      <c r="F45" s="1809" t="s">
        <v>1006</v>
      </c>
      <c r="G45" s="1810">
        <f>(G43/G44)</f>
        <v>0.23482941084998593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topLeftCell="A10" workbookViewId="0">
      <selection sqref="A1:F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Mokena SD 159</v>
      </c>
      <c r="D6" s="2306"/>
      <c r="E6" s="2306"/>
      <c r="F6" s="1852"/>
    </row>
    <row r="7" spans="1:10" ht="11.25" customHeight="1" thickBot="1" x14ac:dyDescent="0.3">
      <c r="A7" s="1850"/>
      <c r="B7" s="1851"/>
      <c r="C7" s="2307">
        <f>COVER!A13</f>
        <v>56099159002</v>
      </c>
      <c r="D7" s="2307"/>
      <c r="E7" s="230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t="s">
        <v>2064</v>
      </c>
      <c r="D12" s="1865" t="s">
        <v>2064</v>
      </c>
      <c r="E12" s="1868" t="s">
        <v>2064</v>
      </c>
      <c r="F12" s="1867" t="s">
        <v>2086</v>
      </c>
      <c r="H12" s="1878">
        <f t="shared" ref="H12:H33" si="0">IF(C12="X",5,0)</f>
        <v>5</v>
      </c>
      <c r="I12" s="1878">
        <f t="shared" ref="I12:I33" si="1">IF(D12="X",5,0)</f>
        <v>5</v>
      </c>
      <c r="J12" s="1878">
        <f t="shared" ref="J12:J33" si="2">IF(E12="X",5,0)</f>
        <v>5</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2064</v>
      </c>
      <c r="D16" s="1865" t="s">
        <v>2064</v>
      </c>
      <c r="E16" s="1868" t="s">
        <v>2064</v>
      </c>
      <c r="F16" s="1867" t="s">
        <v>2087</v>
      </c>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2064</v>
      </c>
      <c r="D19" s="1865" t="s">
        <v>2064</v>
      </c>
      <c r="E19" s="1868" t="s">
        <v>2064</v>
      </c>
      <c r="F19" s="1867" t="s">
        <v>2088</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2089</v>
      </c>
      <c r="F26" s="1867" t="s">
        <v>2090</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t="s">
        <v>2064</v>
      </c>
      <c r="F30" s="1867" t="s">
        <v>2091</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1392</v>
      </c>
      <c r="B35" s="1872"/>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topLeftCell="A4"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Mokena SD 159</v>
      </c>
      <c r="J6" s="2316"/>
      <c r="Q6" s="1664"/>
    </row>
    <row r="7" spans="1:17" x14ac:dyDescent="0.2">
      <c r="A7" s="2317" t="s">
        <v>869</v>
      </c>
      <c r="B7" s="2318"/>
      <c r="C7" s="2318"/>
      <c r="D7" s="2318"/>
      <c r="E7" s="2319"/>
      <c r="F7" s="1017"/>
      <c r="G7" s="1009"/>
      <c r="H7" s="1016" t="s">
        <v>372</v>
      </c>
      <c r="I7" s="2320">
        <f>COVER!A13</f>
        <v>56099159002</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353871</v>
      </c>
      <c r="F12" s="1039"/>
      <c r="G12" s="1811">
        <f t="shared" ref="G12:G18" si="0">SUM(E12:F12)</f>
        <v>353871</v>
      </c>
      <c r="H12" s="1040">
        <v>349583</v>
      </c>
      <c r="I12" s="1039"/>
      <c r="J12" s="1811">
        <f t="shared" ref="J12:J18" si="1">SUM(H12:I12)</f>
        <v>349583</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79980</v>
      </c>
      <c r="F15" s="1811">
        <f>'Expenditures 15-22'!K122</f>
        <v>0</v>
      </c>
      <c r="G15" s="1811">
        <f t="shared" si="0"/>
        <v>79980</v>
      </c>
      <c r="H15" s="1040">
        <v>87562</v>
      </c>
      <c r="I15" s="1040"/>
      <c r="J15" s="1811">
        <f t="shared" si="1"/>
        <v>87562</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4" t="s">
        <v>7</v>
      </c>
      <c r="C18" s="2325"/>
      <c r="D18" s="232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433851</v>
      </c>
      <c r="F19" s="1813">
        <f t="shared" si="2"/>
        <v>0</v>
      </c>
      <c r="G19" s="1813">
        <f t="shared" si="2"/>
        <v>433851</v>
      </c>
      <c r="H19" s="1813">
        <f t="shared" si="2"/>
        <v>437145</v>
      </c>
      <c r="I19" s="1813">
        <f t="shared" si="2"/>
        <v>0</v>
      </c>
      <c r="J19" s="1813">
        <f t="shared" si="2"/>
        <v>437145</v>
      </c>
    </row>
    <row r="20" spans="1:10" ht="13.5" thickTop="1" x14ac:dyDescent="0.2">
      <c r="A20" s="1035">
        <v>9</v>
      </c>
      <c r="B20" s="2327" t="s">
        <v>1981</v>
      </c>
      <c r="C20" s="2327"/>
      <c r="D20" s="2328"/>
      <c r="E20" s="1046"/>
      <c r="F20" s="1046"/>
      <c r="G20" s="1046"/>
      <c r="H20" s="1046"/>
      <c r="I20" s="1046"/>
      <c r="J20" s="1814">
        <f>IF(AND(G19&gt;0,J19&gt;0),(((J19-G19)/G19)),"Enter Budget Data")</f>
        <v>7.5924683820021164E-3</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2115</v>
      </c>
    </row>
    <row r="6" spans="1:2" x14ac:dyDescent="0.2">
      <c r="A6" s="1068">
        <v>2</v>
      </c>
      <c r="B6" s="329" t="s">
        <v>2112</v>
      </c>
    </row>
    <row r="7" spans="1:2" x14ac:dyDescent="0.2">
      <c r="A7" s="1068">
        <v>3</v>
      </c>
      <c r="B7" s="329" t="s">
        <v>2114</v>
      </c>
    </row>
    <row r="8" spans="1:2" x14ac:dyDescent="0.2">
      <c r="A8" s="1068">
        <v>4</v>
      </c>
      <c r="B8" s="329" t="s">
        <v>2113</v>
      </c>
    </row>
    <row r="9" spans="1:2" x14ac:dyDescent="0.2">
      <c r="A9" s="1069">
        <v>5</v>
      </c>
      <c r="B9" s="329" t="s">
        <v>2116</v>
      </c>
    </row>
    <row r="10" spans="1:2" x14ac:dyDescent="0.2">
      <c r="A10" s="1069">
        <v>6</v>
      </c>
      <c r="B10" s="329" t="s">
        <v>2117</v>
      </c>
    </row>
    <row r="11" spans="1:2" x14ac:dyDescent="0.2">
      <c r="A11" s="1069">
        <v>7</v>
      </c>
      <c r="B11" s="329" t="s">
        <v>2118</v>
      </c>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Mokena SD 159</v>
      </c>
    </row>
    <row r="65" spans="2:2" x14ac:dyDescent="0.2">
      <c r="B65" s="1070">
        <f>COVER!A13</f>
        <v>56099159002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topLeftCell="A22"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4" r:id="rId6">
          <objectPr defaultSize="0" r:id="rId7">
            <anchor moveWithCells="1">
              <from>
                <xdr:col>1</xdr:col>
                <xdr:colOff>942975</xdr:colOff>
                <xdr:row>1</xdr:row>
                <xdr:rowOff>0</xdr:rowOff>
              </from>
              <to>
                <xdr:col>1</xdr:col>
                <xdr:colOff>1857375</xdr:colOff>
                <xdr:row>5</xdr:row>
                <xdr:rowOff>38100</xdr:rowOff>
              </to>
            </anchor>
          </objectPr>
        </oleObject>
      </mc:Choice>
      <mc:Fallback>
        <oleObject progId="Acrobat Document" dvAspect="DVASPECT_ICON" shapeId="35844" r:id="rId6"/>
      </mc:Fallback>
    </mc:AlternateContent>
    <mc:AlternateContent xmlns:mc="http://schemas.openxmlformats.org/markup-compatibility/2006">
      <mc:Choice Requires="x14">
        <oleObject progId="Acrobat Document" dvAspect="DVASPECT_ICON" shapeId="35845" r:id="rId8">
          <objectPr defaultSize="0" r:id="rId9">
            <anchor moveWithCells="1">
              <from>
                <xdr:col>1</xdr:col>
                <xdr:colOff>9525</xdr:colOff>
                <xdr:row>6</xdr:row>
                <xdr:rowOff>66675</xdr:rowOff>
              </from>
              <to>
                <xdr:col>1</xdr:col>
                <xdr:colOff>923925</xdr:colOff>
                <xdr:row>11</xdr:row>
                <xdr:rowOff>28575</xdr:rowOff>
              </to>
            </anchor>
          </objectPr>
        </oleObject>
      </mc:Choice>
      <mc:Fallback>
        <oleObject progId="Acrobat Document" dvAspect="DVASPECT_ICON" shapeId="35845" r:id="rId8"/>
      </mc:Fallback>
    </mc:AlternateContent>
    <mc:AlternateContent xmlns:mc="http://schemas.openxmlformats.org/markup-compatibility/2006">
      <mc:Choice Requires="x14">
        <oleObject progId="Acrobat Document" dvAspect="DVASPECT_ICON" shapeId="35846" r:id="rId10">
          <objectPr defaultSize="0" r:id="rId11">
            <anchor moveWithCells="1">
              <from>
                <xdr:col>1</xdr:col>
                <xdr:colOff>1123950</xdr:colOff>
                <xdr:row>6</xdr:row>
                <xdr:rowOff>66675</xdr:rowOff>
              </from>
              <to>
                <xdr:col>1</xdr:col>
                <xdr:colOff>2038350</xdr:colOff>
                <xdr:row>11</xdr:row>
                <xdr:rowOff>28575</xdr:rowOff>
              </to>
            </anchor>
          </objectPr>
        </oleObject>
      </mc:Choice>
      <mc:Fallback>
        <oleObject progId="Acrobat Document" dvAspect="DVASPECT_ICON" shapeId="35846"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topLeftCell="A4"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1988</v>
      </c>
      <c r="B4" s="2355"/>
      <c r="C4" s="2355"/>
      <c r="D4" s="2355"/>
      <c r="E4" s="2355"/>
      <c r="F4" s="2356"/>
      <c r="G4" s="1074"/>
      <c r="H4" s="1074"/>
    </row>
    <row r="5" spans="1:8" ht="14.25" customHeight="1" x14ac:dyDescent="0.2">
      <c r="A5" s="2357" t="s">
        <v>1984</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14999898</v>
      </c>
      <c r="C8" s="1815">
        <f>'Acct Summary 7-8'!D8</f>
        <v>1840363</v>
      </c>
      <c r="D8" s="1815">
        <f>'Acct Summary 7-8'!F8</f>
        <v>674934</v>
      </c>
      <c r="E8" s="1815">
        <f>'Acct Summary 7-8'!I8</f>
        <v>116295</v>
      </c>
      <c r="F8" s="1815">
        <f>SUM(B8:E8)</f>
        <v>17631490</v>
      </c>
    </row>
    <row r="9" spans="1:8" s="1079" customFormat="1" ht="14.25" customHeight="1" thickBot="1" x14ac:dyDescent="0.25">
      <c r="A9" s="1078" t="s">
        <v>1369</v>
      </c>
      <c r="B9" s="1816">
        <f>'Acct Summary 7-8'!C17</f>
        <v>14284004</v>
      </c>
      <c r="C9" s="1816">
        <f>'Acct Summary 7-8'!D17</f>
        <v>2675319</v>
      </c>
      <c r="D9" s="1816">
        <f>'Acct Summary 7-8'!F17</f>
        <v>877352</v>
      </c>
      <c r="E9" s="1815"/>
      <c r="F9" s="1815">
        <f>SUM(B9:E9)</f>
        <v>17836675</v>
      </c>
    </row>
    <row r="10" spans="1:8" s="1079" customFormat="1" ht="14.25" thickTop="1" thickBot="1" x14ac:dyDescent="0.25">
      <c r="A10" s="1080" t="s">
        <v>1370</v>
      </c>
      <c r="B10" s="1817">
        <f>(B8-B9)</f>
        <v>715894</v>
      </c>
      <c r="C10" s="1817">
        <f>(C8-C9)</f>
        <v>-834956</v>
      </c>
      <c r="D10" s="1817">
        <f>(D8-D9)</f>
        <v>-202418</v>
      </c>
      <c r="E10" s="1816">
        <f>(E8-E9)</f>
        <v>116295</v>
      </c>
      <c r="F10" s="1818">
        <f>SUM(F8-F9)</f>
        <v>-205185</v>
      </c>
    </row>
    <row r="11" spans="1:8" s="1079" customFormat="1" ht="14.25" thickTop="1" thickBot="1" x14ac:dyDescent="0.25">
      <c r="A11" s="1081" t="s">
        <v>1985</v>
      </c>
      <c r="B11" s="1819">
        <f>'Acct Summary 7-8'!C81</f>
        <v>8691333</v>
      </c>
      <c r="C11" s="1819">
        <f>'Acct Summary 7-8'!D81</f>
        <v>1171486</v>
      </c>
      <c r="D11" s="1819">
        <f>'Acct Summary 7-8'!F81</f>
        <v>1251590</v>
      </c>
      <c r="E11" s="1819">
        <f>'Acct Summary 7-8'!I81</f>
        <v>2358165</v>
      </c>
      <c r="F11" s="1820">
        <f>SUM(B11:E11)</f>
        <v>13472574</v>
      </c>
    </row>
    <row r="12" spans="1:8" ht="16.5" customHeight="1" thickTop="1" x14ac:dyDescent="0.2">
      <c r="A12" s="1082"/>
      <c r="B12" s="1083"/>
      <c r="C12" s="2339" t="str">
        <f>IF(AND(F10&lt;0,F11&gt;=0,ABS(F10*3)&gt;ABS(F11)),A16,IF(AND(F10&lt;0,F11&gt;0,ABS(F10*3)&lt;=ABS(F11)),A17,IF(AND(F10&lt;0,F11&lt;0),A16,IF(F11=0,A19,A18))))</f>
        <v>Unbalanced -  however, a deficit reduction plan is not required at this time.</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dimension ref="A1:L82"/>
  <sheetViews>
    <sheetView topLeftCell="A38"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ERROR!</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workbookViewId="0"/>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56099159002</v>
      </c>
    </row>
    <row r="3" spans="1:2" x14ac:dyDescent="0.2">
      <c r="A3" t="s">
        <v>956</v>
      </c>
      <c r="B3" s="138" t="str">
        <f>COVER!A15</f>
        <v>Will County</v>
      </c>
    </row>
    <row r="4" spans="1:2" x14ac:dyDescent="0.2">
      <c r="A4" t="s">
        <v>1007</v>
      </c>
      <c r="B4" s="138" t="str">
        <f>COVER!A17</f>
        <v>Mokena SD 159</v>
      </c>
    </row>
    <row r="5" spans="1:2" x14ac:dyDescent="0.2">
      <c r="A5" t="s">
        <v>704</v>
      </c>
      <c r="B5" s="138" t="str">
        <f>COVER!A38</f>
        <v>Dr. Don White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065-033233</v>
      </c>
    </row>
    <row r="16" spans="1:2" x14ac:dyDescent="0.2">
      <c r="A16" t="s">
        <v>422</v>
      </c>
      <c r="B16" s="138" t="str">
        <f>COVER!T13</f>
        <v>Lauterbach &amp; Amen, LLP</v>
      </c>
    </row>
    <row r="17" spans="1:2" x14ac:dyDescent="0.2">
      <c r="A17" t="s">
        <v>884</v>
      </c>
      <c r="B17" s="138" t="str">
        <f>COVER!T15</f>
        <v>Matt Beran</v>
      </c>
    </row>
    <row r="18" spans="1:2" x14ac:dyDescent="0.2">
      <c r="A18" t="s">
        <v>1150</v>
      </c>
      <c r="B18" s="138" t="str">
        <f>COVER!T17</f>
        <v>668 N River Road</v>
      </c>
    </row>
    <row r="19" spans="1:2" x14ac:dyDescent="0.2">
      <c r="A19" t="s">
        <v>886</v>
      </c>
      <c r="B19" s="138" t="str">
        <f>COVER!T25</f>
        <v>mberan@lauterbachamen.com</v>
      </c>
    </row>
    <row r="20" spans="1:2" x14ac:dyDescent="0.2">
      <c r="A20" t="s">
        <v>887</v>
      </c>
      <c r="B20" s="138" t="str">
        <f>COVER!T19</f>
        <v>Naperville</v>
      </c>
    </row>
    <row r="21" spans="1:2" x14ac:dyDescent="0.2">
      <c r="A21" t="s">
        <v>479</v>
      </c>
      <c r="B21" s="138" t="str">
        <f>COVER!X19</f>
        <v>IL</v>
      </c>
    </row>
    <row r="22" spans="1:2" x14ac:dyDescent="0.2">
      <c r="A22" t="s">
        <v>888</v>
      </c>
      <c r="B22" s="138">
        <f>COVER!Z19</f>
        <v>60563</v>
      </c>
    </row>
    <row r="23" spans="1:2" x14ac:dyDescent="0.2">
      <c r="A23" t="s">
        <v>1152</v>
      </c>
      <c r="B23" s="138" t="str">
        <f>COVER!T21</f>
        <v>630-393-1483</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7341926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8693896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2563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2563</v>
      </c>
      <c r="C91" s="2" t="s">
        <v>573</v>
      </c>
      <c r="D91" s="2" t="str">
        <f t="shared" si="0"/>
        <v>Error?</v>
      </c>
    </row>
    <row r="92" spans="1:4" x14ac:dyDescent="0.2">
      <c r="A92" s="5">
        <v>31</v>
      </c>
      <c r="B92" s="138">
        <f>'Assets-Liab 5-6'!C39</f>
        <v>8691333</v>
      </c>
      <c r="D92" s="2" t="str">
        <f t="shared" si="0"/>
        <v>Error?</v>
      </c>
    </row>
    <row r="93" spans="1:4" x14ac:dyDescent="0.2">
      <c r="A93" s="5">
        <v>32</v>
      </c>
      <c r="B93" s="138">
        <f>'Assets-Liab 5-6'!C41</f>
        <v>8693896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819901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1171486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1171486</v>
      </c>
      <c r="D123" s="2" t="str">
        <f t="shared" si="0"/>
        <v>Error?</v>
      </c>
    </row>
    <row r="124" spans="1:4" x14ac:dyDescent="0.2">
      <c r="A124" s="5">
        <v>63</v>
      </c>
      <c r="B124" s="138">
        <f>'Assets-Liab 5-6'!D41</f>
        <v>1171486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1299968</v>
      </c>
      <c r="D129" s="2" t="str">
        <f t="shared" si="1"/>
        <v>Error?</v>
      </c>
    </row>
    <row r="130" spans="1:4" x14ac:dyDescent="0.2">
      <c r="A130" s="5">
        <v>69</v>
      </c>
      <c r="B130" s="138">
        <f>'Assets-Liab 5-6'!E12</f>
        <v>0</v>
      </c>
      <c r="D130" s="2" t="str">
        <f t="shared" si="1"/>
        <v>Error?</v>
      </c>
    </row>
    <row r="131" spans="1:4" x14ac:dyDescent="0.2">
      <c r="A131" s="5">
        <v>70</v>
      </c>
      <c r="B131" s="138">
        <f>'Assets-Liab 5-6'!E13</f>
        <v>1444884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1444884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1016561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1251590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1251590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167682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209899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209899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41596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41596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723912</v>
      </c>
      <c r="D273" s="2" t="str">
        <f t="shared" si="3"/>
        <v>Error?</v>
      </c>
    </row>
    <row r="274" spans="1:4" x14ac:dyDescent="0.2">
      <c r="A274" s="5">
        <v>213</v>
      </c>
      <c r="B274" s="138">
        <f>'Assets-Liab 5-6'!M17</f>
        <v>13677314</v>
      </c>
      <c r="D274" s="2" t="str">
        <f t="shared" si="3"/>
        <v>Error?</v>
      </c>
    </row>
    <row r="275" spans="1:4" x14ac:dyDescent="0.2">
      <c r="A275" s="5">
        <v>214</v>
      </c>
      <c r="B275" s="138">
        <f>'Assets-Liab 5-6'!M18</f>
        <v>54931</v>
      </c>
      <c r="D275" s="2" t="str">
        <f t="shared" si="3"/>
        <v>Error?</v>
      </c>
    </row>
    <row r="276" spans="1:4" x14ac:dyDescent="0.2">
      <c r="A276" s="5">
        <v>215</v>
      </c>
      <c r="B276" s="138">
        <f>'Assets-Liab 5-6'!M19</f>
        <v>243266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14699423</v>
      </c>
      <c r="C279" s="2" t="s">
        <v>573</v>
      </c>
      <c r="D279" s="2" t="str">
        <f t="shared" si="3"/>
        <v>Error?</v>
      </c>
    </row>
    <row r="280" spans="1:4" x14ac:dyDescent="0.2">
      <c r="A280" s="5">
        <v>219</v>
      </c>
      <c r="B280" s="138">
        <f>'Assets-Liab 5-6'!M40</f>
        <v>14699423</v>
      </c>
      <c r="D280" s="2" t="str">
        <f t="shared" si="3"/>
        <v>Error?</v>
      </c>
    </row>
    <row r="281" spans="1:4" x14ac:dyDescent="0.2">
      <c r="A281" s="5">
        <v>220</v>
      </c>
      <c r="B281" s="138">
        <f>'Assets-Liab 5-6'!M41</f>
        <v>14699423</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7201407</v>
      </c>
      <c r="D283" s="2" t="str">
        <f t="shared" si="3"/>
        <v>Error?</v>
      </c>
    </row>
    <row r="284" spans="1:4" x14ac:dyDescent="0.2">
      <c r="A284" s="5">
        <v>223</v>
      </c>
      <c r="B284" s="138">
        <f>'Assets-Liab 5-6'!N23</f>
        <v>7201407</v>
      </c>
      <c r="C284" s="2" t="s">
        <v>573</v>
      </c>
      <c r="D284" s="2" t="str">
        <f t="shared" si="3"/>
        <v>Error?</v>
      </c>
    </row>
    <row r="285" spans="1:4" x14ac:dyDescent="0.2">
      <c r="A285" s="5">
        <v>224</v>
      </c>
      <c r="B285" s="138">
        <f>'Assets-Liab 5-6'!N36</f>
        <v>7201407</v>
      </c>
      <c r="D285" s="2" t="str">
        <f t="shared" si="3"/>
        <v>Error?</v>
      </c>
    </row>
    <row r="286" spans="1:4" x14ac:dyDescent="0.2">
      <c r="A286" s="10">
        <v>225</v>
      </c>
      <c r="D286" s="2" t="str">
        <f t="shared" si="3"/>
        <v>OK</v>
      </c>
    </row>
    <row r="287" spans="1:4" x14ac:dyDescent="0.2">
      <c r="A287" s="5">
        <v>226</v>
      </c>
      <c r="B287" s="138">
        <f>'Assets-Liab 5-6'!N37</f>
        <v>7201407</v>
      </c>
      <c r="C287" s="2" t="s">
        <v>573</v>
      </c>
      <c r="D287" s="2" t="str">
        <f t="shared" si="3"/>
        <v>Error?</v>
      </c>
    </row>
    <row r="288" spans="1:4" x14ac:dyDescent="0.2">
      <c r="A288" s="5">
        <v>227</v>
      </c>
      <c r="B288" s="138">
        <f>'Assets-Liab 5-6'!N41</f>
        <v>7201407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5563183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102166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7529305</v>
      </c>
      <c r="C720" s="2" t="s">
        <v>573</v>
      </c>
      <c r="D720" s="2" t="str">
        <f t="shared" si="10"/>
        <v>Error?</v>
      </c>
    </row>
    <row r="721" spans="1:4" x14ac:dyDescent="0.2">
      <c r="A721" s="5">
        <v>660</v>
      </c>
      <c r="B721" s="138">
        <f>'Expenditures 15-22'!C36</f>
        <v>198547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115418</v>
      </c>
      <c r="D723" s="2" t="str">
        <f t="shared" si="10"/>
        <v>Error?</v>
      </c>
    </row>
    <row r="724" spans="1:4" x14ac:dyDescent="0.2">
      <c r="A724" s="5">
        <v>663</v>
      </c>
      <c r="B724" s="138">
        <f>'Expenditures 15-22'!C39</f>
        <v>166835</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36562</v>
      </c>
      <c r="D726" s="2" t="str">
        <f t="shared" si="10"/>
        <v>Error?</v>
      </c>
    </row>
    <row r="727" spans="1:4" x14ac:dyDescent="0.2">
      <c r="A727" s="5">
        <v>666</v>
      </c>
      <c r="B727" s="138">
        <f>'Expenditures 15-22'!C42</f>
        <v>517362</v>
      </c>
      <c r="C727" s="2" t="s">
        <v>573</v>
      </c>
      <c r="D727" s="2" t="str">
        <f t="shared" si="10"/>
        <v>Error?</v>
      </c>
    </row>
    <row r="728" spans="1:4" x14ac:dyDescent="0.2">
      <c r="A728" s="5">
        <v>667</v>
      </c>
      <c r="B728" s="138">
        <f>'Expenditures 15-22'!C44</f>
        <v>283485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283485</v>
      </c>
      <c r="C731" s="2" t="s">
        <v>573</v>
      </c>
      <c r="D731" s="2" t="str">
        <f t="shared" si="10"/>
        <v>Error?</v>
      </c>
    </row>
    <row r="732" spans="1:4" x14ac:dyDescent="0.2">
      <c r="A732" s="5">
        <v>671</v>
      </c>
      <c r="B732" s="138">
        <f>'Expenditures 15-22'!C49</f>
        <v>1776</v>
      </c>
      <c r="D732" s="2" t="str">
        <f t="shared" si="10"/>
        <v>Error?</v>
      </c>
    </row>
    <row r="733" spans="1:4" x14ac:dyDescent="0.2">
      <c r="A733" s="5">
        <v>672</v>
      </c>
      <c r="B733" s="138">
        <f>'Expenditures 15-22'!C50</f>
        <v>272218</v>
      </c>
      <c r="D733" s="2" t="str">
        <f t="shared" si="10"/>
        <v>Error?</v>
      </c>
    </row>
    <row r="734" spans="1:4" x14ac:dyDescent="0.2">
      <c r="A734" s="5">
        <v>673</v>
      </c>
      <c r="B734" s="138">
        <f>'Expenditures 15-22'!C53</f>
        <v>273994</v>
      </c>
      <c r="C734" s="2" t="s">
        <v>573</v>
      </c>
      <c r="D734" s="2" t="str">
        <f t="shared" si="10"/>
        <v>Error?</v>
      </c>
    </row>
    <row r="735" spans="1:4" x14ac:dyDescent="0.2">
      <c r="A735" s="5">
        <v>674</v>
      </c>
      <c r="B735" s="138">
        <f>'Expenditures 15-22'!C55</f>
        <v>689259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689259</v>
      </c>
      <c r="C737" s="2" t="s">
        <v>573</v>
      </c>
      <c r="D737" s="2" t="str">
        <f t="shared" si="10"/>
        <v>Error?</v>
      </c>
    </row>
    <row r="738" spans="1:4" x14ac:dyDescent="0.2">
      <c r="A738" s="5">
        <v>677</v>
      </c>
      <c r="B738" s="138">
        <f>'Expenditures 15-22'!C59</f>
        <v>53376</v>
      </c>
      <c r="D738" s="2" t="str">
        <f t="shared" si="10"/>
        <v>Error?</v>
      </c>
    </row>
    <row r="739" spans="1:4" x14ac:dyDescent="0.2">
      <c r="A739" s="5">
        <v>678</v>
      </c>
      <c r="B739" s="138">
        <f>'Expenditures 15-22'!C60</f>
        <v>96990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161870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312236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7800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183883</v>
      </c>
      <c r="D751" s="2" t="str">
        <f t="shared" si="10"/>
        <v>Error?</v>
      </c>
    </row>
    <row r="752" spans="1:4" x14ac:dyDescent="0.2">
      <c r="A752" s="10">
        <v>691</v>
      </c>
      <c r="D752" s="2" t="str">
        <f t="shared" si="10"/>
        <v>OK</v>
      </c>
    </row>
    <row r="753" spans="1:4" x14ac:dyDescent="0.2">
      <c r="A753" s="5">
        <v>692</v>
      </c>
      <c r="B753" s="138">
        <f>'Expenditures 15-22'!C72</f>
        <v>191683</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2268019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9797324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884095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1427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1273298</v>
      </c>
      <c r="C778" s="2" t="s">
        <v>573</v>
      </c>
      <c r="D778" s="2" t="str">
        <f t="shared" si="11"/>
        <v>Error?</v>
      </c>
    </row>
    <row r="779" spans="1:4" x14ac:dyDescent="0.2">
      <c r="A779" s="5">
        <v>718</v>
      </c>
      <c r="B779" s="138">
        <f>'Expenditures 15-22'!D36</f>
        <v>45454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6063</v>
      </c>
      <c r="D781" s="2" t="str">
        <f t="shared" si="11"/>
        <v>Error?</v>
      </c>
    </row>
    <row r="782" spans="1:4" x14ac:dyDescent="0.2">
      <c r="A782" s="5">
        <v>721</v>
      </c>
      <c r="B782" s="138">
        <f>'Expenditures 15-22'!D39</f>
        <v>26500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77</v>
      </c>
      <c r="D784" s="2" t="str">
        <f t="shared" si="11"/>
        <v>Error?</v>
      </c>
    </row>
    <row r="785" spans="1:4" x14ac:dyDescent="0.2">
      <c r="A785" s="5">
        <v>724</v>
      </c>
      <c r="B785" s="138">
        <f>'Expenditures 15-22'!D42</f>
        <v>78094</v>
      </c>
      <c r="C785" s="2" t="s">
        <v>573</v>
      </c>
      <c r="D785" s="2" t="str">
        <f t="shared" si="11"/>
        <v>Error?</v>
      </c>
    </row>
    <row r="786" spans="1:4" x14ac:dyDescent="0.2">
      <c r="A786" s="5">
        <v>725</v>
      </c>
      <c r="B786" s="138">
        <f>'Expenditures 15-22'!D44</f>
        <v>62569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62569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70257</v>
      </c>
      <c r="D791" s="2" t="str">
        <f t="shared" si="11"/>
        <v>Error?</v>
      </c>
    </row>
    <row r="792" spans="1:4" x14ac:dyDescent="0.2">
      <c r="A792" s="5">
        <v>731</v>
      </c>
      <c r="B792" s="138">
        <f>'Expenditures 15-22'!D53</f>
        <v>70257</v>
      </c>
      <c r="C792" s="2" t="s">
        <v>573</v>
      </c>
      <c r="D792" s="2" t="str">
        <f t="shared" si="11"/>
        <v>Error?</v>
      </c>
    </row>
    <row r="793" spans="1:4" x14ac:dyDescent="0.2">
      <c r="A793" s="5">
        <v>732</v>
      </c>
      <c r="B793" s="138">
        <f>'Expenditures 15-22'!D55</f>
        <v>209222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209222</v>
      </c>
      <c r="C795" s="2" t="s">
        <v>573</v>
      </c>
      <c r="D795" s="2" t="str">
        <f t="shared" si="11"/>
        <v>Error?</v>
      </c>
    </row>
    <row r="796" spans="1:4" x14ac:dyDescent="0.2">
      <c r="A796" s="5">
        <v>735</v>
      </c>
      <c r="B796" s="138">
        <f>'Expenditures 15-22'!D59</f>
        <v>19052</v>
      </c>
      <c r="D796" s="2" t="str">
        <f t="shared" si="11"/>
        <v>Error?</v>
      </c>
    </row>
    <row r="797" spans="1:4" x14ac:dyDescent="0.2">
      <c r="A797" s="5">
        <v>736</v>
      </c>
      <c r="B797" s="138">
        <f>'Expenditures 15-22'!D60</f>
        <v>17216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17050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53318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54322</v>
      </c>
      <c r="D809" s="2" t="str">
        <f t="shared" si="11"/>
        <v>Error?</v>
      </c>
    </row>
    <row r="810" spans="1:4" x14ac:dyDescent="0.2">
      <c r="A810" s="10">
        <v>749</v>
      </c>
      <c r="D810" s="2" t="str">
        <f t="shared" si="11"/>
        <v>OK</v>
      </c>
    </row>
    <row r="811" spans="1:4" x14ac:dyDescent="0.2">
      <c r="A811" s="5">
        <v>750</v>
      </c>
      <c r="B811" s="138">
        <f>'Expenditures 15-22'!D72</f>
        <v>54322</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527782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1801080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9254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8643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310465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4550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4550</v>
      </c>
      <c r="C843" s="2" t="s">
        <v>573</v>
      </c>
      <c r="D843" s="2" t="str">
        <f t="shared" si="12"/>
        <v>Error?</v>
      </c>
    </row>
    <row r="844" spans="1:4" x14ac:dyDescent="0.2">
      <c r="A844" s="5">
        <v>783</v>
      </c>
      <c r="B844" s="138">
        <f>'Expenditures 15-22'!E44</f>
        <v>70966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70966</v>
      </c>
      <c r="C847" s="2" t="s">
        <v>573</v>
      </c>
      <c r="D847" s="2" t="str">
        <f t="shared" si="12"/>
        <v>Error?</v>
      </c>
    </row>
    <row r="848" spans="1:4" x14ac:dyDescent="0.2">
      <c r="A848" s="5">
        <v>787</v>
      </c>
      <c r="B848" s="138">
        <f>'Expenditures 15-22'!E49</f>
        <v>98586</v>
      </c>
      <c r="D848" s="2" t="str">
        <f t="shared" si="12"/>
        <v>Error?</v>
      </c>
    </row>
    <row r="849" spans="1:4" x14ac:dyDescent="0.2">
      <c r="A849" s="5">
        <v>788</v>
      </c>
      <c r="B849" s="138">
        <f>'Expenditures 15-22'!E50</f>
        <v>4836</v>
      </c>
      <c r="D849" s="2" t="str">
        <f t="shared" si="12"/>
        <v>Error?</v>
      </c>
    </row>
    <row r="850" spans="1:4" x14ac:dyDescent="0.2">
      <c r="A850" s="5">
        <v>789</v>
      </c>
      <c r="B850" s="138">
        <f>'Expenditures 15-22'!E53</f>
        <v>103422</v>
      </c>
      <c r="C850" s="2" t="s">
        <v>573</v>
      </c>
      <c r="D850" s="2" t="str">
        <f t="shared" si="12"/>
        <v>Error?</v>
      </c>
    </row>
    <row r="851" spans="1:4" x14ac:dyDescent="0.2">
      <c r="A851" s="5">
        <v>790</v>
      </c>
      <c r="B851" s="138">
        <f>'Expenditures 15-22'!E55</f>
        <v>17687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17687</v>
      </c>
      <c r="C853" s="2" t="s">
        <v>573</v>
      </c>
      <c r="D853" s="2" t="str">
        <f t="shared" si="12"/>
        <v>Error?</v>
      </c>
    </row>
    <row r="854" spans="1:4" x14ac:dyDescent="0.2">
      <c r="A854" s="5">
        <v>793</v>
      </c>
      <c r="B854" s="138">
        <f>'Expenditures 15-22'!E59</f>
        <v>5957</v>
      </c>
      <c r="D854" s="2" t="str">
        <f t="shared" si="12"/>
        <v>Error?</v>
      </c>
    </row>
    <row r="855" spans="1:4" x14ac:dyDescent="0.2">
      <c r="A855" s="5">
        <v>794</v>
      </c>
      <c r="B855" s="138">
        <f>'Expenditures 15-22'!E60</f>
        <v>20438</v>
      </c>
      <c r="D855" s="2" t="str">
        <f t="shared" si="12"/>
        <v>Error?</v>
      </c>
    </row>
    <row r="856" spans="1:4" x14ac:dyDescent="0.2">
      <c r="A856" s="5">
        <v>795</v>
      </c>
      <c r="B856" s="138">
        <f>'Expenditures 15-22'!E61</f>
        <v>36986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2707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66088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10812</v>
      </c>
      <c r="D864" s="2" t="str">
        <f t="shared" si="12"/>
        <v>Error?</v>
      </c>
    </row>
    <row r="865" spans="1:4" x14ac:dyDescent="0.2">
      <c r="A865" s="5">
        <v>804</v>
      </c>
      <c r="B865" s="138">
        <f>'Expenditures 15-22'!E70</f>
        <v>1812</v>
      </c>
      <c r="D865" s="2" t="str">
        <f t="shared" si="12"/>
        <v>Error?</v>
      </c>
    </row>
    <row r="866" spans="1:4" x14ac:dyDescent="0.2">
      <c r="A866" s="10">
        <v>805</v>
      </c>
      <c r="D866" s="2" t="str">
        <f t="shared" si="12"/>
        <v>OK</v>
      </c>
    </row>
    <row r="867" spans="1:4" x14ac:dyDescent="0.2">
      <c r="A867" s="5">
        <v>806</v>
      </c>
      <c r="B867" s="138">
        <f>'Expenditures 15-22'!E71</f>
        <v>274947</v>
      </c>
      <c r="D867" s="2" t="str">
        <f t="shared" si="12"/>
        <v>Error?</v>
      </c>
    </row>
    <row r="868" spans="1:4" x14ac:dyDescent="0.2">
      <c r="A868" s="10">
        <v>807</v>
      </c>
      <c r="D868" s="2" t="str">
        <f t="shared" si="12"/>
        <v>OK</v>
      </c>
    </row>
    <row r="869" spans="1:4" x14ac:dyDescent="0.2">
      <c r="A869" s="5">
        <v>808</v>
      </c>
      <c r="B869" s="138">
        <f>'Expenditures 15-22'!E72</f>
        <v>287571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550284</v>
      </c>
      <c r="C871" s="2" t="s">
        <v>573</v>
      </c>
      <c r="D871" s="2" t="str">
        <f t="shared" si="12"/>
        <v>Error?</v>
      </c>
    </row>
    <row r="872" spans="1:4" x14ac:dyDescent="0.2">
      <c r="A872" s="5">
        <v>811</v>
      </c>
      <c r="B872" s="138">
        <f>'Expenditures 15-22'!E75</f>
        <v>34725</v>
      </c>
      <c r="D872" s="2" t="str">
        <f t="shared" si="12"/>
        <v>Error?</v>
      </c>
    </row>
    <row r="873" spans="1:4" x14ac:dyDescent="0.2">
      <c r="A873" s="5">
        <v>812</v>
      </c>
      <c r="B873" s="138">
        <f>'Expenditures 15-22'!E114</f>
        <v>1108646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439555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38320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515552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3398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3398</v>
      </c>
      <c r="C901" s="2" t="s">
        <v>573</v>
      </c>
      <c r="D901" s="2" t="str">
        <f t="shared" si="13"/>
        <v>Error?</v>
      </c>
    </row>
    <row r="902" spans="1:4" x14ac:dyDescent="0.2">
      <c r="A902" s="5">
        <v>841</v>
      </c>
      <c r="B902" s="138">
        <f>'Expenditures 15-22'!F44</f>
        <v>17015</v>
      </c>
      <c r="D902" s="2" t="str">
        <f t="shared" si="13"/>
        <v>Error?</v>
      </c>
    </row>
    <row r="903" spans="1:4" x14ac:dyDescent="0.2">
      <c r="A903" s="5">
        <v>842</v>
      </c>
      <c r="B903" s="138">
        <f>'Expenditures 15-22'!F45</f>
        <v>7961</v>
      </c>
      <c r="D903" s="2" t="str">
        <f t="shared" si="13"/>
        <v>Error?</v>
      </c>
    </row>
    <row r="904" spans="1:4" x14ac:dyDescent="0.2">
      <c r="A904" s="5">
        <v>843</v>
      </c>
      <c r="B904" s="138">
        <f>'Expenditures 15-22'!F46</f>
        <v>9432</v>
      </c>
      <c r="D904" s="2" t="str">
        <f t="shared" si="13"/>
        <v>Error?</v>
      </c>
    </row>
    <row r="905" spans="1:4" x14ac:dyDescent="0.2">
      <c r="A905" s="5">
        <v>844</v>
      </c>
      <c r="B905" s="138">
        <f>'Expenditures 15-22'!F47</f>
        <v>34408</v>
      </c>
      <c r="C905" s="2" t="s">
        <v>573</v>
      </c>
      <c r="D905" s="2" t="str">
        <f t="shared" si="13"/>
        <v>Error?</v>
      </c>
    </row>
    <row r="906" spans="1:4" x14ac:dyDescent="0.2">
      <c r="A906" s="5">
        <v>845</v>
      </c>
      <c r="B906" s="138">
        <f>'Expenditures 15-22'!F49</f>
        <v>4968</v>
      </c>
      <c r="D906" s="2" t="str">
        <f t="shared" si="13"/>
        <v>Error?</v>
      </c>
    </row>
    <row r="907" spans="1:4" x14ac:dyDescent="0.2">
      <c r="A907" s="5">
        <v>846</v>
      </c>
      <c r="B907" s="138">
        <f>'Expenditures 15-22'!F50</f>
        <v>6560</v>
      </c>
      <c r="D907" s="2" t="str">
        <f t="shared" si="13"/>
        <v>Error?</v>
      </c>
    </row>
    <row r="908" spans="1:4" x14ac:dyDescent="0.2">
      <c r="A908" s="5">
        <v>847</v>
      </c>
      <c r="B908" s="138">
        <f>'Expenditures 15-22'!F53</f>
        <v>11528</v>
      </c>
      <c r="C908" s="2" t="s">
        <v>573</v>
      </c>
      <c r="D908" s="2" t="str">
        <f t="shared" si="13"/>
        <v>Error?</v>
      </c>
    </row>
    <row r="909" spans="1:4" x14ac:dyDescent="0.2">
      <c r="A909" s="5">
        <v>848</v>
      </c>
      <c r="B909" s="138">
        <f>'Expenditures 15-22'!F55</f>
        <v>3553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3553</v>
      </c>
      <c r="C911" s="2" t="s">
        <v>573</v>
      </c>
      <c r="D911" s="2" t="str">
        <f t="shared" si="13"/>
        <v>Error?</v>
      </c>
    </row>
    <row r="912" spans="1:4" x14ac:dyDescent="0.2">
      <c r="A912" s="5">
        <v>851</v>
      </c>
      <c r="B912" s="138">
        <f>'Expenditures 15-22'!F59</f>
        <v>1595</v>
      </c>
      <c r="D912" s="2" t="str">
        <f t="shared" si="13"/>
        <v>Error?</v>
      </c>
    </row>
    <row r="913" spans="1:4" x14ac:dyDescent="0.2">
      <c r="A913" s="5">
        <v>852</v>
      </c>
      <c r="B913" s="138">
        <f>'Expenditures 15-22'!F60</f>
        <v>1115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101984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104694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31833</v>
      </c>
      <c r="D925" s="2" t="str">
        <f t="shared" si="13"/>
        <v>Error?</v>
      </c>
    </row>
    <row r="926" spans="1:4" x14ac:dyDescent="0.2">
      <c r="A926" s="10">
        <v>865</v>
      </c>
      <c r="D926" s="2" t="str">
        <f t="shared" si="13"/>
        <v>OK</v>
      </c>
    </row>
    <row r="927" spans="1:4" x14ac:dyDescent="0.2">
      <c r="A927" s="5">
        <v>866</v>
      </c>
      <c r="B927" s="138">
        <f>'Expenditures 15-22'!F72</f>
        <v>31833</v>
      </c>
      <c r="C927" s="2" t="s">
        <v>573</v>
      </c>
      <c r="D927" s="2" t="str">
        <f t="shared" si="13"/>
        <v>Error?</v>
      </c>
    </row>
    <row r="928" spans="1:4" x14ac:dyDescent="0.2">
      <c r="A928" s="5">
        <v>867</v>
      </c>
      <c r="B928" s="138">
        <f>'Expenditures 15-22'!F73</f>
        <v>5897</v>
      </c>
      <c r="D928" s="2" t="str">
        <f t="shared" si="13"/>
        <v>Error?</v>
      </c>
    </row>
    <row r="929" spans="1:4" x14ac:dyDescent="0.2">
      <c r="A929" s="5">
        <v>868</v>
      </c>
      <c r="B929" s="138">
        <f>'Expenditures 15-22'!F74</f>
        <v>195311</v>
      </c>
      <c r="C929" s="2" t="s">
        <v>573</v>
      </c>
      <c r="D929" s="2" t="str">
        <f t="shared" si="13"/>
        <v>Error?</v>
      </c>
    </row>
    <row r="930" spans="1:4" x14ac:dyDescent="0.2">
      <c r="A930" s="5">
        <v>869</v>
      </c>
      <c r="B930" s="138">
        <f>'Expenditures 15-22'!F75</f>
        <v>1142</v>
      </c>
      <c r="D930" s="2" t="str">
        <f t="shared" si="13"/>
        <v>Error?</v>
      </c>
    </row>
    <row r="931" spans="1:4" x14ac:dyDescent="0.2">
      <c r="A931" s="5">
        <v>870</v>
      </c>
      <c r="B931" s="138">
        <f>'Expenditures 15-22'!F114</f>
        <v>712005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5178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5178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81525</v>
      </c>
      <c r="D983" s="2" t="str">
        <f t="shared" si="14"/>
        <v>Error?</v>
      </c>
    </row>
    <row r="984" spans="1:4" x14ac:dyDescent="0.2">
      <c r="A984" s="10">
        <v>923</v>
      </c>
      <c r="D984" s="2" t="str">
        <f t="shared" si="14"/>
        <v>OK</v>
      </c>
    </row>
    <row r="985" spans="1:4" x14ac:dyDescent="0.2">
      <c r="A985" s="5">
        <v>924</v>
      </c>
      <c r="B985" s="138">
        <f>'Expenditures 15-22'!G72</f>
        <v>81525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81525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86703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275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4463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8709</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8709</v>
      </c>
      <c r="C1024" s="2" t="s">
        <v>573</v>
      </c>
      <c r="D1024" s="2" t="str">
        <f t="shared" si="15"/>
        <v>Error?</v>
      </c>
    </row>
    <row r="1025" spans="1:4" x14ac:dyDescent="0.2">
      <c r="A1025" s="5">
        <v>964</v>
      </c>
      <c r="B1025" s="138">
        <f>'Expenditures 15-22'!H55</f>
        <v>1081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1081</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910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910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10700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696685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711848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6900268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103593</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56149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9661279</v>
      </c>
      <c r="C1108" s="2" t="s">
        <v>573</v>
      </c>
      <c r="D1108" s="2" t="str">
        <f t="shared" si="16"/>
        <v>Error?</v>
      </c>
    </row>
    <row r="1109" spans="1:4" x14ac:dyDescent="0.2">
      <c r="A1109" s="5">
        <v>1048</v>
      </c>
      <c r="B1109" s="138">
        <f>'Expenditures 15-22'!K36</f>
        <v>244001</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124879</v>
      </c>
      <c r="C1111" s="2" t="s">
        <v>573</v>
      </c>
      <c r="D1111" s="2" t="str">
        <f t="shared" si="16"/>
        <v>Error?</v>
      </c>
    </row>
    <row r="1112" spans="1:4" x14ac:dyDescent="0.2">
      <c r="A1112" s="5">
        <v>1051</v>
      </c>
      <c r="B1112" s="138">
        <f>'Expenditures 15-22'!K39</f>
        <v>197885</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36639</v>
      </c>
      <c r="C1114" s="2" t="s">
        <v>573</v>
      </c>
      <c r="D1114" s="2" t="str">
        <f t="shared" si="16"/>
        <v>Error?</v>
      </c>
    </row>
    <row r="1115" spans="1:4" x14ac:dyDescent="0.2">
      <c r="A1115" s="5">
        <v>1054</v>
      </c>
      <c r="B1115" s="138">
        <f>'Expenditures 15-22'!K42</f>
        <v>603404</v>
      </c>
      <c r="C1115" s="2" t="s">
        <v>573</v>
      </c>
      <c r="D1115" s="2" t="str">
        <f t="shared" si="16"/>
        <v>Error?</v>
      </c>
    </row>
    <row r="1116" spans="1:4" x14ac:dyDescent="0.2">
      <c r="A1116" s="5">
        <v>1055</v>
      </c>
      <c r="B1116" s="138">
        <f>'Expenditures 15-22'!K44</f>
        <v>434035</v>
      </c>
      <c r="C1116" s="2" t="s">
        <v>573</v>
      </c>
      <c r="D1116" s="2" t="str">
        <f t="shared" si="16"/>
        <v>Error?</v>
      </c>
    </row>
    <row r="1117" spans="1:4" x14ac:dyDescent="0.2">
      <c r="A1117" s="5">
        <v>1056</v>
      </c>
      <c r="B1117" s="138">
        <f>'Expenditures 15-22'!K45</f>
        <v>7961</v>
      </c>
      <c r="C1117" s="2" t="s">
        <v>573</v>
      </c>
      <c r="D1117" s="2" t="str">
        <f t="shared" si="16"/>
        <v>Error?</v>
      </c>
    </row>
    <row r="1118" spans="1:4" x14ac:dyDescent="0.2">
      <c r="A1118" s="5">
        <v>1057</v>
      </c>
      <c r="B1118" s="138">
        <f>'Expenditures 15-22'!K46</f>
        <v>9432</v>
      </c>
      <c r="C1118" s="2" t="s">
        <v>573</v>
      </c>
      <c r="D1118" s="2" t="str">
        <f t="shared" si="16"/>
        <v>Error?</v>
      </c>
    </row>
    <row r="1119" spans="1:4" x14ac:dyDescent="0.2">
      <c r="A1119" s="5">
        <v>1058</v>
      </c>
      <c r="B1119" s="138">
        <f>'Expenditures 15-22'!K47</f>
        <v>451428</v>
      </c>
      <c r="C1119" s="2" t="s">
        <v>573</v>
      </c>
      <c r="D1119" s="2" t="str">
        <f t="shared" si="16"/>
        <v>Error?</v>
      </c>
    </row>
    <row r="1120" spans="1:4" x14ac:dyDescent="0.2">
      <c r="A1120" s="5">
        <v>1059</v>
      </c>
      <c r="B1120" s="138">
        <f>'Expenditures 15-22'!K49</f>
        <v>114039</v>
      </c>
      <c r="C1120" s="2" t="s">
        <v>573</v>
      </c>
      <c r="D1120" s="2" t="str">
        <f t="shared" si="16"/>
        <v>Error?</v>
      </c>
    </row>
    <row r="1121" spans="1:4" x14ac:dyDescent="0.2">
      <c r="A1121" s="5">
        <v>1060</v>
      </c>
      <c r="B1121" s="138">
        <f>'Expenditures 15-22'!K50</f>
        <v>353871</v>
      </c>
      <c r="C1121" s="2" t="s">
        <v>573</v>
      </c>
      <c r="D1121" s="2" t="str">
        <f t="shared" si="16"/>
        <v>Error?</v>
      </c>
    </row>
    <row r="1122" spans="1:4" x14ac:dyDescent="0.2">
      <c r="A1122" s="5">
        <v>1061</v>
      </c>
      <c r="B1122" s="138">
        <f>'Expenditures 15-22'!K53</f>
        <v>467910</v>
      </c>
      <c r="C1122" s="2" t="s">
        <v>573</v>
      </c>
      <c r="D1122" s="2" t="str">
        <f t="shared" si="16"/>
        <v>Error?</v>
      </c>
    </row>
    <row r="1123" spans="1:4" x14ac:dyDescent="0.2">
      <c r="A1123" s="5">
        <v>1062</v>
      </c>
      <c r="B1123" s="138">
        <f>'Expenditures 15-22'!K55</f>
        <v>927037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927037</v>
      </c>
      <c r="C1125" s="2" t="s">
        <v>573</v>
      </c>
      <c r="D1125" s="2" t="str">
        <f t="shared" si="16"/>
        <v>Error?</v>
      </c>
    </row>
    <row r="1126" spans="1:4" x14ac:dyDescent="0.2">
      <c r="A1126" s="5">
        <v>1065</v>
      </c>
      <c r="B1126" s="138">
        <f>'Expenditures 15-22'!K59</f>
        <v>79980</v>
      </c>
      <c r="C1126" s="2" t="s">
        <v>573</v>
      </c>
      <c r="D1126" s="2" t="str">
        <f t="shared" si="16"/>
        <v>Error?</v>
      </c>
    </row>
    <row r="1127" spans="1:4" x14ac:dyDescent="0.2">
      <c r="A1127" s="5">
        <v>1066</v>
      </c>
      <c r="B1127" s="138">
        <f>'Expenditures 15-22'!K60</f>
        <v>135759</v>
      </c>
      <c r="C1127" s="2" t="s">
        <v>573</v>
      </c>
      <c r="D1127" s="2" t="str">
        <f t="shared" si="16"/>
        <v>Error?</v>
      </c>
    </row>
    <row r="1128" spans="1:4" x14ac:dyDescent="0.2">
      <c r="A1128" s="5">
        <v>1067</v>
      </c>
      <c r="B1128" s="138">
        <f>'Expenditures 15-22'!K61</f>
        <v>36986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284521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537246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18612</v>
      </c>
      <c r="C1136" s="2" t="s">
        <v>573</v>
      </c>
      <c r="D1136" s="2" t="str">
        <f t="shared" si="16"/>
        <v>Error?</v>
      </c>
    </row>
    <row r="1137" spans="1:4" x14ac:dyDescent="0.2">
      <c r="A1137" s="5">
        <v>1076</v>
      </c>
      <c r="B1137" s="138">
        <f>'Expenditures 15-22'!K70</f>
        <v>1812</v>
      </c>
      <c r="C1137" s="2" t="s">
        <v>573</v>
      </c>
      <c r="D1137" s="2" t="str">
        <f t="shared" si="16"/>
        <v>Error?</v>
      </c>
    </row>
    <row r="1138" spans="1:4" x14ac:dyDescent="0.2">
      <c r="A1138" s="10">
        <v>1077</v>
      </c>
      <c r="D1138" s="2" t="str">
        <f t="shared" si="16"/>
        <v>OK</v>
      </c>
    </row>
    <row r="1139" spans="1:4" x14ac:dyDescent="0.2">
      <c r="A1139" s="5">
        <v>1078</v>
      </c>
      <c r="B1139" s="138">
        <f>'Expenditures 15-22'!K71</f>
        <v>663655</v>
      </c>
      <c r="C1139" s="2" t="s">
        <v>573</v>
      </c>
      <c r="D1139" s="2" t="str">
        <f t="shared" si="16"/>
        <v>Error?</v>
      </c>
    </row>
    <row r="1140" spans="1:4" x14ac:dyDescent="0.2">
      <c r="A1140" s="10">
        <v>1079</v>
      </c>
      <c r="D1140" s="2" t="str">
        <f t="shared" si="16"/>
        <v>OK</v>
      </c>
    </row>
    <row r="1141" spans="1:4" x14ac:dyDescent="0.2">
      <c r="A1141" s="5">
        <v>1080</v>
      </c>
      <c r="B1141" s="138">
        <f>'Expenditures 15-22'!K72</f>
        <v>684079</v>
      </c>
      <c r="C1141" s="2" t="s">
        <v>573</v>
      </c>
      <c r="D1141" s="2" t="str">
        <f t="shared" si="16"/>
        <v>Error?</v>
      </c>
    </row>
    <row r="1142" spans="1:4" x14ac:dyDescent="0.2">
      <c r="A1142" s="5">
        <v>1081</v>
      </c>
      <c r="B1142" s="138">
        <f>'Expenditures 15-22'!K73</f>
        <v>5897</v>
      </c>
      <c r="C1142" s="2" t="s">
        <v>573</v>
      </c>
      <c r="D1142" s="2" t="str">
        <f t="shared" si="16"/>
        <v>Error?</v>
      </c>
    </row>
    <row r="1143" spans="1:4" x14ac:dyDescent="0.2">
      <c r="A1143" s="5">
        <v>1082</v>
      </c>
      <c r="B1143" s="138">
        <f>'Expenditures 15-22'!K74</f>
        <v>3677001</v>
      </c>
      <c r="C1143" s="2" t="s">
        <v>573</v>
      </c>
      <c r="D1143" s="2" t="str">
        <f t="shared" si="16"/>
        <v>Error?</v>
      </c>
    </row>
    <row r="1144" spans="1:4" x14ac:dyDescent="0.2">
      <c r="A1144" s="5">
        <v>1083</v>
      </c>
      <c r="B1144" s="138">
        <f>'Expenditures 15-22'!K75</f>
        <v>35867</v>
      </c>
      <c r="C1144" s="2" t="s">
        <v>573</v>
      </c>
      <c r="D1144" s="2" t="str">
        <f t="shared" si="16"/>
        <v>Error?</v>
      </c>
    </row>
    <row r="1145" spans="1:4" x14ac:dyDescent="0.2">
      <c r="A1145" s="5">
        <v>1084</v>
      </c>
      <c r="B1145" s="138">
        <f>'Expenditures 15-22'!K102</f>
        <v>909857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14284004</v>
      </c>
      <c r="C1152" s="2" t="s">
        <v>573</v>
      </c>
      <c r="D1152" s="2" t="str">
        <f t="shared" si="17"/>
        <v>Error?</v>
      </c>
    </row>
    <row r="1153" spans="1:4" x14ac:dyDescent="0.2">
      <c r="A1153" s="5">
        <v>1092</v>
      </c>
      <c r="B1153" s="138">
        <f>'Expenditures 15-22'!K115</f>
        <v>715894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83825</v>
      </c>
      <c r="D1221" s="2" t="str">
        <f t="shared" si="18"/>
        <v>Error?</v>
      </c>
    </row>
    <row r="1222" spans="1:4" x14ac:dyDescent="0.2">
      <c r="A1222" s="10">
        <v>1161</v>
      </c>
      <c r="D1222" s="2" t="str">
        <f t="shared" si="18"/>
        <v>OK</v>
      </c>
    </row>
    <row r="1223" spans="1:4" x14ac:dyDescent="0.2">
      <c r="A1223" s="5">
        <v>1162</v>
      </c>
      <c r="B1223" s="138">
        <f>'Expenditures 15-22'!C127</f>
        <v>83825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83825</v>
      </c>
      <c r="C1225" s="2" t="s">
        <v>573</v>
      </c>
      <c r="D1225" s="2" t="str">
        <f t="shared" si="18"/>
        <v>Error?</v>
      </c>
    </row>
    <row r="1226" spans="1:4" x14ac:dyDescent="0.2">
      <c r="A1226" s="5">
        <v>1165</v>
      </c>
      <c r="B1226" s="138">
        <f>'Expenditures 15-22'!C151</f>
        <v>83825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20082</v>
      </c>
      <c r="D1229" s="2" t="str">
        <f t="shared" si="18"/>
        <v>Error?</v>
      </c>
    </row>
    <row r="1230" spans="1:4" x14ac:dyDescent="0.2">
      <c r="A1230" s="10">
        <v>1169</v>
      </c>
      <c r="D1230" s="2" t="str">
        <f t="shared" si="18"/>
        <v>OK</v>
      </c>
    </row>
    <row r="1231" spans="1:4" x14ac:dyDescent="0.2">
      <c r="A1231" s="5">
        <v>1170</v>
      </c>
      <c r="B1231" s="138">
        <f>'Expenditures 15-22'!D127</f>
        <v>20082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20082</v>
      </c>
      <c r="C1233" s="2" t="s">
        <v>573</v>
      </c>
      <c r="D1233" s="2" t="str">
        <f t="shared" si="18"/>
        <v>Error?</v>
      </c>
    </row>
    <row r="1234" spans="1:4" x14ac:dyDescent="0.2">
      <c r="A1234" s="5">
        <v>1173</v>
      </c>
      <c r="B1234" s="138">
        <f>'Expenditures 15-22'!D151</f>
        <v>20082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1284592</v>
      </c>
      <c r="D1237" s="2" t="str">
        <f t="shared" si="18"/>
        <v>Error?</v>
      </c>
    </row>
    <row r="1238" spans="1:4" x14ac:dyDescent="0.2">
      <c r="A1238" s="10">
        <v>1177</v>
      </c>
      <c r="D1238" s="2" t="str">
        <f t="shared" si="18"/>
        <v>OK</v>
      </c>
    </row>
    <row r="1239" spans="1:4" x14ac:dyDescent="0.2">
      <c r="A1239" s="5">
        <v>1178</v>
      </c>
      <c r="B1239" s="138">
        <f>'Expenditures 15-22'!E127</f>
        <v>1284592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1284592</v>
      </c>
      <c r="C1241" s="2" t="s">
        <v>573</v>
      </c>
      <c r="D1241" s="2" t="str">
        <f t="shared" si="18"/>
        <v>Error?</v>
      </c>
    </row>
    <row r="1242" spans="1:4" x14ac:dyDescent="0.2">
      <c r="A1242" s="5">
        <v>1181</v>
      </c>
      <c r="B1242" s="138">
        <f>'Expenditures 15-22'!E151</f>
        <v>1312778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689916</v>
      </c>
      <c r="D1245" s="2" t="str">
        <f t="shared" si="18"/>
        <v>Error?</v>
      </c>
    </row>
    <row r="1246" spans="1:4" x14ac:dyDescent="0.2">
      <c r="A1246" s="10">
        <v>1185</v>
      </c>
      <c r="D1246" s="2" t="str">
        <f t="shared" si="18"/>
        <v>OK</v>
      </c>
    </row>
    <row r="1247" spans="1:4" x14ac:dyDescent="0.2">
      <c r="A1247" s="5">
        <v>1186</v>
      </c>
      <c r="B1247" s="138">
        <f>'Expenditures 15-22'!F127</f>
        <v>689916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689916</v>
      </c>
      <c r="C1249" s="2" t="s">
        <v>573</v>
      </c>
      <c r="D1249" s="2" t="str">
        <f t="shared" si="18"/>
        <v>Error?</v>
      </c>
    </row>
    <row r="1250" spans="1:4" x14ac:dyDescent="0.2">
      <c r="A1250" s="5">
        <v>1189</v>
      </c>
      <c r="B1250" s="138">
        <f>'Expenditures 15-22'!F151</f>
        <v>689916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544251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544251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544251</v>
      </c>
      <c r="C1258" s="2" t="s">
        <v>573</v>
      </c>
      <c r="D1258" s="2" t="str">
        <f t="shared" si="18"/>
        <v>Error?</v>
      </c>
    </row>
    <row r="1259" spans="1:4" x14ac:dyDescent="0.2">
      <c r="A1259" s="5">
        <v>1198</v>
      </c>
      <c r="B1259" s="138">
        <f>'Expenditures 15-22'!G151</f>
        <v>544251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2647133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2647133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2647133</v>
      </c>
      <c r="C1281" s="2" t="s">
        <v>573</v>
      </c>
      <c r="D1281" s="2" t="str">
        <f t="shared" si="19"/>
        <v>Error?</v>
      </c>
    </row>
    <row r="1282" spans="1:4" x14ac:dyDescent="0.2">
      <c r="A1282" s="5">
        <v>1221</v>
      </c>
      <c r="B1282" s="138">
        <f>'Expenditures 15-22'!K139</f>
        <v>28186</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2675319</v>
      </c>
      <c r="C1288" s="2" t="s">
        <v>573</v>
      </c>
      <c r="D1288" s="2" t="str">
        <f t="shared" si="19"/>
        <v>Error?</v>
      </c>
    </row>
    <row r="1289" spans="1:4" x14ac:dyDescent="0.2">
      <c r="A1289" s="5">
        <v>1228</v>
      </c>
      <c r="B1289" s="138">
        <f>'Expenditures 15-22'!K152</f>
        <v>-834956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1636671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625535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2262206</v>
      </c>
      <c r="C1317" s="2" t="s">
        <v>573</v>
      </c>
      <c r="D1317" s="2" t="str">
        <f t="shared" si="19"/>
        <v>Error?</v>
      </c>
    </row>
    <row r="1318" spans="1:4" x14ac:dyDescent="0.2">
      <c r="A1318" s="5">
        <v>1257</v>
      </c>
      <c r="B1318" s="138">
        <f>'Expenditures 15-22'!H174</f>
        <v>2262206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1636671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625535</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2262206</v>
      </c>
      <c r="C1331" s="2" t="s">
        <v>573</v>
      </c>
      <c r="D1331" s="2" t="str">
        <f t="shared" si="19"/>
        <v>Error?</v>
      </c>
    </row>
    <row r="1332" spans="1:4" x14ac:dyDescent="0.2">
      <c r="A1332" s="5">
        <v>1271</v>
      </c>
      <c r="B1332" s="138">
        <f>'Expenditures 15-22'!K174</f>
        <v>2262206</v>
      </c>
      <c r="C1332" s="2" t="s">
        <v>573</v>
      </c>
      <c r="D1332" s="2" t="str">
        <f t="shared" si="19"/>
        <v>Error?</v>
      </c>
    </row>
    <row r="1333" spans="1:4" x14ac:dyDescent="0.2">
      <c r="A1333" s="5">
        <v>1272</v>
      </c>
      <c r="B1333" s="138">
        <f>'Expenditures 15-22'!K175</f>
        <v>-25470</v>
      </c>
      <c r="C1333" s="2" t="s">
        <v>573</v>
      </c>
      <c r="D1333" s="2" t="str">
        <f t="shared" si="19"/>
        <v>Error?</v>
      </c>
    </row>
    <row r="1334" spans="1:4" x14ac:dyDescent="0.2">
      <c r="A1334" s="10">
        <v>1273</v>
      </c>
      <c r="D1334" s="2" t="str">
        <f t="shared" si="19"/>
        <v>OK</v>
      </c>
    </row>
    <row r="1335" spans="1:4" x14ac:dyDescent="0.2">
      <c r="A1335" s="5">
        <v>1274</v>
      </c>
      <c r="B1335" s="138">
        <f>'Expenditures 15-22'!C182</f>
        <v>350518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350518</v>
      </c>
      <c r="C1339" s="2" t="s">
        <v>573</v>
      </c>
      <c r="D1339" s="2" t="str">
        <f t="shared" si="19"/>
        <v>Error?</v>
      </c>
    </row>
    <row r="1340" spans="1:4" x14ac:dyDescent="0.2">
      <c r="A1340" s="5">
        <v>1279</v>
      </c>
      <c r="B1340" s="138">
        <f>'Expenditures 15-22'!C210</f>
        <v>350518</v>
      </c>
      <c r="C1340" s="2" t="s">
        <v>573</v>
      </c>
      <c r="D1340" s="2" t="str">
        <f t="shared" si="19"/>
        <v>Error?</v>
      </c>
    </row>
    <row r="1341" spans="1:4" x14ac:dyDescent="0.2">
      <c r="A1341" s="5">
        <v>1280</v>
      </c>
      <c r="B1341" s="138">
        <f>'Expenditures 15-22'!D182</f>
        <v>20105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20105</v>
      </c>
      <c r="C1345" s="2" t="s">
        <v>573</v>
      </c>
      <c r="D1345" s="2" t="str">
        <f t="shared" si="20"/>
        <v>Error?</v>
      </c>
    </row>
    <row r="1346" spans="1:4" x14ac:dyDescent="0.2">
      <c r="A1346" s="5">
        <v>1285</v>
      </c>
      <c r="B1346" s="138">
        <f>'Expenditures 15-22'!D210</f>
        <v>20105</v>
      </c>
      <c r="C1346" s="2" t="s">
        <v>573</v>
      </c>
      <c r="D1346" s="2" t="str">
        <f t="shared" si="20"/>
        <v>Error?</v>
      </c>
    </row>
    <row r="1347" spans="1:4" x14ac:dyDescent="0.2">
      <c r="A1347" s="5">
        <v>1286</v>
      </c>
      <c r="B1347" s="138">
        <f>'Expenditures 15-22'!E182</f>
        <v>407388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407388</v>
      </c>
      <c r="C1351" s="2" t="s">
        <v>573</v>
      </c>
      <c r="D1351" s="2" t="str">
        <f t="shared" si="20"/>
        <v>Error?</v>
      </c>
    </row>
    <row r="1352" spans="1:4" x14ac:dyDescent="0.2">
      <c r="A1352" s="5">
        <v>1291</v>
      </c>
      <c r="B1352" s="138">
        <f>'Expenditures 15-22'!E196</f>
        <v>50130</v>
      </c>
      <c r="C1352" s="2" t="s">
        <v>573</v>
      </c>
      <c r="D1352" s="2" t="str">
        <f t="shared" si="20"/>
        <v>Error?</v>
      </c>
    </row>
    <row r="1353" spans="1:4" x14ac:dyDescent="0.2">
      <c r="A1353" s="5">
        <v>1292</v>
      </c>
      <c r="B1353" s="138">
        <f>'Expenditures 15-22'!E210</f>
        <v>457518</v>
      </c>
      <c r="C1353" s="2" t="s">
        <v>573</v>
      </c>
      <c r="D1353" s="2" t="str">
        <f t="shared" si="20"/>
        <v>Error?</v>
      </c>
    </row>
    <row r="1354" spans="1:4" x14ac:dyDescent="0.2">
      <c r="A1354" s="5">
        <v>1293</v>
      </c>
      <c r="B1354" s="138">
        <f>'Expenditures 15-22'!F182</f>
        <v>49211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49211</v>
      </c>
      <c r="C1358" s="2" t="s">
        <v>573</v>
      </c>
      <c r="D1358" s="2" t="str">
        <f t="shared" si="20"/>
        <v>Error?</v>
      </c>
    </row>
    <row r="1359" spans="1:4" x14ac:dyDescent="0.2">
      <c r="A1359" s="5">
        <v>1298</v>
      </c>
      <c r="B1359" s="138">
        <f>'Expenditures 15-22'!F210</f>
        <v>49211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827222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827222</v>
      </c>
      <c r="C1381" s="2" t="s">
        <v>573</v>
      </c>
      <c r="D1381" s="2" t="str">
        <f t="shared" si="20"/>
        <v>Error?</v>
      </c>
    </row>
    <row r="1382" spans="1:4" x14ac:dyDescent="0.2">
      <c r="A1382" s="5">
        <v>1321</v>
      </c>
      <c r="B1382" s="138">
        <f>'Expenditures 15-22'!K196</f>
        <v>50130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877352</v>
      </c>
      <c r="C1388" s="2" t="s">
        <v>573</v>
      </c>
      <c r="D1388" s="2" t="str">
        <f t="shared" si="20"/>
        <v>Error?</v>
      </c>
    </row>
    <row r="1389" spans="1:4" x14ac:dyDescent="0.2">
      <c r="A1389" s="5">
        <v>1328</v>
      </c>
      <c r="B1389" s="138">
        <f>'Expenditures 15-22'!K211</f>
        <v>-202418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4722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233317</v>
      </c>
      <c r="C1410" s="2" t="s">
        <v>573</v>
      </c>
      <c r="D1410" s="2" t="str">
        <f t="shared" si="21"/>
        <v>Error?</v>
      </c>
    </row>
    <row r="1411" spans="1:4" x14ac:dyDescent="0.2">
      <c r="A1411" s="5">
        <v>1350</v>
      </c>
      <c r="B1411" s="138">
        <f>'Expenditures 15-22'!D232</f>
        <v>2750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22504</v>
      </c>
      <c r="D1413" s="2" t="str">
        <f t="shared" si="21"/>
        <v>Error?</v>
      </c>
    </row>
    <row r="1414" spans="1:4" x14ac:dyDescent="0.2">
      <c r="A1414" s="5">
        <v>1353</v>
      </c>
      <c r="B1414" s="138">
        <f>'Expenditures 15-22'!D235</f>
        <v>2383</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530</v>
      </c>
      <c r="D1416" s="2" t="str">
        <f t="shared" si="21"/>
        <v>Error?</v>
      </c>
    </row>
    <row r="1417" spans="1:4" x14ac:dyDescent="0.2">
      <c r="A1417" s="5">
        <v>1356</v>
      </c>
      <c r="B1417" s="138">
        <f>'Expenditures 15-22'!D238</f>
        <v>28167</v>
      </c>
      <c r="C1417" s="2" t="s">
        <v>573</v>
      </c>
      <c r="D1417" s="2" t="str">
        <f t="shared" si="21"/>
        <v>Error?</v>
      </c>
    </row>
    <row r="1418" spans="1:4" x14ac:dyDescent="0.2">
      <c r="A1418" s="5">
        <v>1357</v>
      </c>
      <c r="B1418" s="138">
        <f>'Expenditures 15-22'!D240</f>
        <v>12288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12288</v>
      </c>
      <c r="C1421" s="2" t="s">
        <v>573</v>
      </c>
      <c r="D1421" s="2" t="str">
        <f t="shared" si="21"/>
        <v>Error?</v>
      </c>
    </row>
    <row r="1422" spans="1:4" x14ac:dyDescent="0.2">
      <c r="A1422" s="5">
        <v>1361</v>
      </c>
      <c r="B1422" s="138">
        <f>'Expenditures 15-22'!D245</f>
        <v>361</v>
      </c>
      <c r="D1422" s="2" t="str">
        <f t="shared" si="21"/>
        <v>Error?</v>
      </c>
    </row>
    <row r="1423" spans="1:4" x14ac:dyDescent="0.2">
      <c r="A1423" s="5">
        <v>1362</v>
      </c>
      <c r="B1423" s="138">
        <f>'Expenditures 15-22'!D246</f>
        <v>18091</v>
      </c>
      <c r="D1423" s="2" t="str">
        <f t="shared" si="21"/>
        <v>Error?</v>
      </c>
    </row>
    <row r="1424" spans="1:4" x14ac:dyDescent="0.2">
      <c r="A1424" s="5">
        <v>1363</v>
      </c>
      <c r="B1424" s="138">
        <f>'Expenditures 15-22'!D257</f>
        <v>18452</v>
      </c>
      <c r="C1424" s="2" t="s">
        <v>573</v>
      </c>
      <c r="D1424" s="2" t="str">
        <f t="shared" si="21"/>
        <v>Error?</v>
      </c>
    </row>
    <row r="1425" spans="1:4" x14ac:dyDescent="0.2">
      <c r="A1425" s="5">
        <v>1364</v>
      </c>
      <c r="B1425" s="138">
        <f>'Expenditures 15-22'!D259</f>
        <v>52962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52962</v>
      </c>
      <c r="C1427" s="2" t="s">
        <v>573</v>
      </c>
      <c r="D1427" s="2" t="str">
        <f t="shared" si="21"/>
        <v>Error?</v>
      </c>
    </row>
    <row r="1428" spans="1:4" x14ac:dyDescent="0.2">
      <c r="A1428" s="5">
        <v>1367</v>
      </c>
      <c r="B1428" s="138">
        <f>'Expenditures 15-22'!D263</f>
        <v>3645</v>
      </c>
      <c r="D1428" s="2" t="str">
        <f t="shared" si="21"/>
        <v>Error?</v>
      </c>
    </row>
    <row r="1429" spans="1:4" x14ac:dyDescent="0.2">
      <c r="A1429" s="5">
        <v>1368</v>
      </c>
      <c r="B1429" s="138">
        <f>'Expenditures 15-22'!D264</f>
        <v>19846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7571</v>
      </c>
      <c r="D1431" s="2" t="str">
        <f t="shared" si="21"/>
        <v>Error?</v>
      </c>
    </row>
    <row r="1432" spans="1:4" x14ac:dyDescent="0.2">
      <c r="A1432" s="5">
        <v>1371</v>
      </c>
      <c r="B1432" s="138">
        <f>'Expenditures 15-22'!D267</f>
        <v>64336</v>
      </c>
      <c r="D1432" s="2" t="str">
        <f t="shared" si="21"/>
        <v>Error?</v>
      </c>
    </row>
    <row r="1433" spans="1:4" x14ac:dyDescent="0.2">
      <c r="A1433" s="5">
        <v>1372</v>
      </c>
      <c r="B1433" s="138">
        <f>'Expenditures 15-22'!D268</f>
        <v>27928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123326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597</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37272</v>
      </c>
      <c r="D1442" s="2" t="str">
        <f t="shared" si="21"/>
        <v>Error?</v>
      </c>
    </row>
    <row r="1443" spans="1:4" x14ac:dyDescent="0.2">
      <c r="A1443" s="10">
        <v>1382</v>
      </c>
      <c r="D1443" s="2" t="str">
        <f t="shared" si="21"/>
        <v>OK</v>
      </c>
    </row>
    <row r="1444" spans="1:4" x14ac:dyDescent="0.2">
      <c r="A1444" s="5">
        <v>1383</v>
      </c>
      <c r="B1444" s="138">
        <f>'Expenditures 15-22'!D277</f>
        <v>37869</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273064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506381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4722</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233317</v>
      </c>
      <c r="C1474" s="2" t="s">
        <v>573</v>
      </c>
      <c r="D1474" s="2" t="str">
        <f t="shared" si="22"/>
        <v>Error?</v>
      </c>
    </row>
    <row r="1475" spans="1:4" x14ac:dyDescent="0.2">
      <c r="A1475" s="5">
        <v>1414</v>
      </c>
      <c r="B1475" s="138">
        <f>'Expenditures 15-22'!K232</f>
        <v>2750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22504</v>
      </c>
      <c r="C1477" s="2" t="s">
        <v>573</v>
      </c>
      <c r="D1477" s="2" t="str">
        <f t="shared" si="22"/>
        <v>Error?</v>
      </c>
    </row>
    <row r="1478" spans="1:4" x14ac:dyDescent="0.2">
      <c r="A1478" s="5">
        <v>1417</v>
      </c>
      <c r="B1478" s="138">
        <f>'Expenditures 15-22'!K235</f>
        <v>2383</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530</v>
      </c>
      <c r="C1480" s="2" t="s">
        <v>573</v>
      </c>
      <c r="D1480" s="2" t="str">
        <f t="shared" si="22"/>
        <v>Error?</v>
      </c>
    </row>
    <row r="1481" spans="1:4" x14ac:dyDescent="0.2">
      <c r="A1481" s="5">
        <v>1420</v>
      </c>
      <c r="B1481" s="138">
        <f>'Expenditures 15-22'!K238</f>
        <v>28167</v>
      </c>
      <c r="C1481" s="2" t="s">
        <v>573</v>
      </c>
      <c r="D1481" s="2" t="str">
        <f t="shared" si="22"/>
        <v>Error?</v>
      </c>
    </row>
    <row r="1482" spans="1:4" x14ac:dyDescent="0.2">
      <c r="A1482" s="5">
        <v>1421</v>
      </c>
      <c r="B1482" s="138">
        <f>'Expenditures 15-22'!K240</f>
        <v>12288</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12288</v>
      </c>
      <c r="C1485" s="2" t="s">
        <v>573</v>
      </c>
      <c r="D1485" s="2" t="str">
        <f t="shared" si="22"/>
        <v>Error?</v>
      </c>
    </row>
    <row r="1486" spans="1:4" x14ac:dyDescent="0.2">
      <c r="A1486" s="5">
        <v>1425</v>
      </c>
      <c r="B1486" s="138">
        <f>'Expenditures 15-22'!K245</f>
        <v>361</v>
      </c>
      <c r="C1486" s="2" t="s">
        <v>573</v>
      </c>
      <c r="D1486" s="2" t="str">
        <f t="shared" si="22"/>
        <v>Error?</v>
      </c>
    </row>
    <row r="1487" spans="1:4" x14ac:dyDescent="0.2">
      <c r="A1487" s="5">
        <v>1426</v>
      </c>
      <c r="B1487" s="138">
        <f>'Expenditures 15-22'!K246</f>
        <v>18091</v>
      </c>
      <c r="C1487" s="2" t="s">
        <v>573</v>
      </c>
      <c r="D1487" s="2" t="str">
        <f t="shared" si="22"/>
        <v>Error?</v>
      </c>
    </row>
    <row r="1488" spans="1:4" x14ac:dyDescent="0.2">
      <c r="A1488" s="5">
        <v>1427</v>
      </c>
      <c r="B1488" s="138">
        <f>'Expenditures 15-22'!K257</f>
        <v>18452</v>
      </c>
      <c r="C1488" s="2" t="s">
        <v>573</v>
      </c>
      <c r="D1488" s="2" t="str">
        <f t="shared" si="22"/>
        <v>Error?</v>
      </c>
    </row>
    <row r="1489" spans="1:4" x14ac:dyDescent="0.2">
      <c r="A1489" s="5">
        <v>1428</v>
      </c>
      <c r="B1489" s="138">
        <f>'Expenditures 15-22'!K259</f>
        <v>52962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52962</v>
      </c>
      <c r="C1491" s="2" t="s">
        <v>573</v>
      </c>
      <c r="D1491" s="2" t="str">
        <f t="shared" si="22"/>
        <v>Error?</v>
      </c>
    </row>
    <row r="1492" spans="1:4" x14ac:dyDescent="0.2">
      <c r="A1492" s="5">
        <v>1431</v>
      </c>
      <c r="B1492" s="138">
        <f>'Expenditures 15-22'!K263</f>
        <v>3645</v>
      </c>
      <c r="C1492" s="2" t="s">
        <v>573</v>
      </c>
      <c r="D1492" s="2" t="str">
        <f t="shared" si="22"/>
        <v>Error?</v>
      </c>
    </row>
    <row r="1493" spans="1:4" x14ac:dyDescent="0.2">
      <c r="A1493" s="5">
        <v>1432</v>
      </c>
      <c r="B1493" s="138">
        <f>'Expenditures 15-22'!K264</f>
        <v>19846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7571</v>
      </c>
      <c r="C1495" s="2" t="s">
        <v>573</v>
      </c>
      <c r="D1495" s="2" t="str">
        <f t="shared" si="22"/>
        <v>Error?</v>
      </c>
    </row>
    <row r="1496" spans="1:4" x14ac:dyDescent="0.2">
      <c r="A1496" s="5">
        <v>1435</v>
      </c>
      <c r="B1496" s="138">
        <f>'Expenditures 15-22'!K267</f>
        <v>64336</v>
      </c>
      <c r="C1496" s="2" t="s">
        <v>573</v>
      </c>
      <c r="D1496" s="2" t="str">
        <f t="shared" si="22"/>
        <v>Error?</v>
      </c>
    </row>
    <row r="1497" spans="1:4" x14ac:dyDescent="0.2">
      <c r="A1497" s="5">
        <v>1436</v>
      </c>
      <c r="B1497" s="138">
        <f>'Expenditures 15-22'!K268</f>
        <v>27928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123326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597</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37272</v>
      </c>
      <c r="C1506" s="2" t="s">
        <v>573</v>
      </c>
      <c r="D1506" s="2" t="str">
        <f t="shared" si="22"/>
        <v>Error?</v>
      </c>
    </row>
    <row r="1507" spans="1:4" x14ac:dyDescent="0.2">
      <c r="A1507" s="10">
        <v>1446</v>
      </c>
      <c r="D1507" s="2" t="str">
        <f t="shared" si="22"/>
        <v>OK</v>
      </c>
    </row>
    <row r="1508" spans="1:4" x14ac:dyDescent="0.2">
      <c r="A1508" s="5">
        <v>1447</v>
      </c>
      <c r="B1508" s="138">
        <f>'Expenditures 15-22'!K277</f>
        <v>37869</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273064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506381</v>
      </c>
      <c r="C1517" s="2" t="s">
        <v>573</v>
      </c>
      <c r="D1517" s="2" t="str">
        <f t="shared" si="22"/>
        <v>Error?</v>
      </c>
    </row>
    <row r="1518" spans="1:4" x14ac:dyDescent="0.2">
      <c r="A1518" s="5">
        <v>1457</v>
      </c>
      <c r="B1518" s="138">
        <f>'Expenditures 15-22'!K296</f>
        <v>-58344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3949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7975439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8691333</v>
      </c>
      <c r="C1630" s="2" t="s">
        <v>573</v>
      </c>
      <c r="D1630" s="2" t="str">
        <f t="shared" si="24"/>
        <v>Error?</v>
      </c>
    </row>
    <row r="1631" spans="1:4" x14ac:dyDescent="0.2">
      <c r="A1631" s="5">
        <v>1570</v>
      </c>
      <c r="B1631" s="138">
        <f>'Acct Summary 7-8'!D79</f>
        <v>1978700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1171486</v>
      </c>
      <c r="C1644" s="2" t="s">
        <v>573</v>
      </c>
      <c r="D1644" s="2" t="str">
        <f t="shared" si="24"/>
        <v>Error?</v>
      </c>
    </row>
    <row r="1645" spans="1:4" x14ac:dyDescent="0.2">
      <c r="A1645" s="5">
        <v>1584</v>
      </c>
      <c r="B1645" s="138">
        <f>'Acct Summary 7-8'!E79</f>
        <v>1470354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1444884</v>
      </c>
      <c r="C1658" s="2" t="s">
        <v>573</v>
      </c>
      <c r="D1658" s="2" t="str">
        <f t="shared" si="24"/>
        <v>Error?</v>
      </c>
    </row>
    <row r="1659" spans="1:4" x14ac:dyDescent="0.2">
      <c r="A1659" s="5">
        <v>1598</v>
      </c>
      <c r="B1659" s="138">
        <f>'Acct Summary 7-8'!F79</f>
        <v>1454008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1251590</v>
      </c>
      <c r="C1672" s="2" t="s">
        <v>573</v>
      </c>
      <c r="D1672" s="2" t="str">
        <f t="shared" si="25"/>
        <v>Error?</v>
      </c>
    </row>
    <row r="1673" spans="1:4" x14ac:dyDescent="0.2">
      <c r="A1673" s="5">
        <v>1612</v>
      </c>
      <c r="B1673" s="138">
        <f>'Acct Summary 7-8'!G79</f>
        <v>268243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209899</v>
      </c>
      <c r="C1686" s="2" t="s">
        <v>573</v>
      </c>
      <c r="D1686" s="2" t="str">
        <f t="shared" si="25"/>
        <v>Error?</v>
      </c>
    </row>
    <row r="1687" spans="1:4" x14ac:dyDescent="0.2">
      <c r="A1687" s="5">
        <v>1626</v>
      </c>
      <c r="B1687" s="138">
        <f>'Acct Summary 7-8'!H79</f>
        <v>65389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41596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11682835</v>
      </c>
      <c r="C1744" s="2" t="s">
        <v>573</v>
      </c>
      <c r="D1744" s="2" t="str">
        <f t="shared" si="26"/>
        <v>Error?</v>
      </c>
    </row>
    <row r="1745" spans="1:5" x14ac:dyDescent="0.2">
      <c r="A1745" s="5">
        <v>1684</v>
      </c>
      <c r="B1745" s="138">
        <f>'Tax Sched 23'!B5</f>
        <v>1214412</v>
      </c>
      <c r="C1745" s="2" t="s">
        <v>573</v>
      </c>
      <c r="D1745" s="2" t="str">
        <f t="shared" si="26"/>
        <v>Error?</v>
      </c>
    </row>
    <row r="1746" spans="1:5" x14ac:dyDescent="0.2">
      <c r="A1746" s="5">
        <v>1685</v>
      </c>
      <c r="B1746" s="138">
        <f>'Tax Sched 23'!B6</f>
        <v>2215469</v>
      </c>
      <c r="C1746" s="2" t="s">
        <v>573</v>
      </c>
      <c r="D1746" s="2" t="str">
        <f t="shared" si="26"/>
        <v>Error?</v>
      </c>
    </row>
    <row r="1747" spans="1:5" x14ac:dyDescent="0.2">
      <c r="A1747" s="5">
        <v>1686</v>
      </c>
      <c r="B1747" s="138">
        <f>'Tax Sched 23'!B7</f>
        <v>415659</v>
      </c>
      <c r="C1747" s="2" t="s">
        <v>573</v>
      </c>
      <c r="D1747" s="2" t="str">
        <f t="shared" si="26"/>
        <v>Error?</v>
      </c>
    </row>
    <row r="1748" spans="1:5" x14ac:dyDescent="0.2">
      <c r="A1748" s="5">
        <v>1687</v>
      </c>
      <c r="B1748" s="138">
        <f>'Tax Sched 23'!B8</f>
        <v>392078</v>
      </c>
      <c r="C1748" s="2" t="s">
        <v>573</v>
      </c>
      <c r="D1748" s="2" t="str">
        <f t="shared" si="26"/>
        <v>Error?</v>
      </c>
    </row>
    <row r="1749" spans="1:5" x14ac:dyDescent="0.2">
      <c r="A1749" s="5">
        <v>1688</v>
      </c>
      <c r="B1749" s="138">
        <f>'Tax Sched 23'!B10</f>
        <v>68709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147460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465077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16601699</v>
      </c>
      <c r="C1759" s="2" t="s">
        <v>573</v>
      </c>
      <c r="D1759" s="2" t="str">
        <f t="shared" si="26"/>
        <v>Error?</v>
      </c>
    </row>
    <row r="1760" spans="1:5" x14ac:dyDescent="0.2">
      <c r="A1760" s="5">
        <v>1699</v>
      </c>
      <c r="B1760" s="138">
        <f>'Tax Sched 23'!D4</f>
        <v>5352569</v>
      </c>
      <c r="C1760" s="2" t="s">
        <v>573</v>
      </c>
      <c r="D1760" s="2" t="str">
        <f t="shared" si="26"/>
        <v>Error?</v>
      </c>
    </row>
    <row r="1761" spans="1:5" x14ac:dyDescent="0.2">
      <c r="A1761" s="5">
        <v>1700</v>
      </c>
      <c r="B1761" s="138">
        <f>'Tax Sched 23'!D5</f>
        <v>562342</v>
      </c>
      <c r="C1761" s="2" t="s">
        <v>573</v>
      </c>
      <c r="D1761" s="2" t="str">
        <f t="shared" si="26"/>
        <v>Error?</v>
      </c>
    </row>
    <row r="1762" spans="1:5" s="8" customFormat="1" x14ac:dyDescent="0.2">
      <c r="A1762" s="5">
        <v>1701</v>
      </c>
      <c r="B1762" s="138">
        <f>'Tax Sched 23'!D6</f>
        <v>1035281</v>
      </c>
      <c r="C1762" s="2" t="s">
        <v>573</v>
      </c>
      <c r="D1762" s="2" t="str">
        <f t="shared" si="26"/>
        <v>Error?</v>
      </c>
      <c r="E1762" s="9"/>
    </row>
    <row r="1763" spans="1:5" x14ac:dyDescent="0.2">
      <c r="A1763" s="5">
        <v>1702</v>
      </c>
      <c r="B1763" s="138">
        <f>'Tax Sched 23'!D7</f>
        <v>192296</v>
      </c>
      <c r="C1763" s="2" t="s">
        <v>573</v>
      </c>
      <c r="D1763" s="2" t="str">
        <f t="shared" si="26"/>
        <v>Error?</v>
      </c>
    </row>
    <row r="1764" spans="1:5" x14ac:dyDescent="0.2">
      <c r="A1764" s="5">
        <v>1703</v>
      </c>
      <c r="B1764" s="138">
        <f>'Tax Sched 23'!D8</f>
        <v>286765</v>
      </c>
      <c r="C1764" s="2" t="s">
        <v>573</v>
      </c>
      <c r="D1764" s="2" t="str">
        <f t="shared" si="26"/>
        <v>Error?</v>
      </c>
    </row>
    <row r="1765" spans="1:5" x14ac:dyDescent="0.2">
      <c r="A1765" s="5">
        <v>1704</v>
      </c>
      <c r="B1765" s="138">
        <f>'Tax Sched 23'!D10</f>
        <v>31741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68242</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215308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7639231</v>
      </c>
      <c r="C1775" s="2" t="s">
        <v>573</v>
      </c>
      <c r="D1775" s="2" t="str">
        <f t="shared" si="26"/>
        <v>Error?</v>
      </c>
    </row>
    <row r="1776" spans="1:5" x14ac:dyDescent="0.2">
      <c r="A1776" s="5">
        <v>1715</v>
      </c>
      <c r="B1776" s="138">
        <f>'Tax Sched 23'!C4</f>
        <v>6330266</v>
      </c>
      <c r="D1776" s="2" t="str">
        <f t="shared" si="26"/>
        <v>Error?</v>
      </c>
    </row>
    <row r="1777" spans="1:4" x14ac:dyDescent="0.2">
      <c r="A1777" s="5">
        <v>1716</v>
      </c>
      <c r="B1777" s="138">
        <f>'Tax Sched 23'!C5</f>
        <v>652070</v>
      </c>
      <c r="D1777" s="2" t="str">
        <f t="shared" si="26"/>
        <v>Error?</v>
      </c>
    </row>
    <row r="1778" spans="1:4" x14ac:dyDescent="0.2">
      <c r="A1778" s="5">
        <v>1717</v>
      </c>
      <c r="B1778" s="138">
        <f>'Tax Sched 23'!C6</f>
        <v>1180188</v>
      </c>
      <c r="D1778" s="2" t="str">
        <f t="shared" si="26"/>
        <v>Error?</v>
      </c>
    </row>
    <row r="1779" spans="1:4" x14ac:dyDescent="0.2">
      <c r="A1779" s="5">
        <v>1718</v>
      </c>
      <c r="B1779" s="138">
        <f>'Tax Sched 23'!C7</f>
        <v>223363</v>
      </c>
      <c r="D1779" s="2" t="str">
        <f t="shared" si="26"/>
        <v>Error?</v>
      </c>
    </row>
    <row r="1780" spans="1:4" x14ac:dyDescent="0.2">
      <c r="A1780" s="5">
        <v>1719</v>
      </c>
      <c r="B1780" s="138">
        <f>'Tax Sched 23'!C8</f>
        <v>105313</v>
      </c>
      <c r="D1780" s="2" t="str">
        <f t="shared" si="26"/>
        <v>Error?</v>
      </c>
    </row>
    <row r="1781" spans="1:4" x14ac:dyDescent="0.2">
      <c r="A1781" s="5">
        <v>1720</v>
      </c>
      <c r="B1781" s="138">
        <f>'Tax Sched 23'!C10</f>
        <v>36968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79218</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249769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8962468</v>
      </c>
      <c r="C1791" s="2" t="s">
        <v>573</v>
      </c>
      <c r="D1791" s="2" t="str">
        <f t="shared" ref="D1791:D1854" si="27">IF(ISBLANK(B1791),"OK",IF(A1791-B1791=0,"OK","Error?"))</f>
        <v>Error?</v>
      </c>
    </row>
    <row r="1792" spans="1:4" x14ac:dyDescent="0.2">
      <c r="A1792" s="5">
        <v>1731</v>
      </c>
      <c r="B1792" s="138">
        <f>'Tax Sched 23'!F4</f>
        <v>5743842</v>
      </c>
      <c r="C1792" s="2" t="s">
        <v>573</v>
      </c>
      <c r="D1792" s="2" t="str">
        <f t="shared" si="27"/>
        <v>Error?</v>
      </c>
    </row>
    <row r="1793" spans="1:4" x14ac:dyDescent="0.2">
      <c r="A1793" s="5">
        <v>1732</v>
      </c>
      <c r="B1793" s="138">
        <f>'Tax Sched 23'!F5</f>
        <v>591663</v>
      </c>
      <c r="C1793" s="2" t="s">
        <v>573</v>
      </c>
      <c r="D1793" s="2" t="str">
        <f t="shared" si="27"/>
        <v>Error?</v>
      </c>
    </row>
    <row r="1794" spans="1:4" x14ac:dyDescent="0.2">
      <c r="A1794" s="5">
        <v>1733</v>
      </c>
      <c r="B1794" s="138">
        <f>'Tax Sched 23'!F6</f>
        <v>1070857</v>
      </c>
      <c r="C1794" s="2" t="s">
        <v>573</v>
      </c>
      <c r="D1794" s="2" t="str">
        <f t="shared" si="27"/>
        <v>Error?</v>
      </c>
    </row>
    <row r="1795" spans="1:4" x14ac:dyDescent="0.2">
      <c r="A1795" s="5">
        <v>1734</v>
      </c>
      <c r="B1795" s="138">
        <f>'Tax Sched 23'!F7</f>
        <v>202670</v>
      </c>
      <c r="C1795" s="2" t="s">
        <v>573</v>
      </c>
      <c r="D1795" s="2" t="str">
        <f t="shared" si="27"/>
        <v>Error?</v>
      </c>
    </row>
    <row r="1796" spans="1:4" x14ac:dyDescent="0.2">
      <c r="A1796" s="5">
        <v>1735</v>
      </c>
      <c r="B1796" s="138">
        <f>'Tax Sched 23'!F8</f>
        <v>95557</v>
      </c>
      <c r="C1796" s="2" t="s">
        <v>573</v>
      </c>
      <c r="D1796" s="2" t="str">
        <f t="shared" si="27"/>
        <v>Error?</v>
      </c>
    </row>
    <row r="1797" spans="1:4" x14ac:dyDescent="0.2">
      <c r="A1797" s="5">
        <v>1736</v>
      </c>
      <c r="B1797" s="138">
        <f>'Tax Sched 23'!F10</f>
        <v>33544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71879</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226630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8132199</v>
      </c>
      <c r="C1807" s="2" t="s">
        <v>573</v>
      </c>
      <c r="D1807" s="2" t="str">
        <f t="shared" si="27"/>
        <v>Error?</v>
      </c>
    </row>
    <row r="1808" spans="1:4" x14ac:dyDescent="0.2">
      <c r="A1808" s="5">
        <v>1747</v>
      </c>
      <c r="B1808" s="138">
        <f>'Tax Sched 23'!E4</f>
        <v>12074108</v>
      </c>
      <c r="D1808" s="2" t="str">
        <f t="shared" si="27"/>
        <v>Error?</v>
      </c>
    </row>
    <row r="1809" spans="1:4" x14ac:dyDescent="0.2">
      <c r="A1809" s="5">
        <v>1748</v>
      </c>
      <c r="B1809" s="138">
        <f>'Tax Sched 23'!E5</f>
        <v>1243733</v>
      </c>
      <c r="D1809" s="2" t="str">
        <f t="shared" si="27"/>
        <v>Error?</v>
      </c>
    </row>
    <row r="1810" spans="1:4" x14ac:dyDescent="0.2">
      <c r="A1810" s="5">
        <v>1749</v>
      </c>
      <c r="B1810" s="138">
        <f>'Tax Sched 23'!E6</f>
        <v>2251045</v>
      </c>
      <c r="D1810" s="2" t="str">
        <f t="shared" si="27"/>
        <v>Error?</v>
      </c>
    </row>
    <row r="1811" spans="1:4" x14ac:dyDescent="0.2">
      <c r="A1811" s="5">
        <v>1750</v>
      </c>
      <c r="B1811" s="138">
        <f>'Tax Sched 23'!E7</f>
        <v>426033</v>
      </c>
      <c r="D1811" s="2" t="str">
        <f t="shared" si="27"/>
        <v>Error?</v>
      </c>
    </row>
    <row r="1812" spans="1:4" x14ac:dyDescent="0.2">
      <c r="A1812" s="5">
        <v>1751</v>
      </c>
      <c r="B1812" s="138">
        <f>'Tax Sched 23'!E8</f>
        <v>200870</v>
      </c>
      <c r="D1812" s="2" t="str">
        <f t="shared" si="27"/>
        <v>Error?</v>
      </c>
    </row>
    <row r="1813" spans="1:4" x14ac:dyDescent="0.2">
      <c r="A1813" s="5">
        <v>1752</v>
      </c>
      <c r="B1813" s="138">
        <f>'Tax Sched 23'!E10</f>
        <v>70512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151097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476399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17094667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7932965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466051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466051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466051</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723912</v>
      </c>
      <c r="D2008" s="2" t="str">
        <f t="shared" si="30"/>
        <v>Error?</v>
      </c>
    </row>
    <row r="2009" spans="1:4" x14ac:dyDescent="0.2">
      <c r="A2009" s="5">
        <v>1948</v>
      </c>
      <c r="B2009" s="138">
        <f>'Cap Outlay Deprec 26'!C8</f>
        <v>29483208</v>
      </c>
      <c r="D2009" s="2" t="str">
        <f t="shared" si="30"/>
        <v>Error?</v>
      </c>
    </row>
    <row r="2010" spans="1:4" x14ac:dyDescent="0.2">
      <c r="A2010" s="5">
        <v>1949</v>
      </c>
      <c r="B2010" s="138">
        <f>'Cap Outlay Deprec 26'!C10</f>
        <v>723912</v>
      </c>
      <c r="D2010" s="2" t="str">
        <f t="shared" si="30"/>
        <v>Error?</v>
      </c>
    </row>
    <row r="2011" spans="1:4" x14ac:dyDescent="0.2">
      <c r="A2011" s="5">
        <v>1950</v>
      </c>
      <c r="B2011" s="138">
        <f>'Cap Outlay Deprec 26'!C12</f>
        <v>4316449</v>
      </c>
      <c r="D2011" s="2" t="str">
        <f t="shared" si="30"/>
        <v>Error?</v>
      </c>
    </row>
    <row r="2012" spans="1:4" x14ac:dyDescent="0.2">
      <c r="A2012" s="5">
        <v>1951</v>
      </c>
      <c r="B2012" s="138">
        <f>'Cap Outlay Deprec 26'!C13</f>
        <v>564413</v>
      </c>
      <c r="D2012" s="2" t="str">
        <f t="shared" si="30"/>
        <v>Error?</v>
      </c>
    </row>
    <row r="2013" spans="1:4" x14ac:dyDescent="0.2">
      <c r="A2013" s="5">
        <v>1952</v>
      </c>
      <c r="B2013" s="138">
        <f>'Cap Outlay Deprec 26'!C16</f>
        <v>35811894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374060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48134</v>
      </c>
      <c r="D2017" s="2" t="str">
        <f t="shared" si="30"/>
        <v>Error?</v>
      </c>
    </row>
    <row r="2018" spans="1:4" x14ac:dyDescent="0.2">
      <c r="A2018" s="5">
        <v>1957</v>
      </c>
      <c r="B2018" s="138">
        <f>'Cap Outlay Deprec 26'!D13</f>
        <v>24388</v>
      </c>
      <c r="D2018" s="2" t="str">
        <f t="shared" si="30"/>
        <v>Error?</v>
      </c>
    </row>
    <row r="2019" spans="1:4" x14ac:dyDescent="0.2">
      <c r="A2019" s="5">
        <v>1958</v>
      </c>
      <c r="B2019" s="138">
        <f>'Cap Outlay Deprec 26'!D16</f>
        <v>446582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472957</v>
      </c>
      <c r="D2024" s="2" t="str">
        <f t="shared" si="30"/>
        <v>Error?</v>
      </c>
    </row>
    <row r="2025" spans="1:4" x14ac:dyDescent="0.2">
      <c r="A2025" s="5">
        <v>1964</v>
      </c>
      <c r="B2025" s="138">
        <f>'Cap Outlay Deprec 26'!E16</f>
        <v>472957</v>
      </c>
      <c r="C2025" s="2" t="s">
        <v>573</v>
      </c>
      <c r="D2025" s="2" t="str">
        <f t="shared" si="30"/>
        <v>Error?</v>
      </c>
    </row>
    <row r="2026" spans="1:4" x14ac:dyDescent="0.2">
      <c r="A2026" s="5">
        <v>1965</v>
      </c>
      <c r="B2026" s="138">
        <f>'Cap Outlay Deprec 26'!F5</f>
        <v>723912</v>
      </c>
      <c r="C2026" s="2" t="s">
        <v>573</v>
      </c>
      <c r="D2026" s="2" t="str">
        <f t="shared" si="30"/>
        <v>Error?</v>
      </c>
    </row>
    <row r="2027" spans="1:4" x14ac:dyDescent="0.2">
      <c r="A2027" s="5">
        <v>1966</v>
      </c>
      <c r="B2027" s="138">
        <f>'Cap Outlay Deprec 26'!F8</f>
        <v>29857268</v>
      </c>
      <c r="C2027" s="2" t="s">
        <v>573</v>
      </c>
      <c r="D2027" s="2" t="str">
        <f t="shared" si="30"/>
        <v>Error?</v>
      </c>
    </row>
    <row r="2028" spans="1:4" x14ac:dyDescent="0.2">
      <c r="A2028" s="5">
        <v>1967</v>
      </c>
      <c r="B2028" s="138">
        <f>'Cap Outlay Deprec 26'!F10</f>
        <v>723912</v>
      </c>
      <c r="C2028" s="2" t="s">
        <v>573</v>
      </c>
      <c r="D2028" s="2" t="str">
        <f t="shared" si="30"/>
        <v>Error?</v>
      </c>
    </row>
    <row r="2029" spans="1:4" x14ac:dyDescent="0.2">
      <c r="A2029" s="5">
        <v>1968</v>
      </c>
      <c r="B2029" s="138">
        <f>'Cap Outlay Deprec 26'!F12</f>
        <v>4364583</v>
      </c>
      <c r="C2029" s="2" t="s">
        <v>573</v>
      </c>
      <c r="D2029" s="2" t="str">
        <f t="shared" si="30"/>
        <v>Error?</v>
      </c>
    </row>
    <row r="2030" spans="1:4" x14ac:dyDescent="0.2">
      <c r="A2030" s="5">
        <v>1969</v>
      </c>
      <c r="B2030" s="138">
        <f>'Cap Outlay Deprec 26'!F13</f>
        <v>115844</v>
      </c>
      <c r="C2030" s="2" t="s">
        <v>573</v>
      </c>
      <c r="D2030" s="2" t="str">
        <f t="shared" si="30"/>
        <v>Error?</v>
      </c>
    </row>
    <row r="2031" spans="1:4" x14ac:dyDescent="0.2">
      <c r="A2031" s="5">
        <v>1970</v>
      </c>
      <c r="B2031" s="138">
        <f>'Cap Outlay Deprec 26'!F16</f>
        <v>35785519</v>
      </c>
      <c r="C2031" s="2" t="s">
        <v>573</v>
      </c>
      <c r="D2031" s="2" t="str">
        <f t="shared" si="30"/>
        <v>Error?</v>
      </c>
    </row>
    <row r="2032" spans="1:4" x14ac:dyDescent="0.2">
      <c r="A2032" s="10">
        <v>1971</v>
      </c>
      <c r="D2032" s="2" t="str">
        <f t="shared" si="30"/>
        <v>OK</v>
      </c>
    </row>
    <row r="2033" spans="1:4" x14ac:dyDescent="0.2">
      <c r="A2033" s="5">
        <v>1972</v>
      </c>
      <c r="B2033" s="138">
        <f>'Cap Outlay Deprec 26'!H8</f>
        <v>15454575</v>
      </c>
      <c r="D2033" s="2" t="str">
        <f t="shared" si="30"/>
        <v>Error?</v>
      </c>
    </row>
    <row r="2034" spans="1:4" x14ac:dyDescent="0.2">
      <c r="A2034" s="5">
        <v>1973</v>
      </c>
      <c r="B2034" s="138">
        <f>'Cap Outlay Deprec 26'!H10</f>
        <v>650045</v>
      </c>
      <c r="D2034" s="2" t="str">
        <f t="shared" si="30"/>
        <v>Error?</v>
      </c>
    </row>
    <row r="2035" spans="1:4" x14ac:dyDescent="0.2">
      <c r="A2035" s="5">
        <v>1974</v>
      </c>
      <c r="B2035" s="138">
        <f>'Cap Outlay Deprec 26'!H12</f>
        <v>4038651</v>
      </c>
      <c r="D2035" s="2" t="str">
        <f t="shared" si="30"/>
        <v>Error?</v>
      </c>
    </row>
    <row r="2036" spans="1:4" x14ac:dyDescent="0.2">
      <c r="A2036" s="5">
        <v>1975</v>
      </c>
      <c r="B2036" s="138">
        <f>'Cap Outlay Deprec 26'!H13</f>
        <v>394709</v>
      </c>
      <c r="D2036" s="2" t="str">
        <f t="shared" si="30"/>
        <v>Error?</v>
      </c>
    </row>
    <row r="2037" spans="1:4" x14ac:dyDescent="0.2">
      <c r="A2037" s="5">
        <v>1976</v>
      </c>
      <c r="B2037" s="138">
        <f>'Cap Outlay Deprec 26'!H16</f>
        <v>20537980</v>
      </c>
      <c r="C2037" s="2" t="s">
        <v>573</v>
      </c>
      <c r="D2037" s="2" t="str">
        <f t="shared" si="30"/>
        <v>Error?</v>
      </c>
    </row>
    <row r="2038" spans="1:4" x14ac:dyDescent="0.2">
      <c r="A2038" s="10">
        <v>1977</v>
      </c>
      <c r="D2038" s="2" t="str">
        <f t="shared" si="30"/>
        <v>OK</v>
      </c>
    </row>
    <row r="2039" spans="1:4" x14ac:dyDescent="0.2">
      <c r="A2039" s="5">
        <v>1978</v>
      </c>
      <c r="B2039" s="138">
        <f>'Cap Outlay Deprec 26'!I8</f>
        <v>725379</v>
      </c>
      <c r="D2039" s="2" t="str">
        <f t="shared" si="30"/>
        <v>Error?</v>
      </c>
    </row>
    <row r="2040" spans="1:4" x14ac:dyDescent="0.2">
      <c r="A2040" s="5">
        <v>1979</v>
      </c>
      <c r="B2040" s="138">
        <f>'Cap Outlay Deprec 26'!I10</f>
        <v>18936</v>
      </c>
      <c r="D2040" s="2" t="str">
        <f t="shared" si="30"/>
        <v>Error?</v>
      </c>
    </row>
    <row r="2041" spans="1:4" x14ac:dyDescent="0.2">
      <c r="A2041" s="5">
        <v>1980</v>
      </c>
      <c r="B2041" s="138">
        <f>'Cap Outlay Deprec 26'!I12</f>
        <v>82666</v>
      </c>
      <c r="D2041" s="2" t="str">
        <f t="shared" si="30"/>
        <v>Error?</v>
      </c>
    </row>
    <row r="2042" spans="1:4" x14ac:dyDescent="0.2">
      <c r="A2042" s="5">
        <v>1981</v>
      </c>
      <c r="B2042" s="138">
        <f>'Cap Outlay Deprec 26'!I13</f>
        <v>55141</v>
      </c>
      <c r="D2042" s="2" t="str">
        <f t="shared" si="30"/>
        <v>Error?</v>
      </c>
    </row>
    <row r="2043" spans="1:4" x14ac:dyDescent="0.2">
      <c r="A2043" s="5">
        <v>1982</v>
      </c>
      <c r="B2043" s="138">
        <f>'Cap Outlay Deprec 26'!I16</f>
        <v>882122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334006</v>
      </c>
      <c r="D2048" s="2" t="str">
        <f t="shared" si="31"/>
        <v>Error?</v>
      </c>
    </row>
    <row r="2049" spans="1:4" x14ac:dyDescent="0.2">
      <c r="A2049" s="5">
        <v>1988</v>
      </c>
      <c r="B2049" s="138">
        <f>'Cap Outlay Deprec 26'!J16</f>
        <v>334006</v>
      </c>
      <c r="C2049" s="2" t="s">
        <v>573</v>
      </c>
      <c r="D2049" s="2" t="str">
        <f t="shared" si="31"/>
        <v>Error?</v>
      </c>
    </row>
    <row r="2050" spans="1:4" x14ac:dyDescent="0.2">
      <c r="A2050" s="10">
        <v>1989</v>
      </c>
      <c r="D2050" s="2" t="str">
        <f t="shared" si="31"/>
        <v>OK</v>
      </c>
    </row>
    <row r="2051" spans="1:4" x14ac:dyDescent="0.2">
      <c r="A2051" s="5">
        <v>1990</v>
      </c>
      <c r="B2051" s="138">
        <f>'Cap Outlay Deprec 26'!K8</f>
        <v>16179954</v>
      </c>
      <c r="C2051" s="2" t="s">
        <v>573</v>
      </c>
      <c r="D2051" s="2" t="str">
        <f t="shared" si="31"/>
        <v>Error?</v>
      </c>
    </row>
    <row r="2052" spans="1:4" x14ac:dyDescent="0.2">
      <c r="A2052" s="5">
        <v>1991</v>
      </c>
      <c r="B2052" s="138">
        <f>'Cap Outlay Deprec 26'!K10</f>
        <v>668981</v>
      </c>
      <c r="C2052" s="2" t="s">
        <v>573</v>
      </c>
      <c r="D2052" s="2" t="str">
        <f t="shared" si="31"/>
        <v>Error?</v>
      </c>
    </row>
    <row r="2053" spans="1:4" x14ac:dyDescent="0.2">
      <c r="A2053" s="5">
        <v>1992</v>
      </c>
      <c r="B2053" s="138">
        <f>'Cap Outlay Deprec 26'!K12</f>
        <v>4121317</v>
      </c>
      <c r="C2053" s="2" t="s">
        <v>573</v>
      </c>
      <c r="D2053" s="2" t="str">
        <f t="shared" si="31"/>
        <v>Error?</v>
      </c>
    </row>
    <row r="2054" spans="1:4" x14ac:dyDescent="0.2">
      <c r="A2054" s="5">
        <v>1993</v>
      </c>
      <c r="B2054" s="138">
        <f>'Cap Outlay Deprec 26'!K13</f>
        <v>115844</v>
      </c>
      <c r="C2054" s="2" t="s">
        <v>573</v>
      </c>
      <c r="D2054" s="2" t="str">
        <f t="shared" si="31"/>
        <v>Error?</v>
      </c>
    </row>
    <row r="2055" spans="1:4" x14ac:dyDescent="0.2">
      <c r="A2055" s="5">
        <v>1994</v>
      </c>
      <c r="B2055" s="138">
        <f>'Cap Outlay Deprec 26'!K16</f>
        <v>21086096</v>
      </c>
      <c r="C2055" s="2" t="s">
        <v>573</v>
      </c>
      <c r="D2055" s="2" t="str">
        <f t="shared" si="31"/>
        <v>Error?</v>
      </c>
    </row>
    <row r="2056" spans="1:4" x14ac:dyDescent="0.2">
      <c r="A2056" s="5">
        <v>1995</v>
      </c>
      <c r="B2056" s="138">
        <f>'Cap Outlay Deprec 26'!L5</f>
        <v>723912</v>
      </c>
      <c r="C2056" s="2" t="s">
        <v>573</v>
      </c>
      <c r="D2056" s="2" t="str">
        <f t="shared" si="31"/>
        <v>Error?</v>
      </c>
    </row>
    <row r="2057" spans="1:4" x14ac:dyDescent="0.2">
      <c r="A2057" s="5">
        <v>1996</v>
      </c>
      <c r="B2057" s="138">
        <f>'Cap Outlay Deprec 26'!L8</f>
        <v>13677314</v>
      </c>
      <c r="C2057" s="2" t="s">
        <v>573</v>
      </c>
      <c r="D2057" s="2" t="str">
        <f t="shared" si="31"/>
        <v>Error?</v>
      </c>
    </row>
    <row r="2058" spans="1:4" x14ac:dyDescent="0.2">
      <c r="A2058" s="5">
        <v>1997</v>
      </c>
      <c r="B2058" s="138">
        <f>'Cap Outlay Deprec 26'!L10</f>
        <v>54931</v>
      </c>
      <c r="C2058" s="2" t="s">
        <v>573</v>
      </c>
      <c r="D2058" s="2" t="str">
        <f t="shared" si="31"/>
        <v>Error?</v>
      </c>
    </row>
    <row r="2059" spans="1:4" x14ac:dyDescent="0.2">
      <c r="A2059" s="5">
        <v>1998</v>
      </c>
      <c r="B2059" s="138">
        <f>'Cap Outlay Deprec 26'!L12</f>
        <v>243266</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14699423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696685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909857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28186</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1251590</v>
      </c>
      <c r="D2475" s="2" t="str">
        <f t="shared" si="37"/>
        <v>Error?</v>
      </c>
    </row>
    <row r="2476" spans="1:4" x14ac:dyDescent="0.2">
      <c r="A2476" s="10">
        <v>2415</v>
      </c>
      <c r="D2476" s="2" t="str">
        <f t="shared" si="37"/>
        <v>OK</v>
      </c>
    </row>
    <row r="2477" spans="1:4" x14ac:dyDescent="0.2">
      <c r="A2477" s="5">
        <v>2416</v>
      </c>
      <c r="B2477" s="138">
        <f>'Assets-Liab 5-6'!G38</f>
        <v>209899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1444884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41596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13232425</v>
      </c>
      <c r="C2551" s="2" t="s">
        <v>573</v>
      </c>
      <c r="D2551" s="2" t="str">
        <f t="shared" si="38"/>
        <v>Error?</v>
      </c>
    </row>
    <row r="2552" spans="1:4" x14ac:dyDescent="0.2">
      <c r="A2552" s="10">
        <v>2491</v>
      </c>
      <c r="D2552" s="2" t="str">
        <f t="shared" si="38"/>
        <v>OK</v>
      </c>
    </row>
    <row r="2553" spans="1:4" x14ac:dyDescent="0.2">
      <c r="A2553" s="5">
        <v>2492</v>
      </c>
      <c r="B2553" s="138">
        <f>'Acct Summary 7-8'!C6</f>
        <v>1097825</v>
      </c>
      <c r="C2553" s="2" t="s">
        <v>573</v>
      </c>
      <c r="D2553" s="2" t="str">
        <f t="shared" si="38"/>
        <v>Error?</v>
      </c>
    </row>
    <row r="2554" spans="1:4" x14ac:dyDescent="0.2">
      <c r="A2554" s="5">
        <v>2493</v>
      </c>
      <c r="B2554" s="138">
        <f>'Acct Summary 7-8'!C7</f>
        <v>669648</v>
      </c>
      <c r="C2554" s="2" t="s">
        <v>573</v>
      </c>
      <c r="D2554" s="2" t="str">
        <f t="shared" si="38"/>
        <v>Error?</v>
      </c>
    </row>
    <row r="2555" spans="1:4" x14ac:dyDescent="0.2">
      <c r="A2555" s="5">
        <v>2494</v>
      </c>
      <c r="B2555" s="138">
        <f>'Acct Summary 7-8'!C8</f>
        <v>14999898</v>
      </c>
      <c r="C2555" s="2" t="s">
        <v>573</v>
      </c>
      <c r="D2555" s="2" t="str">
        <f t="shared" si="38"/>
        <v>Error?</v>
      </c>
    </row>
    <row r="2556" spans="1:4" x14ac:dyDescent="0.2">
      <c r="A2556" s="5">
        <v>2495</v>
      </c>
      <c r="B2556" s="138">
        <f>'Acct Summary 7-8'!C12</f>
        <v>9661279</v>
      </c>
      <c r="C2556" s="2" t="s">
        <v>573</v>
      </c>
      <c r="D2556" s="2" t="str">
        <f t="shared" si="38"/>
        <v>Error?</v>
      </c>
    </row>
    <row r="2557" spans="1:4" x14ac:dyDescent="0.2">
      <c r="A2557" s="5">
        <v>2496</v>
      </c>
      <c r="B2557" s="138">
        <f>'Acct Summary 7-8'!C13</f>
        <v>3677001</v>
      </c>
      <c r="C2557" s="2" t="s">
        <v>573</v>
      </c>
      <c r="D2557" s="2" t="str">
        <f t="shared" si="38"/>
        <v>Error?</v>
      </c>
    </row>
    <row r="2558" spans="1:4" x14ac:dyDescent="0.2">
      <c r="A2558" s="5">
        <v>2497</v>
      </c>
      <c r="B2558" s="138">
        <f>'Acct Summary 7-8'!C14</f>
        <v>35867</v>
      </c>
      <c r="C2558" s="2" t="s">
        <v>573</v>
      </c>
      <c r="D2558" s="2" t="str">
        <f t="shared" si="38"/>
        <v>Error?</v>
      </c>
    </row>
    <row r="2559" spans="1:4" x14ac:dyDescent="0.2">
      <c r="A2559" s="5">
        <v>2498</v>
      </c>
      <c r="B2559" s="138">
        <f>'Acct Summary 7-8'!C15</f>
        <v>909857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14284004</v>
      </c>
      <c r="C2561" s="2" t="s">
        <v>573</v>
      </c>
      <c r="D2561" s="2" t="str">
        <f t="shared" si="39"/>
        <v>Error?</v>
      </c>
    </row>
    <row r="2562" spans="1:4" x14ac:dyDescent="0.2">
      <c r="A2562" s="5">
        <v>2501</v>
      </c>
      <c r="B2562" s="138">
        <f>'Acct Summary 7-8'!C20</f>
        <v>715894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1340363</v>
      </c>
      <c r="C2564" s="2" t="s">
        <v>573</v>
      </c>
      <c r="D2564" s="2" t="str">
        <f t="shared" si="39"/>
        <v>Error?</v>
      </c>
    </row>
    <row r="2565" spans="1:4" x14ac:dyDescent="0.2">
      <c r="A2565" s="10">
        <v>2504</v>
      </c>
      <c r="D2565" s="2" t="str">
        <f t="shared" si="39"/>
        <v>OK</v>
      </c>
    </row>
    <row r="2566" spans="1:4" x14ac:dyDescent="0.2">
      <c r="A2566" s="5">
        <v>2505</v>
      </c>
      <c r="B2566" s="138">
        <f>'Acct Summary 7-8'!D6</f>
        <v>500000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1840363</v>
      </c>
      <c r="C2568" s="2" t="s">
        <v>573</v>
      </c>
      <c r="D2568" s="2" t="str">
        <f t="shared" si="39"/>
        <v>Error?</v>
      </c>
    </row>
    <row r="2569" spans="1:4" x14ac:dyDescent="0.2">
      <c r="A2569" s="5">
        <v>2508</v>
      </c>
      <c r="B2569" s="138">
        <f>'Acct Summary 7-8'!D13</f>
        <v>2647133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28186</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2675319</v>
      </c>
      <c r="C2573" s="2" t="s">
        <v>573</v>
      </c>
      <c r="D2573" s="2" t="str">
        <f t="shared" si="39"/>
        <v>Error?</v>
      </c>
    </row>
    <row r="2574" spans="1:4" x14ac:dyDescent="0.2">
      <c r="A2574" s="5">
        <v>2513</v>
      </c>
      <c r="B2574" s="138">
        <f>'Acct Summary 7-8'!D20</f>
        <v>-834956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452586</v>
      </c>
      <c r="C2591" s="2" t="s">
        <v>573</v>
      </c>
      <c r="D2591" s="2" t="str">
        <f t="shared" si="39"/>
        <v>Error?</v>
      </c>
    </row>
    <row r="2592" spans="1:4" x14ac:dyDescent="0.2">
      <c r="A2592" s="10">
        <v>2531</v>
      </c>
      <c r="D2592" s="2" t="str">
        <f t="shared" si="39"/>
        <v>OK</v>
      </c>
    </row>
    <row r="2593" spans="1:4" x14ac:dyDescent="0.2">
      <c r="A2593" s="5">
        <v>2532</v>
      </c>
      <c r="B2593" s="138">
        <f>'Acct Summary 7-8'!F6</f>
        <v>222348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674934</v>
      </c>
      <c r="C2595" s="2" t="s">
        <v>573</v>
      </c>
      <c r="D2595" s="2" t="str">
        <f t="shared" si="39"/>
        <v>Error?</v>
      </c>
    </row>
    <row r="2596" spans="1:4" x14ac:dyDescent="0.2">
      <c r="A2596" s="5">
        <v>2535</v>
      </c>
      <c r="B2596" s="138">
        <f>'Acct Summary 7-8'!F13</f>
        <v>827222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50130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877352</v>
      </c>
      <c r="C2600" s="2" t="s">
        <v>573</v>
      </c>
      <c r="D2600" s="2" t="str">
        <f t="shared" si="39"/>
        <v>Error?</v>
      </c>
    </row>
    <row r="2601" spans="1:4" x14ac:dyDescent="0.2">
      <c r="A2601" s="5">
        <v>2540</v>
      </c>
      <c r="B2601" s="138">
        <f>'Acct Summary 7-8'!F20</f>
        <v>-202418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448037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448037</v>
      </c>
      <c r="C2606" s="2" t="s">
        <v>573</v>
      </c>
      <c r="D2606" s="2" t="str">
        <f t="shared" si="39"/>
        <v>Error?</v>
      </c>
    </row>
    <row r="2607" spans="1:4" x14ac:dyDescent="0.2">
      <c r="A2607" s="5">
        <v>2546</v>
      </c>
      <c r="B2607" s="138">
        <f>'Acct Summary 7-8'!G12</f>
        <v>233317</v>
      </c>
      <c r="C2607" s="2" t="s">
        <v>573</v>
      </c>
      <c r="D2607" s="2" t="str">
        <f t="shared" si="39"/>
        <v>Error?</v>
      </c>
    </row>
    <row r="2608" spans="1:4" x14ac:dyDescent="0.2">
      <c r="A2608" s="5">
        <v>2547</v>
      </c>
      <c r="B2608" s="138">
        <f>'Acct Summary 7-8'!G13</f>
        <v>273064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506381</v>
      </c>
      <c r="C2612" s="2" t="s">
        <v>573</v>
      </c>
      <c r="D2612" s="2" t="str">
        <f t="shared" si="39"/>
        <v>Error?</v>
      </c>
    </row>
    <row r="2613" spans="1:4" x14ac:dyDescent="0.2">
      <c r="A2613" s="5">
        <v>2552</v>
      </c>
      <c r="B2613" s="138">
        <f>'Acct Summary 7-8'!G20</f>
        <v>-58344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2236736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2236736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2262206</v>
      </c>
      <c r="C2634" s="2" t="s">
        <v>573</v>
      </c>
      <c r="D2634" s="2" t="str">
        <f t="shared" si="40"/>
        <v>Error?</v>
      </c>
    </row>
    <row r="2635" spans="1:4" x14ac:dyDescent="0.2">
      <c r="A2635" s="5">
        <v>2574</v>
      </c>
      <c r="B2635" s="138">
        <f>'Acct Summary 7-8'!E17</f>
        <v>2262206</v>
      </c>
      <c r="C2635" s="2" t="s">
        <v>573</v>
      </c>
      <c r="D2635" s="2" t="str">
        <f t="shared" si="40"/>
        <v>Error?</v>
      </c>
    </row>
    <row r="2636" spans="1:4" x14ac:dyDescent="0.2">
      <c r="A2636" s="5">
        <v>2575</v>
      </c>
      <c r="B2636" s="138">
        <f>'Acct Summary 7-8'!E20</f>
        <v>-25470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3949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3949</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3949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213172</v>
      </c>
      <c r="C2789" s="2" t="s">
        <v>573</v>
      </c>
      <c r="D2789" s="2" t="str">
        <f t="shared" si="42"/>
        <v>Error?</v>
      </c>
    </row>
    <row r="2790" spans="1:4" x14ac:dyDescent="0.2">
      <c r="A2790" s="5">
        <v>2729</v>
      </c>
      <c r="B2790" s="138">
        <f>'Expenditures 15-22'!E102</f>
        <v>213172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50130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50130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1946782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2358165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2358165</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2358165</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1650</v>
      </c>
      <c r="D2949" s="2" t="str">
        <f t="shared" si="45"/>
        <v>Error?</v>
      </c>
    </row>
    <row r="2950" spans="1:4" x14ac:dyDescent="0.2">
      <c r="A2950" s="5">
        <v>2889</v>
      </c>
      <c r="B2950" s="138">
        <f>'Expenditures 15-22'!E79</f>
        <v>211522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696685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1650</v>
      </c>
      <c r="C2973" s="2" t="s">
        <v>573</v>
      </c>
      <c r="D2973" s="2" t="str">
        <f t="shared" si="45"/>
        <v>Error?</v>
      </c>
    </row>
    <row r="2974" spans="1:4" x14ac:dyDescent="0.2">
      <c r="A2974" s="5">
        <v>2913</v>
      </c>
      <c r="B2974" s="138">
        <f>'Expenditures 15-22'!K79</f>
        <v>908207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28186</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50130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50130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151584</v>
      </c>
      <c r="D3055" s="2" t="str">
        <f t="shared" si="46"/>
        <v>Error?</v>
      </c>
    </row>
    <row r="3056" spans="1:4" x14ac:dyDescent="0.2">
      <c r="A3056" s="5">
        <v>2995</v>
      </c>
      <c r="B3056" s="138">
        <f>'Expenditures 15-22'!D10</f>
        <v>16472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2340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170396</v>
      </c>
      <c r="C3062" s="2" t="s">
        <v>573</v>
      </c>
      <c r="D3062" s="2" t="str">
        <f t="shared" si="46"/>
        <v>Error?</v>
      </c>
    </row>
    <row r="3063" spans="1:4" x14ac:dyDescent="0.2">
      <c r="A3063" s="10">
        <v>3002</v>
      </c>
      <c r="D3063" s="2" t="str">
        <f t="shared" si="46"/>
        <v>OK</v>
      </c>
    </row>
    <row r="3064" spans="1:4" x14ac:dyDescent="0.2">
      <c r="A3064" s="5">
        <v>3003</v>
      </c>
      <c r="B3064" s="138">
        <f>'Expenditures 15-22'!D219</f>
        <v>2435</v>
      </c>
      <c r="D3064" s="2" t="str">
        <f t="shared" si="46"/>
        <v>Error?</v>
      </c>
    </row>
    <row r="3065" spans="1:4" x14ac:dyDescent="0.2">
      <c r="A3065" s="5">
        <v>3004</v>
      </c>
      <c r="B3065" s="138">
        <f>'Expenditures 15-22'!K219</f>
        <v>2435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27742</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27742</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116295</v>
      </c>
      <c r="C3225" s="2" t="s">
        <v>573</v>
      </c>
      <c r="D3225" s="2" t="str">
        <f t="shared" si="49"/>
        <v>Error?</v>
      </c>
    </row>
    <row r="3226" spans="1:4" x14ac:dyDescent="0.2">
      <c r="A3226" s="5">
        <v>3165</v>
      </c>
      <c r="B3226" s="138">
        <f>'Acct Summary 7-8'!I8</f>
        <v>116295</v>
      </c>
      <c r="C3226" s="2" t="s">
        <v>573</v>
      </c>
      <c r="D3226" s="2" t="str">
        <f t="shared" si="49"/>
        <v>Error?</v>
      </c>
    </row>
    <row r="3227" spans="1:4" x14ac:dyDescent="0.2">
      <c r="A3227" s="5">
        <v>3166</v>
      </c>
      <c r="B3227" s="138">
        <f>'Acct Summary 7-8'!I20</f>
        <v>116295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715894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27742</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27742</v>
      </c>
      <c r="C3238" s="2" t="s">
        <v>573</v>
      </c>
      <c r="D3238" s="2" t="str">
        <f t="shared" si="49"/>
        <v>Error?</v>
      </c>
    </row>
    <row r="3239" spans="1:4" x14ac:dyDescent="0.2">
      <c r="A3239" s="5">
        <v>3178</v>
      </c>
      <c r="B3239" s="138">
        <f>'Acct Summary 7-8'!D78</f>
        <v>-807214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-202418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-58344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-25470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27742</v>
      </c>
      <c r="C3298" s="2" t="s">
        <v>573</v>
      </c>
      <c r="D3298" s="2" t="str">
        <f t="shared" si="50"/>
        <v>Error?</v>
      </c>
    </row>
    <row r="3299" spans="1:4" x14ac:dyDescent="0.2">
      <c r="A3299" s="5">
        <v>3238</v>
      </c>
      <c r="B3299" s="138">
        <f>'Acct Summary 7-8'!H77</f>
        <v>-27742</v>
      </c>
      <c r="C3299" s="2" t="s">
        <v>573</v>
      </c>
      <c r="D3299" s="2" t="str">
        <f t="shared" si="50"/>
        <v>Error?</v>
      </c>
    </row>
    <row r="3300" spans="1:4" x14ac:dyDescent="0.2">
      <c r="A3300" s="5">
        <v>3239</v>
      </c>
      <c r="B3300" s="138">
        <f>'Acct Summary 7-8'!H78</f>
        <v>-23793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116295</v>
      </c>
      <c r="C3320" s="2" t="s">
        <v>573</v>
      </c>
      <c r="D3320" s="2" t="str">
        <f t="shared" si="50"/>
        <v>Error?</v>
      </c>
    </row>
    <row r="3321" spans="1:4" x14ac:dyDescent="0.2">
      <c r="A3321" s="5">
        <v>3260</v>
      </c>
      <c r="B3321" s="138">
        <f>'Acct Summary 7-8'!I79</f>
        <v>2241870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2358165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1634651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350673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290533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24795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2073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2317829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114375</v>
      </c>
      <c r="D3387" s="2" t="str">
        <f t="shared" si="51"/>
        <v>Error?</v>
      </c>
    </row>
    <row r="3388" spans="1:4" x14ac:dyDescent="0.2">
      <c r="A3388" s="5">
        <v>3327</v>
      </c>
      <c r="B3388" s="138">
        <f>'Expenditures 15-22'!D217</f>
        <v>108332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114375</v>
      </c>
      <c r="C3390" s="2" t="s">
        <v>573</v>
      </c>
      <c r="D3390" s="2" t="str">
        <f t="shared" si="51"/>
        <v>Error?</v>
      </c>
    </row>
    <row r="3391" spans="1:4" x14ac:dyDescent="0.2">
      <c r="A3391" s="5">
        <v>3330</v>
      </c>
      <c r="B3391" s="138">
        <f>'Expenditures 15-22'!K217</f>
        <v>108332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1351970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351585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144916</v>
      </c>
      <c r="D3417" s="2" t="str">
        <f t="shared" si="52"/>
        <v>Error?</v>
      </c>
    </row>
    <row r="3418" spans="1:4" x14ac:dyDescent="0.2">
      <c r="A3418" s="10">
        <v>3357</v>
      </c>
      <c r="D3418" s="2" t="str">
        <f t="shared" si="52"/>
        <v>OK</v>
      </c>
    </row>
    <row r="3419" spans="1:4" x14ac:dyDescent="0.2">
      <c r="A3419" s="5">
        <v>3358</v>
      </c>
      <c r="B3419" s="138">
        <f>'Assets-Liab 5-6'!F4</f>
        <v>235029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42217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41596</v>
      </c>
      <c r="D3425" s="2" t="str">
        <f t="shared" si="52"/>
        <v>Error?</v>
      </c>
    </row>
    <row r="3426" spans="1:4" x14ac:dyDescent="0.2">
      <c r="A3426" s="10">
        <v>3365</v>
      </c>
      <c r="D3426" s="2" t="str">
        <f t="shared" si="52"/>
        <v>OK</v>
      </c>
    </row>
    <row r="3427" spans="1:4" x14ac:dyDescent="0.2">
      <c r="A3427" s="5">
        <v>3366</v>
      </c>
      <c r="B3427" s="138">
        <f>'Assets-Liab 5-6'!I4</f>
        <v>411383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-105313</v>
      </c>
      <c r="C3447" s="2" t="s">
        <v>573</v>
      </c>
      <c r="D3447" s="2" t="str">
        <f t="shared" si="52"/>
        <v>Error?</v>
      </c>
    </row>
    <row r="3448" spans="1:4" x14ac:dyDescent="0.2">
      <c r="A3448" s="5">
        <v>3387</v>
      </c>
      <c r="B3448" s="138">
        <f>'Tax Sched 23'!C16</f>
        <v>105313</v>
      </c>
      <c r="D3448" s="2" t="str">
        <f t="shared" si="52"/>
        <v>Error?</v>
      </c>
    </row>
    <row r="3449" spans="1:4" x14ac:dyDescent="0.2">
      <c r="A3449" s="5">
        <v>3388</v>
      </c>
      <c r="B3449" s="138">
        <f>'Tax Sched 23'!F16</f>
        <v>95557</v>
      </c>
      <c r="C3449" s="2" t="s">
        <v>573</v>
      </c>
      <c r="D3449" s="2" t="str">
        <f t="shared" si="52"/>
        <v>Error?</v>
      </c>
    </row>
    <row r="3450" spans="1:4" x14ac:dyDescent="0.2">
      <c r="A3450" s="5">
        <v>3389</v>
      </c>
      <c r="B3450" s="138">
        <f>'Tax Sched 23'!E16</f>
        <v>200870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802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802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802</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802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802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284521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5435308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20435206</v>
      </c>
      <c r="C4122" s="2" t="s">
        <v>573</v>
      </c>
      <c r="D4122" s="2" t="str">
        <f t="shared" si="63"/>
        <v>Error?</v>
      </c>
    </row>
    <row r="4123" spans="1:4" x14ac:dyDescent="0.2">
      <c r="A4123" s="5">
        <v>4062</v>
      </c>
      <c r="B4123" s="138">
        <f>'Acct Summary 7-8'!D10</f>
        <v>1840363</v>
      </c>
      <c r="C4123" s="2" t="s">
        <v>573</v>
      </c>
      <c r="D4123" s="2" t="str">
        <f t="shared" si="63"/>
        <v>Error?</v>
      </c>
    </row>
    <row r="4124" spans="1:4" x14ac:dyDescent="0.2">
      <c r="A4124" s="5">
        <v>4063</v>
      </c>
      <c r="B4124" s="138">
        <f>'Acct Summary 7-8'!E10</f>
        <v>2236736</v>
      </c>
      <c r="C4124" s="2" t="s">
        <v>573</v>
      </c>
      <c r="D4124" s="2" t="str">
        <f t="shared" si="63"/>
        <v>Error?</v>
      </c>
    </row>
    <row r="4125" spans="1:4" x14ac:dyDescent="0.2">
      <c r="A4125" s="5">
        <v>4064</v>
      </c>
      <c r="B4125" s="138">
        <f>'Acct Summary 7-8'!F10</f>
        <v>674934</v>
      </c>
      <c r="C4125" s="2" t="s">
        <v>573</v>
      </c>
      <c r="D4125" s="2" t="str">
        <f t="shared" si="63"/>
        <v>Error?</v>
      </c>
    </row>
    <row r="4126" spans="1:4" x14ac:dyDescent="0.2">
      <c r="A4126" s="5">
        <v>4065</v>
      </c>
      <c r="B4126" s="138">
        <f>'Acct Summary 7-8'!G10</f>
        <v>448037</v>
      </c>
      <c r="C4126" s="2" t="s">
        <v>573</v>
      </c>
      <c r="D4126" s="2" t="str">
        <f t="shared" si="63"/>
        <v>Error?</v>
      </c>
    </row>
    <row r="4127" spans="1:4" x14ac:dyDescent="0.2">
      <c r="A4127" s="5">
        <v>4066</v>
      </c>
      <c r="B4127" s="138">
        <f>'Acct Summary 7-8'!H10</f>
        <v>3949</v>
      </c>
      <c r="C4127" s="2" t="s">
        <v>573</v>
      </c>
      <c r="D4127" s="2" t="str">
        <f t="shared" si="63"/>
        <v>Error?</v>
      </c>
    </row>
    <row r="4128" spans="1:4" x14ac:dyDescent="0.2">
      <c r="A4128" s="5">
        <v>4067</v>
      </c>
      <c r="B4128" s="138">
        <f>'Acct Summary 7-8'!I10</f>
        <v>116295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5435308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19719312</v>
      </c>
      <c r="C4136" s="2" t="s">
        <v>573</v>
      </c>
      <c r="D4136" s="2" t="str">
        <f t="shared" si="63"/>
        <v>Error?</v>
      </c>
    </row>
    <row r="4137" spans="1:4" x14ac:dyDescent="0.2">
      <c r="A4137" s="5">
        <v>4076</v>
      </c>
      <c r="B4137" s="138">
        <f>'Acct Summary 7-8'!D19</f>
        <v>2675319</v>
      </c>
      <c r="C4137" s="2" t="s">
        <v>573</v>
      </c>
      <c r="D4137" s="2" t="str">
        <f t="shared" si="63"/>
        <v>Error?</v>
      </c>
    </row>
    <row r="4138" spans="1:4" x14ac:dyDescent="0.2">
      <c r="A4138" s="5">
        <v>4077</v>
      </c>
      <c r="B4138" s="138">
        <f>'Acct Summary 7-8'!E19</f>
        <v>2262206</v>
      </c>
      <c r="C4138" s="2" t="s">
        <v>573</v>
      </c>
      <c r="D4138" s="2" t="str">
        <f t="shared" si="63"/>
        <v>Error?</v>
      </c>
    </row>
    <row r="4139" spans="1:4" x14ac:dyDescent="0.2">
      <c r="A4139" s="5">
        <v>4078</v>
      </c>
      <c r="B4139" s="138">
        <f>'Acct Summary 7-8'!F19</f>
        <v>877352</v>
      </c>
      <c r="C4139" s="2" t="s">
        <v>573</v>
      </c>
      <c r="D4139" s="2" t="str">
        <f t="shared" si="63"/>
        <v>Error?</v>
      </c>
    </row>
    <row r="4140" spans="1:4" x14ac:dyDescent="0.2">
      <c r="A4140" s="5">
        <v>4079</v>
      </c>
      <c r="B4140" s="138">
        <f>'Acct Summary 7-8'!G19</f>
        <v>506381</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7201407</v>
      </c>
      <c r="C4171" s="2" t="s">
        <v>573</v>
      </c>
      <c r="D4171" s="2" t="str">
        <f t="shared" si="64"/>
        <v>Error?</v>
      </c>
    </row>
    <row r="4172" spans="1:4" x14ac:dyDescent="0.2">
      <c r="A4172" s="5">
        <v>4111</v>
      </c>
      <c r="B4172" s="138">
        <f>'Short-Term Long-Term Debt 24'!J49</f>
        <v>7201407</v>
      </c>
      <c r="C4172" s="2" t="s">
        <v>573</v>
      </c>
      <c r="D4172" s="2" t="str">
        <f t="shared" si="64"/>
        <v>Error?</v>
      </c>
    </row>
    <row r="4173" spans="1:4" x14ac:dyDescent="0.2">
      <c r="A4173" s="5">
        <v>4112</v>
      </c>
      <c r="B4173" s="138">
        <f>'Short-Term Long-Term Debt 24'!H49</f>
        <v>731558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28186</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28186</v>
      </c>
      <c r="C4202" s="2" t="s">
        <v>573</v>
      </c>
      <c r="D4202" s="2" t="str">
        <f t="shared" si="64"/>
        <v>Error?</v>
      </c>
    </row>
    <row r="4203" spans="1:4" x14ac:dyDescent="0.2">
      <c r="A4203" s="5">
        <v>4142</v>
      </c>
      <c r="B4203" s="138">
        <f>'Expenditures 15-22'!E139</f>
        <v>28186</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2377</v>
      </c>
      <c r="C4265" s="2" t="s">
        <v>573</v>
      </c>
      <c r="D4265" s="2" t="str">
        <f t="shared" si="65"/>
        <v>Error?</v>
      </c>
      <c r="E4265" s="128"/>
    </row>
    <row r="4266" spans="1:5" x14ac:dyDescent="0.2">
      <c r="A4266" s="12">
        <v>4205</v>
      </c>
      <c r="B4266" s="138">
        <f>('FP Info 3'!F10)*100000</f>
        <v>209.9</v>
      </c>
      <c r="C4266" s="2" t="s">
        <v>573</v>
      </c>
      <c r="D4266" s="2" t="str">
        <f t="shared" si="65"/>
        <v>Error?</v>
      </c>
      <c r="E4266" s="128"/>
    </row>
    <row r="4267" spans="1:5" x14ac:dyDescent="0.2">
      <c r="A4267" s="12">
        <v>4206</v>
      </c>
      <c r="B4267" s="138">
        <f>('FP Info 3'!H10)*100000</f>
        <v>719</v>
      </c>
      <c r="C4267" s="2" t="s">
        <v>573</v>
      </c>
      <c r="D4267" s="2" t="str">
        <f t="shared" si="65"/>
        <v>Error?</v>
      </c>
      <c r="E4267" s="128"/>
    </row>
    <row r="4268" spans="1:5" x14ac:dyDescent="0.2">
      <c r="A4268" s="12">
        <v>4207</v>
      </c>
      <c r="B4268" s="138">
        <f>('FP Info 3'!J10)*100000</f>
        <v>3306</v>
      </c>
      <c r="C4268" s="2" t="s">
        <v>573</v>
      </c>
      <c r="D4268" s="2" t="str">
        <f t="shared" si="65"/>
        <v>Error?</v>
      </c>
    </row>
    <row r="4269" spans="1:5" x14ac:dyDescent="0.2">
      <c r="A4269" s="12">
        <v>4208</v>
      </c>
      <c r="B4269" s="138">
        <f>'FP Info 3'!J16</f>
        <v>13472574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12135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34760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119.00000000000001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592536085</v>
      </c>
      <c r="D4995" s="2" t="str">
        <f t="shared" si="77"/>
        <v>Error?</v>
      </c>
    </row>
    <row r="4996" spans="1:4" x14ac:dyDescent="0.2">
      <c r="A4996" s="12">
        <v>4935</v>
      </c>
      <c r="B4996" s="138">
        <f>'FP Info 3'!H31</f>
        <v>40884989.865000002</v>
      </c>
      <c r="D4996" s="2" t="str">
        <f t="shared" si="77"/>
        <v>Error?</v>
      </c>
    </row>
    <row r="4997" spans="1:4" x14ac:dyDescent="0.2">
      <c r="A4997" s="12">
        <v>4936</v>
      </c>
      <c r="B4997" s="138">
        <f>'FP Info 3'!H37</f>
        <v>7201407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11682835</v>
      </c>
      <c r="D5061" s="2" t="str">
        <f t="shared" si="78"/>
        <v>Error?</v>
      </c>
    </row>
    <row r="5062" spans="1:4" x14ac:dyDescent="0.2">
      <c r="A5062" s="10">
        <v>5001</v>
      </c>
      <c r="D5062" s="2" t="str">
        <f t="shared" si="78"/>
        <v>OK</v>
      </c>
    </row>
    <row r="5063" spans="1:4" x14ac:dyDescent="0.2">
      <c r="A5063" s="5">
        <v>5002</v>
      </c>
      <c r="B5063" s="138">
        <f>'Revenues 9-14'!C7</f>
        <v>465077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12147912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63751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63751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131703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131703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3639</v>
      </c>
      <c r="D5094" s="2" t="str">
        <f t="shared" si="78"/>
        <v>Error?</v>
      </c>
    </row>
    <row r="5095" spans="1:4" x14ac:dyDescent="0.2">
      <c r="A5095" s="5">
        <v>5034</v>
      </c>
      <c r="B5095" s="138">
        <f>'Revenues 9-14'!C74</f>
        <v>9944</v>
      </c>
      <c r="D5095" s="2" t="str">
        <f t="shared" si="78"/>
        <v>Error?</v>
      </c>
    </row>
    <row r="5096" spans="1:4" x14ac:dyDescent="0.2">
      <c r="A5096" s="5">
        <v>5035</v>
      </c>
      <c r="B5096" s="138">
        <f>'Revenues 9-14'!C75</f>
        <v>211947</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49544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7054</v>
      </c>
      <c r="D5101" s="2" t="str">
        <f t="shared" si="78"/>
        <v>Error?</v>
      </c>
    </row>
    <row r="5102" spans="1:4" x14ac:dyDescent="0.2">
      <c r="A5102" s="5">
        <v>5041</v>
      </c>
      <c r="B5102" s="138">
        <f>'Revenues 9-14'!C82</f>
        <v>56598</v>
      </c>
      <c r="C5102" s="2" t="s">
        <v>573</v>
      </c>
      <c r="D5102" s="2" t="str">
        <f t="shared" si="78"/>
        <v>Error?</v>
      </c>
    </row>
    <row r="5103" spans="1:4" x14ac:dyDescent="0.2">
      <c r="A5103" s="5">
        <v>5042</v>
      </c>
      <c r="B5103" s="138">
        <f>'Revenues 9-14'!C84</f>
        <v>365527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365527</v>
      </c>
      <c r="C5112" s="2" t="s">
        <v>573</v>
      </c>
      <c r="D5112" s="2" t="str">
        <f t="shared" si="78"/>
        <v>Error?</v>
      </c>
    </row>
    <row r="5113" spans="1:4" x14ac:dyDescent="0.2">
      <c r="A5113" s="5">
        <v>5052</v>
      </c>
      <c r="B5113" s="138">
        <f>'Revenues 9-14'!C95</f>
        <v>21937</v>
      </c>
      <c r="D5113" s="2" t="str">
        <f t="shared" si="78"/>
        <v>Error?</v>
      </c>
    </row>
    <row r="5114" spans="1:4" x14ac:dyDescent="0.2">
      <c r="A5114" s="5">
        <v>5053</v>
      </c>
      <c r="B5114" s="138">
        <f>'Revenues 9-14'!C96</f>
        <v>20224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143171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68941</v>
      </c>
      <c r="D5119" s="2" t="str">
        <f t="shared" ref="D5119:D5182" si="79">IF(ISBLANK(B5119),"OK",IF(A5119-B5119=0,"OK","Error?"))</f>
        <v>Error?</v>
      </c>
    </row>
    <row r="5120" spans="1:4" x14ac:dyDescent="0.2">
      <c r="A5120" s="5">
        <v>5059</v>
      </c>
      <c r="B5120" s="138">
        <f>'Revenues 9-14'!C108</f>
        <v>254987</v>
      </c>
      <c r="C5120" s="2" t="s">
        <v>573</v>
      </c>
      <c r="D5120" s="2" t="str">
        <f t="shared" si="79"/>
        <v>Error?</v>
      </c>
    </row>
    <row r="5121" spans="1:4" x14ac:dyDescent="0.2">
      <c r="A5121" s="5">
        <v>5060</v>
      </c>
      <c r="B5121" s="138">
        <f>'Revenues 9-14'!C109</f>
        <v>13232425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885311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885311</v>
      </c>
      <c r="C5132" s="2" t="s">
        <v>573</v>
      </c>
      <c r="D5132" s="2" t="str">
        <f t="shared" si="79"/>
        <v>Error?</v>
      </c>
    </row>
    <row r="5133" spans="1:4" x14ac:dyDescent="0.2">
      <c r="A5133" s="5">
        <v>5072</v>
      </c>
      <c r="B5133" s="138">
        <f>'Revenues 9-14'!C125</f>
        <v>108456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12019</v>
      </c>
      <c r="D5137" s="2" t="str">
        <f t="shared" si="79"/>
        <v>Error?</v>
      </c>
    </row>
    <row r="5138" spans="1:4" x14ac:dyDescent="0.2">
      <c r="A5138" s="10">
        <v>5077</v>
      </c>
      <c r="D5138" s="2" t="str">
        <f t="shared" si="79"/>
        <v>OK</v>
      </c>
    </row>
    <row r="5139" spans="1:4" x14ac:dyDescent="0.2">
      <c r="A5139" s="5">
        <v>5078</v>
      </c>
      <c r="B5139" s="138">
        <f>'Revenues 9-14'!C129</f>
        <v>1596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122071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1229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1229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1256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87958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212514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1097825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84461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84461</v>
      </c>
      <c r="C5246" s="2" t="s">
        <v>573</v>
      </c>
      <c r="D5246" s="2" t="str">
        <f t="shared" si="80"/>
        <v>Error?</v>
      </c>
    </row>
    <row r="5247" spans="1:4" x14ac:dyDescent="0.2">
      <c r="A5247" s="5">
        <v>5186</v>
      </c>
      <c r="B5247" s="138">
        <f>'Revenues 9-14'!C200</f>
        <v>128563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12135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128563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383421</v>
      </c>
      <c r="D5278" s="2" t="str">
        <f t="shared" si="81"/>
        <v>Error?</v>
      </c>
    </row>
    <row r="5279" spans="1:4" x14ac:dyDescent="0.2">
      <c r="A5279" s="5">
        <v>5218</v>
      </c>
      <c r="B5279" s="138">
        <f>'Revenues 9-14'!C214</f>
        <v>26308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409729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669648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669648</v>
      </c>
      <c r="C5326" s="2" t="s">
        <v>573</v>
      </c>
      <c r="D5326" s="2" t="str">
        <f t="shared" si="82"/>
        <v>Error?</v>
      </c>
    </row>
    <row r="5327" spans="1:5" x14ac:dyDescent="0.2">
      <c r="A5327" s="5">
        <v>5266</v>
      </c>
      <c r="B5327" s="138">
        <f>'Revenues 9-14'!C268</f>
        <v>14999898</v>
      </c>
      <c r="C5327" s="2" t="s">
        <v>573</v>
      </c>
      <c r="D5327" s="2" t="str">
        <f t="shared" si="82"/>
        <v>Error?</v>
      </c>
    </row>
    <row r="5328" spans="1:5" x14ac:dyDescent="0.2">
      <c r="A5328" s="5">
        <v>5267</v>
      </c>
      <c r="B5328" s="138">
        <f>'Revenues 9-14'!D5</f>
        <v>1214412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1214412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30536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30536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14340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11074</v>
      </c>
      <c r="D5354" s="2" t="str">
        <f t="shared" si="82"/>
        <v>Error?</v>
      </c>
    </row>
    <row r="5355" spans="1:4" x14ac:dyDescent="0.2">
      <c r="A5355" s="5">
        <v>5294</v>
      </c>
      <c r="B5355" s="138">
        <f>'Revenues 9-14'!D108</f>
        <v>95415</v>
      </c>
      <c r="C5355" s="2" t="s">
        <v>573</v>
      </c>
      <c r="D5355" s="2" t="str">
        <f t="shared" si="82"/>
        <v>Error?</v>
      </c>
    </row>
    <row r="5356" spans="1:4" x14ac:dyDescent="0.2">
      <c r="A5356" s="5">
        <v>5295</v>
      </c>
      <c r="B5356" s="138">
        <f>'Revenues 9-14'!D109</f>
        <v>1340363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500000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500000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1840363</v>
      </c>
      <c r="C5508" s="2" t="s">
        <v>573</v>
      </c>
      <c r="D5508" s="2" t="str">
        <f t="shared" si="85"/>
        <v>Error?</v>
      </c>
    </row>
    <row r="5509" spans="1:4" x14ac:dyDescent="0.2">
      <c r="A5509" s="5">
        <v>5448</v>
      </c>
      <c r="B5509" s="138">
        <f>'Revenues 9-14'!E5</f>
        <v>2215469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2215469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21267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21267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2236736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2236736</v>
      </c>
      <c r="C5552" s="2" t="s">
        <v>573</v>
      </c>
      <c r="D5552" s="2" t="str">
        <f t="shared" si="85"/>
        <v>Error?</v>
      </c>
    </row>
    <row r="5553" spans="1:4" x14ac:dyDescent="0.2">
      <c r="A5553" s="5">
        <v>5492</v>
      </c>
      <c r="B5553" s="138">
        <f>'Revenues 9-14'!F5</f>
        <v>415659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415659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9134</v>
      </c>
      <c r="D5563" s="2" t="str">
        <f t="shared" si="85"/>
        <v>Error?</v>
      </c>
    </row>
    <row r="5564" spans="1:4" x14ac:dyDescent="0.2">
      <c r="A5564" s="5">
        <v>5503</v>
      </c>
      <c r="B5564" s="138">
        <f>'Revenues 9-14'!F43</f>
        <v>0</v>
      </c>
      <c r="D5564" s="2" t="str">
        <f t="shared" si="85"/>
        <v>Error?</v>
      </c>
    </row>
    <row r="5565" spans="1:4" x14ac:dyDescent="0.2">
      <c r="A5565" s="5">
        <v>5504</v>
      </c>
      <c r="B5565" s="138">
        <f>'Revenues 9-14'!F44</f>
        <v>750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9884</v>
      </c>
      <c r="C5579" s="2" t="s">
        <v>573</v>
      </c>
      <c r="D5579" s="2" t="str">
        <f t="shared" si="86"/>
        <v>Error?</v>
      </c>
    </row>
    <row r="5580" spans="1:4" x14ac:dyDescent="0.2">
      <c r="A5580" s="5">
        <v>5519</v>
      </c>
      <c r="B5580" s="138">
        <f>'Revenues 9-14'!F65</f>
        <v>27043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27043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452586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13397</v>
      </c>
      <c r="D5615" s="2" t="str">
        <f t="shared" si="86"/>
        <v>Error?</v>
      </c>
    </row>
    <row r="5616" spans="1:4" x14ac:dyDescent="0.2">
      <c r="A5616" s="10">
        <v>5555</v>
      </c>
      <c r="D5616" s="2" t="str">
        <f t="shared" si="86"/>
        <v>OK</v>
      </c>
    </row>
    <row r="5617" spans="1:5" x14ac:dyDescent="0.2">
      <c r="A5617" s="5">
        <v>5556</v>
      </c>
      <c r="B5617" s="138">
        <f>'Revenues 9-14'!F153</f>
        <v>208951</v>
      </c>
      <c r="D5617" s="2" t="str">
        <f t="shared" si="86"/>
        <v>Error?</v>
      </c>
    </row>
    <row r="5618" spans="1:5" x14ac:dyDescent="0.2">
      <c r="A5618" s="5">
        <v>5557</v>
      </c>
      <c r="B5618" s="138">
        <f>'Revenues 9-14'!F155</f>
        <v>222348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222348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222348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674934</v>
      </c>
      <c r="C5720" s="2" t="s">
        <v>573</v>
      </c>
      <c r="D5720" s="2" t="str">
        <f t="shared" si="88"/>
        <v>Error?</v>
      </c>
    </row>
    <row r="5721" spans="1:4" x14ac:dyDescent="0.2">
      <c r="A5721" s="5">
        <v>5660</v>
      </c>
      <c r="B5721" s="138">
        <f>'Revenues 9-14'!G5</f>
        <v>392078</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392078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52160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52160</v>
      </c>
      <c r="C5730" s="2" t="s">
        <v>573</v>
      </c>
      <c r="D5730" s="2" t="str">
        <f t="shared" si="88"/>
        <v>Error?</v>
      </c>
    </row>
    <row r="5731" spans="1:4" x14ac:dyDescent="0.2">
      <c r="A5731" s="5">
        <v>5670</v>
      </c>
      <c r="B5731" s="138">
        <f>'Revenues 9-14'!G65</f>
        <v>3799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3799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448037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3949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3949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3949</v>
      </c>
      <c r="C5915" s="2" t="s">
        <v>573</v>
      </c>
      <c r="D5915" s="2" t="str">
        <f t="shared" si="91"/>
        <v>Error?</v>
      </c>
    </row>
    <row r="5916" spans="1:4" x14ac:dyDescent="0.2">
      <c r="A5916" s="5">
        <v>5855</v>
      </c>
      <c r="B5916" s="138">
        <f>'Revenues 9-14'!I5</f>
        <v>68709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68709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47586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47586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116295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448037</v>
      </c>
      <c r="C6024" s="2" t="s">
        <v>573</v>
      </c>
      <c r="D6024" s="2" t="str">
        <f t="shared" si="93"/>
        <v>Error?</v>
      </c>
    </row>
    <row r="6025" spans="1:5" x14ac:dyDescent="0.2">
      <c r="A6025" s="5">
        <v>5964</v>
      </c>
      <c r="B6025" s="138">
        <f>'Revenues 9-14'!H109</f>
        <v>3949</v>
      </c>
      <c r="C6025" s="2" t="s">
        <v>573</v>
      </c>
      <c r="D6025" s="2" t="str">
        <f t="shared" si="93"/>
        <v>Error?</v>
      </c>
    </row>
    <row r="6026" spans="1:5" x14ac:dyDescent="0.2">
      <c r="A6026" s="5">
        <v>5965</v>
      </c>
      <c r="B6026" s="138">
        <f>'Revenues 9-14'!I109</f>
        <v>116295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198364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23498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1211.7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145241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145241</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145241</v>
      </c>
      <c r="D6216" s="2" t="str">
        <f t="shared" si="96"/>
        <v>Error?</v>
      </c>
      <c r="E6216" s="2" t="s">
        <v>190</v>
      </c>
    </row>
    <row r="6217" spans="1:5" x14ac:dyDescent="0.2">
      <c r="A6217">
        <v>6156</v>
      </c>
      <c r="B6217" s="138">
        <f>'Assets-Liab 5-6'!J4</f>
        <v>1052</v>
      </c>
      <c r="D6217" s="2" t="str">
        <f t="shared" si="96"/>
        <v>Error?</v>
      </c>
      <c r="E6217" s="2" t="s">
        <v>190</v>
      </c>
    </row>
    <row r="6218" spans="1:5" x14ac:dyDescent="0.2">
      <c r="A6218">
        <v>6157</v>
      </c>
      <c r="B6218" s="138">
        <f>'Assets-Liab 5-6'!J5</f>
        <v>144189</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149255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149255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149255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120920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120920</v>
      </c>
      <c r="D6229" s="2" t="str">
        <f t="shared" si="96"/>
        <v>Error?</v>
      </c>
      <c r="E6229" s="2" t="s">
        <v>190</v>
      </c>
    </row>
    <row r="6230" spans="1:5" x14ac:dyDescent="0.2">
      <c r="A6230">
        <v>6169</v>
      </c>
      <c r="B6230" s="138">
        <f>'Acct Summary 7-8'!J20</f>
        <v>28335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28335</v>
      </c>
      <c r="D6263" s="2" t="str">
        <f t="shared" si="96"/>
        <v>Error?</v>
      </c>
      <c r="E6263" s="2" t="s">
        <v>190</v>
      </c>
    </row>
    <row r="6264" spans="1:5" x14ac:dyDescent="0.2">
      <c r="A6264">
        <v>6203</v>
      </c>
      <c r="B6264" s="138">
        <f>'Acct Summary 7-8'!J79</f>
        <v>116906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145241</v>
      </c>
      <c r="D6266" s="2" t="str">
        <f t="shared" si="96"/>
        <v>Error?</v>
      </c>
      <c r="E6266" s="2" t="s">
        <v>190</v>
      </c>
    </row>
    <row r="6267" spans="1:5" x14ac:dyDescent="0.2">
      <c r="A6267">
        <v>6206</v>
      </c>
      <c r="B6267" s="138">
        <f>'Acct Summary 7-8'!C82</f>
        <v>715894</v>
      </c>
      <c r="D6267" s="2" t="str">
        <f t="shared" si="96"/>
        <v>Error?</v>
      </c>
      <c r="E6267" s="2" t="s">
        <v>190</v>
      </c>
    </row>
    <row r="6268" spans="1:5" x14ac:dyDescent="0.2">
      <c r="A6268">
        <v>6207</v>
      </c>
      <c r="B6268" s="138">
        <f>'Acct Summary 7-8'!D82</f>
        <v>-807214</v>
      </c>
      <c r="D6268" s="2" t="str">
        <f t="shared" si="96"/>
        <v>Error?</v>
      </c>
      <c r="E6268" s="2" t="s">
        <v>190</v>
      </c>
    </row>
    <row r="6269" spans="1:5" x14ac:dyDescent="0.2">
      <c r="A6269">
        <v>6208</v>
      </c>
      <c r="B6269" s="138">
        <f>'Acct Summary 7-8'!E82</f>
        <v>-25470</v>
      </c>
      <c r="D6269" s="2" t="str">
        <f t="shared" si="96"/>
        <v>Error?</v>
      </c>
      <c r="E6269" s="2" t="s">
        <v>190</v>
      </c>
    </row>
    <row r="6270" spans="1:5" x14ac:dyDescent="0.2">
      <c r="A6270">
        <v>6209</v>
      </c>
      <c r="B6270" s="138">
        <f>'Acct Summary 7-8'!F82</f>
        <v>-202418</v>
      </c>
      <c r="D6270" s="2" t="str">
        <f t="shared" si="96"/>
        <v>Error?</v>
      </c>
      <c r="E6270" s="2" t="s">
        <v>190</v>
      </c>
    </row>
    <row r="6271" spans="1:5" x14ac:dyDescent="0.2">
      <c r="A6271">
        <v>6210</v>
      </c>
      <c r="B6271" s="138">
        <f>'Acct Summary 7-8'!G82</f>
        <v>-58344</v>
      </c>
      <c r="D6271" s="2" t="str">
        <f t="shared" ref="D6271:D6334" si="97">IF(ISBLANK(B6271),"OK",IF(A6271-B6271=0,"OK","Error?"))</f>
        <v>Error?</v>
      </c>
      <c r="E6271" s="2" t="s">
        <v>190</v>
      </c>
    </row>
    <row r="6272" spans="1:5" x14ac:dyDescent="0.2">
      <c r="A6272">
        <v>6211</v>
      </c>
      <c r="B6272" s="138">
        <f>'Acct Summary 7-8'!H82</f>
        <v>-23793</v>
      </c>
      <c r="D6272" s="2" t="str">
        <f t="shared" si="97"/>
        <v>Error?</v>
      </c>
      <c r="E6272" s="2" t="s">
        <v>190</v>
      </c>
    </row>
    <row r="6273" spans="1:5" x14ac:dyDescent="0.2">
      <c r="A6273">
        <v>6212</v>
      </c>
      <c r="B6273" s="138">
        <f>'Acct Summary 7-8'!I82</f>
        <v>116295</v>
      </c>
      <c r="D6273" s="2" t="str">
        <f t="shared" si="97"/>
        <v>Error?</v>
      </c>
      <c r="E6273" s="2" t="s">
        <v>190</v>
      </c>
    </row>
    <row r="6274" spans="1:5" x14ac:dyDescent="0.2">
      <c r="A6274">
        <v>6213</v>
      </c>
      <c r="B6274" s="138">
        <f>'Acct Summary 7-8'!J82</f>
        <v>28335</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8.236872295653612E-2</v>
      </c>
      <c r="D6276" s="2" t="str">
        <f t="shared" si="97"/>
        <v>Error?</v>
      </c>
      <c r="E6276" s="2" t="s">
        <v>190</v>
      </c>
    </row>
    <row r="6277" spans="1:5" x14ac:dyDescent="0.2">
      <c r="A6277">
        <v>6216</v>
      </c>
      <c r="B6277" s="138">
        <f>'Acct Summary 7-8'!D83</f>
        <v>-0.68905134162934945</v>
      </c>
      <c r="D6277" s="2" t="str">
        <f t="shared" si="97"/>
        <v>Error?</v>
      </c>
      <c r="E6277" s="2" t="s">
        <v>190</v>
      </c>
    </row>
    <row r="6278" spans="1:5" x14ac:dyDescent="0.2">
      <c r="A6278">
        <v>6217</v>
      </c>
      <c r="B6278" s="138">
        <f>'Acct Summary 7-8'!E83</f>
        <v>-1.762771267451228E-2</v>
      </c>
      <c r="D6278" s="2" t="str">
        <f t="shared" si="97"/>
        <v>Error?</v>
      </c>
      <c r="E6278" s="2" t="s">
        <v>190</v>
      </c>
    </row>
    <row r="6279" spans="1:5" x14ac:dyDescent="0.2">
      <c r="A6279">
        <v>6218</v>
      </c>
      <c r="B6279" s="138">
        <f>'Acct Summary 7-8'!F83</f>
        <v>-0.1617286811176184</v>
      </c>
      <c r="D6279" s="2" t="str">
        <f t="shared" si="97"/>
        <v>Error?</v>
      </c>
      <c r="E6279" s="2" t="s">
        <v>190</v>
      </c>
    </row>
    <row r="6280" spans="1:5" x14ac:dyDescent="0.2">
      <c r="A6280">
        <v>6219</v>
      </c>
      <c r="B6280" s="138">
        <f>'Acct Summary 7-8'!G83</f>
        <v>-0.27796225803838992</v>
      </c>
      <c r="D6280" s="2" t="str">
        <f t="shared" si="97"/>
        <v>Error?</v>
      </c>
      <c r="E6280" s="2" t="s">
        <v>190</v>
      </c>
    </row>
    <row r="6281" spans="1:5" x14ac:dyDescent="0.2">
      <c r="A6281">
        <v>6220</v>
      </c>
      <c r="B6281" s="138">
        <f>'Acct Summary 7-8'!H83</f>
        <v>-0.57200211558803726</v>
      </c>
      <c r="D6281" s="2" t="str">
        <f t="shared" si="97"/>
        <v>Error?</v>
      </c>
      <c r="E6281" s="2" t="s">
        <v>190</v>
      </c>
    </row>
    <row r="6282" spans="1:5" x14ac:dyDescent="0.2">
      <c r="A6282">
        <v>6221</v>
      </c>
      <c r="B6282" s="138">
        <f>'Acct Summary 7-8'!I83</f>
        <v>4.9315887565119489E-2</v>
      </c>
      <c r="D6282" s="2" t="str">
        <f t="shared" si="97"/>
        <v>Error?</v>
      </c>
      <c r="E6282" s="2" t="s">
        <v>190</v>
      </c>
    </row>
    <row r="6283" spans="1:5" x14ac:dyDescent="0.2">
      <c r="A6283">
        <v>6222</v>
      </c>
      <c r="B6283" s="138">
        <f>'Acct Summary 7-8'!J83</f>
        <v>0.19508954083213417</v>
      </c>
      <c r="D6283" s="2" t="str">
        <f t="shared" si="97"/>
        <v>Error?</v>
      </c>
      <c r="E6283" s="2" t="s">
        <v>190</v>
      </c>
    </row>
    <row r="6284" spans="1:5" x14ac:dyDescent="0.2">
      <c r="A6284">
        <v>6223</v>
      </c>
      <c r="B6284" s="138">
        <f>'Acct Summary 7-8'!K83</f>
        <v>0</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147460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147460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1795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1795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70001</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714</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149255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77721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3906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113044</v>
      </c>
      <c r="D6848" s="2" t="str">
        <f t="shared" si="106"/>
        <v>Error?</v>
      </c>
    </row>
    <row r="6849" spans="1:4" x14ac:dyDescent="0.2">
      <c r="A6849">
        <v>6788</v>
      </c>
      <c r="B6849" s="138">
        <f>'Expenditures 15-22'!I8</f>
        <v>15104</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4008</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23018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6235</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6235</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37145</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37145</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43380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66398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24467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24467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24467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120920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24467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149255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3453</v>
      </c>
      <c r="D7073" s="2" t="str">
        <f t="shared" si="109"/>
        <v>Error?</v>
      </c>
    </row>
    <row r="7074" spans="1:4" x14ac:dyDescent="0.2">
      <c r="A7074">
        <v>7013</v>
      </c>
      <c r="B7074" s="138">
        <f>'Expenditures 15-22'!K216</f>
        <v>3453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46384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46384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74536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74536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120920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120920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120920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120920</v>
      </c>
      <c r="D7224" s="2" t="str">
        <f t="shared" si="111"/>
        <v>Error?</v>
      </c>
    </row>
    <row r="7225" spans="1:4" x14ac:dyDescent="0.2">
      <c r="A7225">
        <v>7164</v>
      </c>
      <c r="B7225" s="138">
        <f>'Expenditures 15-22'!K343</f>
        <v>28335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20631</v>
      </c>
      <c r="D7246" s="2" t="str">
        <f t="shared" si="112"/>
        <v>Error?</v>
      </c>
    </row>
    <row r="7247" spans="1:4" x14ac:dyDescent="0.2">
      <c r="A7247">
        <f t="shared" si="113"/>
        <v>7186</v>
      </c>
      <c r="B7247" s="138">
        <f>'Expenditures 15-22'!E7</f>
        <v>2035</v>
      </c>
      <c r="D7247" s="2" t="str">
        <f t="shared" si="112"/>
        <v>Error?</v>
      </c>
    </row>
    <row r="7248" spans="1:4" x14ac:dyDescent="0.2">
      <c r="A7248">
        <f t="shared" si="113"/>
        <v>7187</v>
      </c>
      <c r="B7248" s="138">
        <f>'Expenditures 15-22'!F7</f>
        <v>10542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2115</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90865</v>
      </c>
      <c r="D7624" s="2" t="str">
        <f t="shared" si="124"/>
        <v>Error?</v>
      </c>
      <c r="E7624" s="2" t="s">
        <v>19</v>
      </c>
    </row>
    <row r="7625" spans="1:5" x14ac:dyDescent="0.2">
      <c r="A7625">
        <f t="shared" si="123"/>
        <v>7564</v>
      </c>
      <c r="B7625" s="138">
        <f>'Cap Outlay Deprec 26'!I17</f>
        <v>9086.5</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891208.5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466051</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330804</v>
      </c>
      <c r="D7759" s="2" t="str">
        <f t="shared" si="127"/>
        <v>Error?</v>
      </c>
      <c r="E7759" s="4" t="s">
        <v>1333</v>
      </c>
    </row>
    <row r="7760" spans="1:6" x14ac:dyDescent="0.2">
      <c r="A7760">
        <v>7699</v>
      </c>
      <c r="B7760" s="138">
        <f>'Aud Quest 2'!J90</f>
        <v>330805</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1222143</v>
      </c>
      <c r="D7797" s="2" t="str">
        <f t="shared" si="127"/>
        <v>Error?</v>
      </c>
      <c r="E7797" s="4" t="s">
        <v>1904</v>
      </c>
    </row>
    <row r="7798" spans="1:5" x14ac:dyDescent="0.2">
      <c r="A7798">
        <v>7737</v>
      </c>
      <c r="B7798" s="138">
        <f>'Contracts Paid in CY 29'!F141</f>
        <v>245382</v>
      </c>
      <c r="D7798" s="2" t="str">
        <f t="shared" si="127"/>
        <v>Error?</v>
      </c>
      <c r="E7798" s="4" t="s">
        <v>1904</v>
      </c>
    </row>
    <row r="7799" spans="1:5" x14ac:dyDescent="0.2">
      <c r="A7799">
        <v>7738</v>
      </c>
      <c r="B7799" s="138">
        <f>'Contracts Paid in CY 29'!G141</f>
        <v>976761</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1989</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Mokena SD 159</v>
      </c>
      <c r="B7" s="2383"/>
      <c r="C7" s="2383"/>
      <c r="D7" s="2420"/>
      <c r="E7" s="2421">
        <f>COVER!A13</f>
        <v>56099159002</v>
      </c>
      <c r="F7" s="2422"/>
      <c r="G7" s="2389" t="str">
        <f>COVER!T23</f>
        <v>065-033233</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Lauterbach &amp; Amen, LLP</v>
      </c>
      <c r="H9" s="2396"/>
      <c r="I9" s="2396"/>
      <c r="J9" s="2396"/>
      <c r="K9" s="2396"/>
      <c r="L9" s="2397"/>
    </row>
    <row r="10" spans="1:29" ht="13.5" customHeight="1" x14ac:dyDescent="0.2">
      <c r="A10" s="2379" t="str">
        <f>COVER!A38</f>
        <v>Dr. Don White</v>
      </c>
      <c r="B10" s="2380"/>
      <c r="C10" s="2380"/>
      <c r="D10" s="2380"/>
      <c r="E10" s="2380"/>
      <c r="F10" s="2381"/>
      <c r="G10" s="2395" t="str">
        <f>COVER!T17</f>
        <v>668 N River Road</v>
      </c>
      <c r="H10" s="2408"/>
      <c r="I10" s="2408"/>
      <c r="J10" s="2408"/>
      <c r="K10" s="2408"/>
      <c r="L10" s="2409"/>
    </row>
    <row r="11" spans="1:29" ht="13.5" customHeight="1" x14ac:dyDescent="0.2">
      <c r="A11" s="1184" t="s">
        <v>1519</v>
      </c>
      <c r="B11" s="1185"/>
      <c r="C11" s="1186"/>
      <c r="D11" s="1191"/>
      <c r="E11" s="1186"/>
      <c r="F11" s="1190"/>
      <c r="G11" s="2395" t="str">
        <f>COVER!T19</f>
        <v>Naperville</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mberan@lauterbachamen.com</v>
      </c>
      <c r="J13" s="2417"/>
      <c r="K13" s="2417"/>
      <c r="L13" s="2418"/>
    </row>
    <row r="14" spans="1:29" ht="13.5" customHeight="1" x14ac:dyDescent="0.2">
      <c r="A14" s="2395" t="str">
        <f>COVER!A19</f>
        <v>11244 Willowcrest Lane</v>
      </c>
      <c r="B14" s="2408"/>
      <c r="C14" s="2408"/>
      <c r="D14" s="2408"/>
      <c r="E14" s="2408"/>
      <c r="F14" s="2409"/>
      <c r="G14" s="1195" t="s">
        <v>1185</v>
      </c>
      <c r="H14" s="1193"/>
      <c r="I14" s="1193"/>
      <c r="J14" s="1193"/>
      <c r="K14" s="1193"/>
      <c r="L14" s="1194"/>
    </row>
    <row r="15" spans="1:29" ht="13.5" customHeight="1" x14ac:dyDescent="0.2">
      <c r="A15" s="2395" t="str">
        <f>COVER!A21</f>
        <v>Mokena</v>
      </c>
      <c r="B15" s="2408"/>
      <c r="C15" s="2408"/>
      <c r="D15" s="2408"/>
      <c r="E15" s="2408"/>
      <c r="F15" s="2409"/>
      <c r="G15" s="2405" t="str">
        <f>COVER!T15</f>
        <v>Matt Beran</v>
      </c>
      <c r="H15" s="2406"/>
      <c r="I15" s="2406"/>
      <c r="J15" s="2406"/>
      <c r="K15" s="2406"/>
      <c r="L15" s="2407"/>
    </row>
    <row r="16" spans="1:29" ht="12.2" customHeight="1" x14ac:dyDescent="0.2">
      <c r="A16" s="2385">
        <f>COVER!A25</f>
        <v>60448</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630-393-1483</v>
      </c>
      <c r="H18" s="2383"/>
      <c r="I18" s="2383"/>
      <c r="J18" s="2383"/>
      <c r="K18" s="2382" t="str">
        <f>COVER!X21</f>
        <v>630-393-2516</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workbookViewId="0"/>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Mokena SD 159</v>
      </c>
      <c r="B1" s="2419"/>
      <c r="C1" s="2419"/>
      <c r="D1" s="2419"/>
    </row>
    <row r="2" spans="1:11" s="1212" customFormat="1" ht="12.75" x14ac:dyDescent="0.2">
      <c r="A2" s="2424">
        <f>'Single Audit Cover'!E7</f>
        <v>56099159002</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Mokena SD 159</v>
      </c>
      <c r="B1" s="2427"/>
      <c r="C1" s="2427"/>
      <c r="D1" s="2427"/>
      <c r="E1" s="2427"/>
    </row>
    <row r="2" spans="1:5" x14ac:dyDescent="0.2">
      <c r="A2" s="2428">
        <f>'Single Audit Cover'!E7</f>
        <v>56099159002</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669648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23498</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693146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693146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693146</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workbookViewId="0"/>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Mokena SD 159</v>
      </c>
      <c r="C1" s="2431"/>
      <c r="D1" s="2431"/>
      <c r="E1" s="2431"/>
      <c r="F1" s="2431"/>
      <c r="G1" s="2431"/>
      <c r="H1" s="2431"/>
      <c r="I1" s="2431"/>
      <c r="J1" s="2431"/>
      <c r="K1" s="2431"/>
      <c r="L1" s="2431"/>
      <c r="M1" s="2431"/>
    </row>
    <row r="2" spans="2:14" ht="15" x14ac:dyDescent="0.2">
      <c r="B2" s="2432">
        <f>'Single Audit Cover'!E7</f>
        <v>56099159002</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workbookViewId="0"/>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Mokena SD 159</v>
      </c>
      <c r="B1" s="2436"/>
      <c r="C1" s="2436"/>
      <c r="D1" s="2436"/>
      <c r="E1" s="2436"/>
      <c r="F1" s="2436"/>
    </row>
    <row r="2" spans="1:7" ht="13.5" customHeight="1" x14ac:dyDescent="0.2">
      <c r="A2" s="2432">
        <f>'Single Audit Cover'!E7</f>
        <v>56099159002</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topLeftCell="A88"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v>13397</v>
      </c>
      <c r="G88" s="276">
        <v>208951</v>
      </c>
      <c r="H88" s="276">
        <v>108456</v>
      </c>
      <c r="I88" s="276"/>
      <c r="J88" s="277">
        <f>SUM(E88:I88)</f>
        <v>330804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330805</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2072</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Mokena SD 159</v>
      </c>
      <c r="C1" s="2452"/>
      <c r="D1" s="2452"/>
      <c r="E1" s="2452"/>
      <c r="F1" s="2452"/>
      <c r="G1" s="2452"/>
      <c r="H1" s="2452"/>
      <c r="I1" s="2452"/>
      <c r="J1" s="1406"/>
    </row>
    <row r="2" spans="2:10" s="317" customFormat="1" ht="12.75" customHeight="1" x14ac:dyDescent="0.2">
      <c r="B2" s="2453">
        <f>'Single Audit Cover'!E7</f>
        <v>56099159002</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1841</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Mokena SD 159</v>
      </c>
      <c r="C1" s="2451"/>
      <c r="D1" s="2451"/>
      <c r="E1" s="2451"/>
      <c r="F1" s="2451"/>
      <c r="G1" s="2451"/>
      <c r="H1" s="2451"/>
      <c r="I1" s="2451"/>
      <c r="J1" s="2451"/>
      <c r="K1" s="2451"/>
      <c r="L1" s="1371"/>
      <c r="M1" s="1371"/>
    </row>
    <row r="2" spans="1:13" ht="12" customHeight="1" x14ac:dyDescent="0.2">
      <c r="B2" s="2453">
        <f>'Single Audit Cover'!E7</f>
        <v>56099159002</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Mokena SD 159</v>
      </c>
      <c r="C1" s="2478"/>
      <c r="D1" s="2478"/>
      <c r="E1" s="2478"/>
      <c r="F1" s="2478"/>
      <c r="G1" s="2478"/>
      <c r="H1" s="2478"/>
      <c r="I1" s="2478"/>
      <c r="J1" s="2478"/>
      <c r="K1" s="2478"/>
      <c r="L1" s="1449"/>
    </row>
    <row r="2" spans="1:12" ht="12.75" customHeight="1" x14ac:dyDescent="0.2">
      <c r="B2" s="2479">
        <f>'Single Audit Cover'!E7</f>
        <v>56099159002</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Mokena SD 159</v>
      </c>
      <c r="C1" s="2451"/>
      <c r="D1" s="2451"/>
      <c r="E1" s="1469"/>
    </row>
    <row r="2" spans="2:5" s="1279" customFormat="1" ht="12.75" customHeight="1" x14ac:dyDescent="0.2">
      <c r="B2" s="2453">
        <f>'Single Audit Cover'!E7</f>
        <v>56099159002</v>
      </c>
      <c r="C2" s="2453"/>
      <c r="D2" s="2453"/>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592536085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2.3769999999999999E-2</v>
      </c>
      <c r="E10" s="356" t="s">
        <v>1005</v>
      </c>
      <c r="F10" s="355">
        <v>2.0990000000000002E-3</v>
      </c>
      <c r="G10" s="356" t="s">
        <v>1005</v>
      </c>
      <c r="H10" s="355">
        <v>7.1900000000000002E-3</v>
      </c>
      <c r="I10" s="356" t="s">
        <v>1006</v>
      </c>
      <c r="J10" s="1732">
        <f>ROUND(D10+F10+H10,5)</f>
        <v>3.3059999999999999E-2</v>
      </c>
      <c r="K10" s="222"/>
      <c r="L10" s="355">
        <v>1.1900000000000001E-3</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17631490</v>
      </c>
      <c r="E16" s="356"/>
      <c r="F16" s="1733">
        <f>SUM('Acct Summary 7-8'!C17,'Acct Summary 7-8'!D17,'Acct Summary 7-8'!F17)</f>
        <v>17836675</v>
      </c>
      <c r="G16" s="356"/>
      <c r="H16" s="1733">
        <f>SUM(D16-F16)</f>
        <v>-205185</v>
      </c>
      <c r="I16" s="222"/>
      <c r="J16" s="1733">
        <f>SUM('Acct Summary 7-8'!C81,'Acct Summary 7-8'!D81,'Acct Summary 7-8'!F81,'Acct Summary 7-8'!I81)</f>
        <v>13472574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40884989.865000002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7201407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topLeftCell="A19"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Mokena SD 159</v>
      </c>
      <c r="E7" s="391"/>
      <c r="G7" s="252"/>
      <c r="H7" s="387"/>
      <c r="I7" s="387"/>
      <c r="J7" s="387"/>
      <c r="K7" s="387"/>
      <c r="L7" s="329"/>
      <c r="M7" s="329"/>
      <c r="N7" s="329"/>
      <c r="O7" s="329"/>
      <c r="P7" s="329"/>
    </row>
    <row r="8" spans="1:18" ht="12.75" x14ac:dyDescent="0.2">
      <c r="A8" s="329"/>
      <c r="B8" s="329"/>
      <c r="C8" s="389" t="s">
        <v>1125</v>
      </c>
      <c r="D8" s="392">
        <f>COVER!A13</f>
        <v>56099159002</v>
      </c>
      <c r="E8" s="393"/>
      <c r="G8" s="329"/>
      <c r="H8" s="329"/>
      <c r="I8" s="329"/>
      <c r="J8" s="329"/>
      <c r="K8" s="329"/>
      <c r="L8" s="329"/>
      <c r="M8" s="329"/>
      <c r="N8" s="329"/>
      <c r="O8" s="329"/>
      <c r="P8" s="329"/>
    </row>
    <row r="9" spans="1:18" ht="12.75" x14ac:dyDescent="0.2">
      <c r="A9" s="329"/>
      <c r="B9" s="329"/>
      <c r="C9" s="389" t="s">
        <v>713</v>
      </c>
      <c r="D9" s="394" t="str">
        <f>COVER!A15</f>
        <v>Will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13472574</v>
      </c>
      <c r="I12" s="404"/>
      <c r="J12" s="404"/>
      <c r="K12" s="405">
        <f>TRUNC((H12/H13*100000),5)/100000</f>
        <v>0.76411999209999992</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17631490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17836675</v>
      </c>
      <c r="I17" s="404"/>
      <c r="J17" s="416"/>
      <c r="K17" s="405">
        <f>TRUNC((H17/H18*100000),5)/100000</f>
        <v>1.0116374169</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17631490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57.0676463</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13475137</v>
      </c>
      <c r="I24" s="422"/>
      <c r="J24" s="422"/>
      <c r="K24" s="423">
        <f>TRUNC(((H24/H25*100000)/100000),2)</f>
        <v>271.97000000000003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49546.319439999999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16650856.524590001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7201407</v>
      </c>
      <c r="I32" s="420"/>
      <c r="J32" s="420"/>
      <c r="K32" s="423">
        <f>TRUNC(100-((((H32/H33*100))*100)/100),2)</f>
        <v>82.38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40884989.865000002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topLeftCell="A19" zoomScale="85" zoomScaleNormal="85" workbookViewId="0"/>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1351970</v>
      </c>
      <c r="D4" s="466">
        <v>351585</v>
      </c>
      <c r="E4" s="466">
        <v>144916</v>
      </c>
      <c r="F4" s="466">
        <v>235029</v>
      </c>
      <c r="G4" s="466">
        <v>42217</v>
      </c>
      <c r="H4" s="466">
        <v>41596</v>
      </c>
      <c r="I4" s="466">
        <v>411383</v>
      </c>
      <c r="J4" s="467">
        <v>1052</v>
      </c>
      <c r="K4" s="466">
        <v>802</v>
      </c>
      <c r="L4" s="466"/>
      <c r="M4" s="468"/>
      <c r="N4" s="469"/>
    </row>
    <row r="5" spans="1:14" x14ac:dyDescent="0.2">
      <c r="A5" s="463" t="s">
        <v>992</v>
      </c>
      <c r="B5" s="470">
        <v>120</v>
      </c>
      <c r="C5" s="465">
        <v>7341926</v>
      </c>
      <c r="D5" s="466">
        <v>819901</v>
      </c>
      <c r="E5" s="466">
        <v>1299968</v>
      </c>
      <c r="F5" s="466">
        <v>1016561</v>
      </c>
      <c r="G5" s="466">
        <v>167682</v>
      </c>
      <c r="H5" s="466"/>
      <c r="I5" s="466">
        <v>1946782</v>
      </c>
      <c r="J5" s="467">
        <v>144189</v>
      </c>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8693896</v>
      </c>
      <c r="D13" s="1737">
        <f t="shared" ref="D13:L13" si="0">SUM(D4:D12)</f>
        <v>1171486</v>
      </c>
      <c r="E13" s="1737">
        <f t="shared" si="0"/>
        <v>1444884</v>
      </c>
      <c r="F13" s="1737">
        <f t="shared" si="0"/>
        <v>1251590</v>
      </c>
      <c r="G13" s="1737">
        <f t="shared" si="0"/>
        <v>209899</v>
      </c>
      <c r="H13" s="1737">
        <f t="shared" si="0"/>
        <v>41596</v>
      </c>
      <c r="I13" s="1737">
        <f t="shared" si="0"/>
        <v>2358165</v>
      </c>
      <c r="J13" s="1737">
        <f t="shared" si="0"/>
        <v>145241</v>
      </c>
      <c r="K13" s="1737">
        <f t="shared" si="0"/>
        <v>802</v>
      </c>
      <c r="L13" s="1737">
        <f t="shared" si="0"/>
        <v>0</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26'!L5</f>
        <v>723912</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26'!L8</f>
        <v>13677314</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26'!L10</f>
        <v>54931</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26'!L12</f>
        <v>243266</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26'!L15</f>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7201407</v>
      </c>
    </row>
    <row r="23" spans="1:14" ht="13.5" customHeight="1" thickBot="1" x14ac:dyDescent="0.25">
      <c r="A23" s="1736" t="s">
        <v>643</v>
      </c>
      <c r="B23" s="1741"/>
      <c r="C23" s="468"/>
      <c r="D23" s="468"/>
      <c r="E23" s="468"/>
      <c r="F23" s="468"/>
      <c r="G23" s="468"/>
      <c r="H23" s="468"/>
      <c r="I23" s="468"/>
      <c r="J23" s="468"/>
      <c r="K23" s="468"/>
      <c r="L23" s="468"/>
      <c r="M23" s="1688">
        <f>SUM(M15:M22)</f>
        <v>14699423</v>
      </c>
      <c r="N23" s="1688">
        <f>SUM(N21:N22)</f>
        <v>7201407</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2563</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2563</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7201407</v>
      </c>
    </row>
    <row r="37" spans="1:14" ht="13.5" thickBot="1" x14ac:dyDescent="0.25">
      <c r="A37" s="1736" t="s">
        <v>653</v>
      </c>
      <c r="B37" s="1741"/>
      <c r="C37" s="477"/>
      <c r="D37" s="477"/>
      <c r="E37" s="477"/>
      <c r="F37" s="477"/>
      <c r="G37" s="477"/>
      <c r="H37" s="477"/>
      <c r="I37" s="477"/>
      <c r="J37" s="477"/>
      <c r="K37" s="477"/>
      <c r="L37" s="480"/>
      <c r="M37" s="468"/>
      <c r="N37" s="1688">
        <f>SUM(N36:N36)</f>
        <v>7201407</v>
      </c>
    </row>
    <row r="38" spans="1:14" s="329" customFormat="1" ht="13.5" customHeight="1" thickTop="1" x14ac:dyDescent="0.2">
      <c r="A38" s="496" t="s">
        <v>420</v>
      </c>
      <c r="B38" s="483">
        <v>714</v>
      </c>
      <c r="C38" s="466"/>
      <c r="D38" s="466"/>
      <c r="E38" s="466">
        <v>1444884</v>
      </c>
      <c r="F38" s="466">
        <v>1251590</v>
      </c>
      <c r="G38" s="466">
        <v>209899</v>
      </c>
      <c r="H38" s="466">
        <v>41596</v>
      </c>
      <c r="I38" s="466">
        <v>2358165</v>
      </c>
      <c r="J38" s="467">
        <v>145241</v>
      </c>
      <c r="K38" s="466">
        <v>802</v>
      </c>
      <c r="L38" s="481"/>
      <c r="M38" s="497"/>
      <c r="N38" s="497"/>
    </row>
    <row r="39" spans="1:14" s="329" customFormat="1" ht="13.5" customHeight="1" x14ac:dyDescent="0.2">
      <c r="A39" s="496" t="s">
        <v>342</v>
      </c>
      <c r="B39" s="483">
        <v>730</v>
      </c>
      <c r="C39" s="466">
        <v>8691333</v>
      </c>
      <c r="D39" s="466">
        <v>1171486</v>
      </c>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14699423</v>
      </c>
      <c r="N40" s="497"/>
    </row>
    <row r="41" spans="1:14" ht="13.5" customHeight="1" thickBot="1" x14ac:dyDescent="0.25">
      <c r="A41" s="1736" t="s">
        <v>655</v>
      </c>
      <c r="B41" s="1706"/>
      <c r="C41" s="1688">
        <f>(SUM(C34,C37,C38,C39))</f>
        <v>8693896</v>
      </c>
      <c r="D41" s="1688">
        <f t="shared" ref="D41:L41" si="2">SUM(D34,D37,D38:D39)</f>
        <v>1171486</v>
      </c>
      <c r="E41" s="1688">
        <f t="shared" si="2"/>
        <v>1444884</v>
      </c>
      <c r="F41" s="1688">
        <f t="shared" si="2"/>
        <v>1251590</v>
      </c>
      <c r="G41" s="1688">
        <f t="shared" si="2"/>
        <v>209899</v>
      </c>
      <c r="H41" s="1688">
        <f t="shared" si="2"/>
        <v>41596</v>
      </c>
      <c r="I41" s="1688">
        <f t="shared" si="2"/>
        <v>2358165</v>
      </c>
      <c r="J41" s="1688">
        <f t="shared" si="2"/>
        <v>145241</v>
      </c>
      <c r="K41" s="1688">
        <f t="shared" si="2"/>
        <v>802</v>
      </c>
      <c r="L41" s="1688">
        <f t="shared" si="2"/>
        <v>0</v>
      </c>
      <c r="M41" s="1688">
        <f>SUM(M40)</f>
        <v>14699423</v>
      </c>
      <c r="N41" s="1688">
        <f>SUM(N37)</f>
        <v>7201407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topLeftCell="A70" workbookViewId="0"/>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13232425</v>
      </c>
      <c r="D4" s="1742">
        <f>'Revenues 9-14'!D109</f>
        <v>1340363</v>
      </c>
      <c r="E4" s="1742">
        <f>'Revenues 9-14'!E109</f>
        <v>2236736</v>
      </c>
      <c r="F4" s="1742">
        <f>'Revenues 9-14'!F109</f>
        <v>452586</v>
      </c>
      <c r="G4" s="1742">
        <f>'Revenues 9-14'!G109</f>
        <v>448037</v>
      </c>
      <c r="H4" s="1742">
        <f>'Revenues 9-14'!H109</f>
        <v>3949</v>
      </c>
      <c r="I4" s="1742">
        <f>'Revenues 9-14'!I109</f>
        <v>116295</v>
      </c>
      <c r="J4" s="1742">
        <f>'Revenues 9-14'!J109</f>
        <v>149255</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1097825</v>
      </c>
      <c r="D6" s="1743">
        <f>'Revenues 9-14'!D170</f>
        <v>500000</v>
      </c>
      <c r="E6" s="1743">
        <f>'Revenues 9-14'!E170</f>
        <v>0</v>
      </c>
      <c r="F6" s="1743">
        <f>'Revenues 9-14'!F170</f>
        <v>222348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669648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14999898</v>
      </c>
      <c r="D8" s="1688">
        <f t="shared" ref="D8:K8" si="0">SUM(D4:D7)</f>
        <v>1840363</v>
      </c>
      <c r="E8" s="1688">
        <f t="shared" si="0"/>
        <v>2236736</v>
      </c>
      <c r="F8" s="1688">
        <f t="shared" si="0"/>
        <v>674934</v>
      </c>
      <c r="G8" s="1688">
        <f t="shared" si="0"/>
        <v>448037</v>
      </c>
      <c r="H8" s="1688">
        <f t="shared" si="0"/>
        <v>3949</v>
      </c>
      <c r="I8" s="1688">
        <f t="shared" si="0"/>
        <v>116295</v>
      </c>
      <c r="J8" s="1688">
        <f t="shared" si="0"/>
        <v>149255</v>
      </c>
      <c r="K8" s="1688">
        <f t="shared" si="0"/>
        <v>0</v>
      </c>
      <c r="L8" s="347"/>
    </row>
    <row r="9" spans="1:13" ht="15.75" thickTop="1" x14ac:dyDescent="0.2">
      <c r="A9" s="514" t="s">
        <v>1653</v>
      </c>
      <c r="B9" s="515">
        <v>3998</v>
      </c>
      <c r="C9" s="481">
        <v>5435308</v>
      </c>
      <c r="D9" s="516"/>
      <c r="E9" s="481"/>
      <c r="F9" s="481"/>
      <c r="G9" s="517"/>
      <c r="H9" s="481"/>
      <c r="I9" s="509" t="s">
        <v>1169</v>
      </c>
      <c r="J9" s="478"/>
      <c r="K9" s="481"/>
      <c r="L9" s="347"/>
    </row>
    <row r="10" spans="1:13" s="519" customFormat="1" ht="13.5" thickBot="1" x14ac:dyDescent="0.25">
      <c r="A10" s="1736" t="s">
        <v>1173</v>
      </c>
      <c r="B10" s="1709"/>
      <c r="C10" s="1688">
        <f>SUM(C8:C9)</f>
        <v>20435206</v>
      </c>
      <c r="D10" s="1688">
        <f t="shared" ref="D10:K10" si="1">SUM(D8:D9)</f>
        <v>1840363</v>
      </c>
      <c r="E10" s="1688">
        <f t="shared" si="1"/>
        <v>2236736</v>
      </c>
      <c r="F10" s="1688">
        <f t="shared" si="1"/>
        <v>674934</v>
      </c>
      <c r="G10" s="1688">
        <f t="shared" si="1"/>
        <v>448037</v>
      </c>
      <c r="H10" s="1688">
        <f t="shared" si="1"/>
        <v>3949</v>
      </c>
      <c r="I10" s="1688">
        <f t="shared" si="1"/>
        <v>116295</v>
      </c>
      <c r="J10" s="1688">
        <f t="shared" si="1"/>
        <v>149255</v>
      </c>
      <c r="K10" s="1688">
        <f t="shared" si="1"/>
        <v>0</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9661279</v>
      </c>
      <c r="D12" s="520" t="s">
        <v>1169</v>
      </c>
      <c r="E12" s="468" t="s">
        <v>1169</v>
      </c>
      <c r="F12" s="468" t="s">
        <v>1169</v>
      </c>
      <c r="G12" s="1742">
        <f>'Expenditures 15-22'!K229</f>
        <v>233317</v>
      </c>
      <c r="H12" s="521"/>
      <c r="I12" s="468" t="s">
        <v>1169</v>
      </c>
      <c r="J12" s="468" t="s">
        <v>1169</v>
      </c>
      <c r="K12" s="521" t="s">
        <v>1169</v>
      </c>
      <c r="L12" s="347"/>
    </row>
    <row r="13" spans="1:13" ht="15.75" customHeight="1" x14ac:dyDescent="0.2">
      <c r="A13" s="1576" t="s">
        <v>457</v>
      </c>
      <c r="B13" s="1578">
        <v>2000</v>
      </c>
      <c r="C13" s="1743">
        <f>'Expenditures 15-22'!K74</f>
        <v>3677001</v>
      </c>
      <c r="D13" s="1743">
        <f>'Expenditures 15-22'!K129</f>
        <v>2647133</v>
      </c>
      <c r="E13" s="469" t="s">
        <v>1169</v>
      </c>
      <c r="F13" s="1743">
        <f>'Expenditures 15-22'!K184</f>
        <v>827222</v>
      </c>
      <c r="G13" s="1743">
        <f>'Expenditures 15-22'!K279</f>
        <v>273064</v>
      </c>
      <c r="H13" s="1743">
        <f>'Expenditures 15-22'!K303</f>
        <v>0</v>
      </c>
      <c r="I13" s="468" t="s">
        <v>1169</v>
      </c>
      <c r="J13" s="1743">
        <f>'Expenditures 15-22'!K330</f>
        <v>120920</v>
      </c>
      <c r="K13" s="1747">
        <f>'Expenditures 15-22'!K352</f>
        <v>0</v>
      </c>
      <c r="L13" s="347"/>
    </row>
    <row r="14" spans="1:13" ht="15.75" customHeight="1" x14ac:dyDescent="0.2">
      <c r="A14" s="1576" t="s">
        <v>449</v>
      </c>
      <c r="B14" s="1578">
        <v>3000</v>
      </c>
      <c r="C14" s="1743">
        <f>'Expenditures 15-22'!K75</f>
        <v>35867</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909857</v>
      </c>
      <c r="D15" s="1743">
        <f>'Expenditures 15-22'!K139</f>
        <v>28186</v>
      </c>
      <c r="E15" s="1743">
        <f>'Expenditures 15-22'!K160</f>
        <v>0</v>
      </c>
      <c r="F15" s="1743">
        <f>'Expenditures 15-22'!K196</f>
        <v>50130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2262206</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14284004</v>
      </c>
      <c r="D17" s="1688">
        <f t="shared" si="2"/>
        <v>2675319</v>
      </c>
      <c r="E17" s="1688">
        <f t="shared" si="2"/>
        <v>2262206</v>
      </c>
      <c r="F17" s="1688">
        <f t="shared" si="2"/>
        <v>877352</v>
      </c>
      <c r="G17" s="1688">
        <f t="shared" si="2"/>
        <v>506381</v>
      </c>
      <c r="H17" s="1688">
        <f t="shared" si="2"/>
        <v>0</v>
      </c>
      <c r="I17" s="468"/>
      <c r="J17" s="1688">
        <f>SUM(J12:J16)</f>
        <v>120920</v>
      </c>
      <c r="K17" s="1688">
        <f>SUM(K12:K16)</f>
        <v>0</v>
      </c>
      <c r="L17" s="347"/>
    </row>
    <row r="18" spans="1:12" ht="15" customHeight="1" thickTop="1" x14ac:dyDescent="0.2">
      <c r="A18" s="1744" t="s">
        <v>1654</v>
      </c>
      <c r="B18" s="1745">
        <v>4180</v>
      </c>
      <c r="C18" s="1742">
        <f t="shared" ref="C18:H18" si="3">C9</f>
        <v>5435308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19719312</v>
      </c>
      <c r="D19" s="1688">
        <f t="shared" si="4"/>
        <v>2675319</v>
      </c>
      <c r="E19" s="1688">
        <f t="shared" si="4"/>
        <v>2262206</v>
      </c>
      <c r="F19" s="1688">
        <f t="shared" si="4"/>
        <v>877352</v>
      </c>
      <c r="G19" s="1688">
        <f t="shared" si="4"/>
        <v>506381</v>
      </c>
      <c r="H19" s="1688">
        <f t="shared" si="4"/>
        <v>0</v>
      </c>
      <c r="I19" s="468"/>
      <c r="J19" s="1688">
        <f>SUM(J17:J18)</f>
        <v>120920</v>
      </c>
      <c r="K19" s="1688">
        <f>SUM(K17:K18)</f>
        <v>0</v>
      </c>
      <c r="L19" s="347"/>
    </row>
    <row r="20" spans="1:12" ht="16.5" thickTop="1" thickBot="1" x14ac:dyDescent="0.25">
      <c r="A20" s="2124" t="s">
        <v>1655</v>
      </c>
      <c r="B20" s="2125"/>
      <c r="C20" s="1746">
        <f>C8-C17</f>
        <v>715894</v>
      </c>
      <c r="D20" s="1746">
        <f t="shared" ref="D20:K20" si="5">D8-D17</f>
        <v>-834956</v>
      </c>
      <c r="E20" s="1746">
        <f t="shared" si="5"/>
        <v>-25470</v>
      </c>
      <c r="F20" s="1746">
        <f t="shared" si="5"/>
        <v>-202418</v>
      </c>
      <c r="G20" s="1746">
        <f t="shared" si="5"/>
        <v>-58344</v>
      </c>
      <c r="H20" s="1746">
        <f t="shared" si="5"/>
        <v>3949</v>
      </c>
      <c r="I20" s="1746">
        <f t="shared" si="5"/>
        <v>116295</v>
      </c>
      <c r="J20" s="1746">
        <f t="shared" si="5"/>
        <v>28335</v>
      </c>
      <c r="K20" s="1746">
        <f t="shared" si="5"/>
        <v>0</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v>27742</v>
      </c>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8" t="s">
        <v>374</v>
      </c>
      <c r="B44" s="2139"/>
      <c r="C44" s="1703">
        <f>SUM(C24:C43)</f>
        <v>0</v>
      </c>
      <c r="D44" s="1703">
        <f t="shared" ref="D44:K44" si="6">SUM(D24:D43)</f>
        <v>27742</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27742</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0</v>
      </c>
      <c r="G76" s="1703">
        <f t="shared" si="7"/>
        <v>0</v>
      </c>
      <c r="H76" s="1703">
        <f t="shared" si="7"/>
        <v>27742</v>
      </c>
      <c r="I76" s="1703">
        <f t="shared" si="7"/>
        <v>0</v>
      </c>
      <c r="J76" s="1703">
        <f t="shared" si="7"/>
        <v>0</v>
      </c>
      <c r="K76" s="1703">
        <f t="shared" si="7"/>
        <v>0</v>
      </c>
      <c r="L76" s="524"/>
    </row>
    <row r="77" spans="1:12" ht="14.25" thickTop="1" thickBot="1" x14ac:dyDescent="0.25">
      <c r="A77" s="2116" t="s">
        <v>1177</v>
      </c>
      <c r="B77" s="2117"/>
      <c r="C77" s="1703">
        <f t="shared" ref="C77:K77" si="8">C44-C76</f>
        <v>0</v>
      </c>
      <c r="D77" s="1703">
        <f t="shared" si="8"/>
        <v>27742</v>
      </c>
      <c r="E77" s="1703">
        <f t="shared" si="8"/>
        <v>0</v>
      </c>
      <c r="F77" s="1703">
        <f t="shared" si="8"/>
        <v>0</v>
      </c>
      <c r="G77" s="1703">
        <f t="shared" si="8"/>
        <v>0</v>
      </c>
      <c r="H77" s="1703">
        <f t="shared" si="8"/>
        <v>-27742</v>
      </c>
      <c r="I77" s="1703">
        <f t="shared" si="8"/>
        <v>0</v>
      </c>
      <c r="J77" s="1703">
        <f t="shared" si="8"/>
        <v>0</v>
      </c>
      <c r="K77" s="1703">
        <f t="shared" si="8"/>
        <v>0</v>
      </c>
      <c r="L77" s="347"/>
    </row>
    <row r="78" spans="1:12" ht="21.75" customHeight="1" thickTop="1" thickBot="1" x14ac:dyDescent="0.25">
      <c r="A78" s="2120" t="s">
        <v>597</v>
      </c>
      <c r="B78" s="2121"/>
      <c r="C78" s="1702">
        <f t="shared" ref="C78:K78" si="9">C20+C77</f>
        <v>715894</v>
      </c>
      <c r="D78" s="1702">
        <f t="shared" si="9"/>
        <v>-807214</v>
      </c>
      <c r="E78" s="1702">
        <f t="shared" si="9"/>
        <v>-25470</v>
      </c>
      <c r="F78" s="1702">
        <f t="shared" si="9"/>
        <v>-202418</v>
      </c>
      <c r="G78" s="1702">
        <f t="shared" si="9"/>
        <v>-58344</v>
      </c>
      <c r="H78" s="1702">
        <f t="shared" si="9"/>
        <v>-23793</v>
      </c>
      <c r="I78" s="1702">
        <f t="shared" si="9"/>
        <v>116295</v>
      </c>
      <c r="J78" s="1702">
        <f t="shared" si="9"/>
        <v>28335</v>
      </c>
      <c r="K78" s="1702">
        <f t="shared" si="9"/>
        <v>0</v>
      </c>
      <c r="L78" s="533"/>
    </row>
    <row r="79" spans="1:12" ht="13.5" thickTop="1" x14ac:dyDescent="0.2">
      <c r="A79" s="1494" t="s">
        <v>1949</v>
      </c>
      <c r="B79" s="534"/>
      <c r="C79" s="478">
        <v>7975439</v>
      </c>
      <c r="D79" s="535">
        <v>1978700</v>
      </c>
      <c r="E79" s="535">
        <v>1470354</v>
      </c>
      <c r="F79" s="535">
        <v>1454008</v>
      </c>
      <c r="G79" s="535">
        <v>268243</v>
      </c>
      <c r="H79" s="535">
        <v>65389</v>
      </c>
      <c r="I79" s="535">
        <v>2241870</v>
      </c>
      <c r="J79" s="535">
        <v>116906</v>
      </c>
      <c r="K79" s="535">
        <v>802</v>
      </c>
      <c r="L79" s="347"/>
    </row>
    <row r="80" spans="1:12" x14ac:dyDescent="0.2">
      <c r="A80" s="2126" t="s">
        <v>1795</v>
      </c>
      <c r="B80" s="2127"/>
      <c r="C80" s="467"/>
      <c r="D80" s="467"/>
      <c r="E80" s="467"/>
      <c r="F80" s="467"/>
      <c r="G80" s="467"/>
      <c r="H80" s="467"/>
      <c r="I80" s="467"/>
      <c r="J80" s="467"/>
      <c r="K80" s="467"/>
      <c r="L80" s="347"/>
    </row>
    <row r="81" spans="1:12" ht="13.5" thickBot="1" x14ac:dyDescent="0.25">
      <c r="A81" s="2118" t="s">
        <v>1950</v>
      </c>
      <c r="B81" s="2119"/>
      <c r="C81" s="1688">
        <f>(SUM(C78:C80))</f>
        <v>8691333</v>
      </c>
      <c r="D81" s="1688">
        <f>SUM(D78:D80)</f>
        <v>1171486</v>
      </c>
      <c r="E81" s="1688">
        <f t="shared" ref="E81:K81" si="10">SUM(E78:E80)</f>
        <v>1444884</v>
      </c>
      <c r="F81" s="1688">
        <f t="shared" si="10"/>
        <v>1251590</v>
      </c>
      <c r="G81" s="1688">
        <f t="shared" si="10"/>
        <v>209899</v>
      </c>
      <c r="H81" s="1688">
        <f t="shared" si="10"/>
        <v>41596</v>
      </c>
      <c r="I81" s="1688">
        <f t="shared" si="10"/>
        <v>2358165</v>
      </c>
      <c r="J81" s="1688">
        <f t="shared" si="10"/>
        <v>145241</v>
      </c>
      <c r="K81" s="1688">
        <f t="shared" si="10"/>
        <v>802</v>
      </c>
      <c r="L81" s="347"/>
    </row>
    <row r="82" spans="1:12" ht="0.75" customHeight="1" thickTop="1" thickBot="1" x14ac:dyDescent="0.25">
      <c r="A82" s="536" t="s">
        <v>343</v>
      </c>
      <c r="B82" s="537"/>
      <c r="C82" s="538">
        <f>(C81-C79)</f>
        <v>715894</v>
      </c>
      <c r="D82" s="538">
        <f t="shared" ref="D82:K82" si="11">(D81-D79)</f>
        <v>-807214</v>
      </c>
      <c r="E82" s="538">
        <f t="shared" si="11"/>
        <v>-25470</v>
      </c>
      <c r="F82" s="538">
        <f t="shared" si="11"/>
        <v>-202418</v>
      </c>
      <c r="G82" s="538">
        <f t="shared" si="11"/>
        <v>-58344</v>
      </c>
      <c r="H82" s="538">
        <f t="shared" si="11"/>
        <v>-23793</v>
      </c>
      <c r="I82" s="538">
        <f t="shared" si="11"/>
        <v>116295</v>
      </c>
      <c r="J82" s="538">
        <f t="shared" si="11"/>
        <v>28335</v>
      </c>
      <c r="K82" s="538">
        <f t="shared" si="11"/>
        <v>0</v>
      </c>
    </row>
    <row r="83" spans="1:12" ht="14.25" hidden="1" thickTop="1" thickBot="1" x14ac:dyDescent="0.25">
      <c r="A83" s="539" t="s">
        <v>344</v>
      </c>
      <c r="B83" s="464"/>
      <c r="C83" s="540">
        <f>C82/C81</f>
        <v>8.236872295653612E-2</v>
      </c>
      <c r="D83" s="540">
        <f t="shared" ref="D83:K83" si="12">D82/D81</f>
        <v>-0.68905134162934945</v>
      </c>
      <c r="E83" s="540">
        <f t="shared" si="12"/>
        <v>-1.762771267451228E-2</v>
      </c>
      <c r="F83" s="540">
        <f t="shared" si="12"/>
        <v>-0.1617286811176184</v>
      </c>
      <c r="G83" s="540">
        <f t="shared" si="12"/>
        <v>-0.27796225803838992</v>
      </c>
      <c r="H83" s="540">
        <f t="shared" si="12"/>
        <v>-0.57200211558803726</v>
      </c>
      <c r="I83" s="540">
        <f t="shared" si="12"/>
        <v>4.9315887565119489E-2</v>
      </c>
      <c r="J83" s="540">
        <f t="shared" si="12"/>
        <v>0.19508954083213417</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topLeftCell="A196" workbookViewId="0">
      <selection activeCell="C206" sqref="C20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11682835</v>
      </c>
      <c r="D5" s="481">
        <v>1214412</v>
      </c>
      <c r="E5" s="466">
        <v>2215469</v>
      </c>
      <c r="F5" s="548">
        <v>415659</v>
      </c>
      <c r="G5" s="466">
        <v>392078</v>
      </c>
      <c r="H5" s="466"/>
      <c r="I5" s="466">
        <v>68709</v>
      </c>
      <c r="J5" s="467">
        <v>147460</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465077</v>
      </c>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12147912</v>
      </c>
      <c r="D12" s="1707">
        <f t="shared" si="0"/>
        <v>1214412</v>
      </c>
      <c r="E12" s="1707">
        <f t="shared" si="0"/>
        <v>2215469</v>
      </c>
      <c r="F12" s="1707">
        <f t="shared" si="0"/>
        <v>415659</v>
      </c>
      <c r="G12" s="1707">
        <f t="shared" si="0"/>
        <v>392078</v>
      </c>
      <c r="H12" s="1707">
        <f t="shared" si="0"/>
        <v>0</v>
      </c>
      <c r="I12" s="1707">
        <f t="shared" si="0"/>
        <v>68709</v>
      </c>
      <c r="J12" s="1707">
        <f t="shared" si="0"/>
        <v>147460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63751</v>
      </c>
      <c r="D16" s="466"/>
      <c r="E16" s="466"/>
      <c r="F16" s="466"/>
      <c r="G16" s="466">
        <v>52160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63751</v>
      </c>
      <c r="D18" s="1710">
        <f t="shared" ref="D18:K18" si="1">SUM(D14:D17)</f>
        <v>0</v>
      </c>
      <c r="E18" s="1710">
        <f t="shared" si="1"/>
        <v>0</v>
      </c>
      <c r="F18" s="1710">
        <f t="shared" si="1"/>
        <v>0</v>
      </c>
      <c r="G18" s="1710">
        <f t="shared" si="1"/>
        <v>52160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9134</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750</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9884</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131703</v>
      </c>
      <c r="D65" s="466">
        <v>30536</v>
      </c>
      <c r="E65" s="466">
        <v>21267</v>
      </c>
      <c r="F65" s="467">
        <v>27043</v>
      </c>
      <c r="G65" s="466">
        <v>3799</v>
      </c>
      <c r="H65" s="466">
        <v>3949</v>
      </c>
      <c r="I65" s="466">
        <v>47586</v>
      </c>
      <c r="J65" s="467">
        <v>1795</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131703</v>
      </c>
      <c r="D67" s="1688">
        <f t="shared" ref="D67:K67" si="2">SUM(D65:D66)</f>
        <v>30536</v>
      </c>
      <c r="E67" s="1688">
        <f t="shared" si="2"/>
        <v>21267</v>
      </c>
      <c r="F67" s="1688">
        <f t="shared" si="2"/>
        <v>27043</v>
      </c>
      <c r="G67" s="1688">
        <f t="shared" si="2"/>
        <v>3799</v>
      </c>
      <c r="H67" s="1688">
        <f t="shared" si="2"/>
        <v>3949</v>
      </c>
      <c r="I67" s="1688">
        <f t="shared" si="2"/>
        <v>47586</v>
      </c>
      <c r="J67" s="1688">
        <f t="shared" si="2"/>
        <v>1795</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198364</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3639</v>
      </c>
      <c r="D73" s="468"/>
      <c r="E73" s="468"/>
      <c r="F73" s="468"/>
      <c r="G73" s="468"/>
      <c r="H73" s="468"/>
      <c r="I73" s="468"/>
      <c r="J73" s="468"/>
      <c r="K73" s="468"/>
    </row>
    <row r="74" spans="1:11" ht="12.75" customHeight="1" x14ac:dyDescent="0.2">
      <c r="A74" s="463" t="s">
        <v>25</v>
      </c>
      <c r="B74" s="470">
        <v>1690</v>
      </c>
      <c r="C74" s="551">
        <f>9355+589</f>
        <v>9944</v>
      </c>
      <c r="D74" s="468"/>
      <c r="E74" s="468"/>
      <c r="F74" s="468"/>
      <c r="G74" s="468"/>
      <c r="H74" s="468"/>
      <c r="I74" s="468"/>
      <c r="J74" s="468"/>
      <c r="K74" s="468"/>
    </row>
    <row r="75" spans="1:11" ht="12.75" customHeight="1" thickBot="1" x14ac:dyDescent="0.25">
      <c r="A75" s="1708" t="s">
        <v>548</v>
      </c>
      <c r="B75" s="1709"/>
      <c r="C75" s="1688">
        <f>SUM(C69:C74)</f>
        <v>211947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f>13888+35656</f>
        <v>49544</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f>7027+27</f>
        <v>7054</v>
      </c>
      <c r="D81" s="466"/>
      <c r="E81" s="468"/>
      <c r="F81" s="468"/>
      <c r="G81" s="468"/>
      <c r="H81" s="468"/>
      <c r="I81" s="468"/>
      <c r="J81" s="468"/>
      <c r="K81" s="468"/>
    </row>
    <row r="82" spans="1:11" ht="12.75" customHeight="1" thickBot="1" x14ac:dyDescent="0.25">
      <c r="A82" s="1708" t="s">
        <v>241</v>
      </c>
      <c r="B82" s="1709"/>
      <c r="C82" s="1707">
        <f>SUM(C77:C81)</f>
        <v>56598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365527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365527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21937</v>
      </c>
      <c r="D95" s="551">
        <v>14340</v>
      </c>
      <c r="E95" s="521"/>
      <c r="F95" s="521"/>
      <c r="G95" s="521"/>
      <c r="H95" s="521"/>
      <c r="I95" s="521"/>
      <c r="J95" s="521"/>
      <c r="K95" s="521"/>
    </row>
    <row r="96" spans="1:11" ht="12.75" customHeight="1" x14ac:dyDescent="0.2">
      <c r="A96" s="463" t="s">
        <v>391</v>
      </c>
      <c r="B96" s="470">
        <v>1920</v>
      </c>
      <c r="C96" s="551">
        <f>16470+3754</f>
        <v>20224</v>
      </c>
      <c r="D96" s="551"/>
      <c r="E96" s="479"/>
      <c r="F96" s="478"/>
      <c r="G96" s="478"/>
      <c r="H96" s="478"/>
      <c r="I96" s="478"/>
      <c r="J96" s="478"/>
      <c r="K96" s="478"/>
    </row>
    <row r="97" spans="1:12" ht="12.75" customHeight="1" x14ac:dyDescent="0.2">
      <c r="A97" s="1495" t="s">
        <v>244</v>
      </c>
      <c r="B97" s="559">
        <v>1930</v>
      </c>
      <c r="C97" s="489"/>
      <c r="D97" s="467">
        <v>70001</v>
      </c>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143171</v>
      </c>
      <c r="D99" s="466"/>
      <c r="E99" s="466"/>
      <c r="F99" s="466"/>
      <c r="G99" s="466"/>
      <c r="H99" s="466"/>
      <c r="I99" s="468"/>
      <c r="J99" s="467"/>
      <c r="K99" s="466"/>
    </row>
    <row r="100" spans="1:12" ht="12.75" customHeight="1" x14ac:dyDescent="0.2">
      <c r="A100" s="463" t="s">
        <v>245</v>
      </c>
      <c r="B100" s="470">
        <v>1960</v>
      </c>
      <c r="C100" s="489">
        <v>714</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f>9211+7051+28056+24623</f>
        <v>68941</v>
      </c>
      <c r="D107" s="466">
        <v>11074</v>
      </c>
      <c r="E107" s="466"/>
      <c r="F107" s="466"/>
      <c r="G107" s="466"/>
      <c r="H107" s="466"/>
      <c r="I107" s="466"/>
      <c r="J107" s="467"/>
      <c r="K107" s="466"/>
    </row>
    <row r="108" spans="1:12" ht="12.75" customHeight="1" thickBot="1" x14ac:dyDescent="0.25">
      <c r="A108" s="1708" t="s">
        <v>487</v>
      </c>
      <c r="B108" s="1712"/>
      <c r="C108" s="1707">
        <f>SUM(C95:C107)</f>
        <v>254987</v>
      </c>
      <c r="D108" s="1707">
        <f t="shared" ref="D108:K108" si="3">SUM(D95:D107)</f>
        <v>95415</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13232425</v>
      </c>
      <c r="D109" s="1715">
        <f t="shared" si="4"/>
        <v>1340363</v>
      </c>
      <c r="E109" s="1715">
        <f t="shared" si="4"/>
        <v>2236736</v>
      </c>
      <c r="F109" s="1715">
        <f t="shared" si="4"/>
        <v>452586</v>
      </c>
      <c r="G109" s="1715">
        <f t="shared" si="4"/>
        <v>448037</v>
      </c>
      <c r="H109" s="1715">
        <f t="shared" si="4"/>
        <v>3949</v>
      </c>
      <c r="I109" s="1715">
        <f t="shared" si="4"/>
        <v>116295</v>
      </c>
      <c r="J109" s="1715">
        <f t="shared" si="4"/>
        <v>149255</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885311</v>
      </c>
      <c r="D117" s="481">
        <v>500000</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885311</v>
      </c>
      <c r="D122" s="1707">
        <f t="shared" si="5"/>
        <v>500000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108456</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12019</v>
      </c>
      <c r="D128" s="561"/>
      <c r="E128" s="468"/>
      <c r="F128" s="466"/>
      <c r="G128" s="468"/>
      <c r="H128" s="468"/>
      <c r="I128" s="468"/>
      <c r="J128" s="468"/>
      <c r="K128" s="468"/>
    </row>
    <row r="129" spans="1:11" ht="12.75" customHeight="1" x14ac:dyDescent="0.2">
      <c r="A129" s="463" t="s">
        <v>1447</v>
      </c>
      <c r="B129" s="562">
        <v>3130</v>
      </c>
      <c r="C129" s="466">
        <v>1596</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122071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1229</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1229</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1256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13397</v>
      </c>
      <c r="G152" s="467"/>
      <c r="H152" s="468"/>
      <c r="I152" s="468"/>
      <c r="J152" s="468"/>
      <c r="K152" s="468"/>
    </row>
    <row r="153" spans="1:11" ht="12.75" customHeight="1" x14ac:dyDescent="0.2">
      <c r="A153" s="463" t="s">
        <v>1057</v>
      </c>
      <c r="B153" s="562">
        <v>3510</v>
      </c>
      <c r="C153" s="551"/>
      <c r="D153" s="466"/>
      <c r="E153" s="561"/>
      <c r="F153" s="466">
        <v>208951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222348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87958</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212514</v>
      </c>
      <c r="D169" s="1722">
        <f t="shared" si="6"/>
        <v>0</v>
      </c>
      <c r="E169" s="1722">
        <f t="shared" si="6"/>
        <v>0</v>
      </c>
      <c r="F169" s="1722">
        <f t="shared" si="6"/>
        <v>222348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1097825</v>
      </c>
      <c r="D170" s="1715">
        <f t="shared" si="7"/>
        <v>500000</v>
      </c>
      <c r="E170" s="1715">
        <f t="shared" si="7"/>
        <v>0</v>
      </c>
      <c r="F170" s="1715">
        <f t="shared" si="7"/>
        <v>222348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84461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84461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128563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128563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12135</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12135</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383421</v>
      </c>
      <c r="D213" s="466"/>
      <c r="E213" s="468"/>
      <c r="F213" s="466"/>
      <c r="G213" s="466"/>
      <c r="H213" s="468"/>
      <c r="I213" s="468"/>
      <c r="J213" s="468"/>
      <c r="K213" s="468"/>
    </row>
    <row r="214" spans="1:11" ht="12.75" customHeight="1" x14ac:dyDescent="0.2">
      <c r="A214" s="463" t="s">
        <v>1054</v>
      </c>
      <c r="B214" s="470">
        <v>4625</v>
      </c>
      <c r="C214" s="551">
        <v>26308</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409729</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34760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1937</v>
      </c>
      <c r="B261" s="470">
        <v>4981</v>
      </c>
      <c r="C261" s="575"/>
      <c r="D261" s="576"/>
      <c r="E261" s="468"/>
      <c r="F261" s="576"/>
      <c r="G261" s="576"/>
      <c r="H261" s="468"/>
      <c r="I261" s="468"/>
      <c r="J261" s="468"/>
      <c r="K261" s="468"/>
    </row>
    <row r="262" spans="1:11" ht="12.75" customHeight="1" thickTop="1" thickBot="1" x14ac:dyDescent="0.25">
      <c r="A262" s="1932"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669648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669648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14999898</v>
      </c>
      <c r="D268" s="1715">
        <f t="shared" si="12"/>
        <v>1840363</v>
      </c>
      <c r="E268" s="1715">
        <f t="shared" si="12"/>
        <v>2236736</v>
      </c>
      <c r="F268" s="1715">
        <f t="shared" si="12"/>
        <v>674934</v>
      </c>
      <c r="G268" s="1715">
        <f t="shared" si="12"/>
        <v>448037</v>
      </c>
      <c r="H268" s="1715">
        <f t="shared" si="12"/>
        <v>3949</v>
      </c>
      <c r="I268" s="1715">
        <f t="shared" si="12"/>
        <v>116295</v>
      </c>
      <c r="J268" s="1715">
        <f t="shared" si="12"/>
        <v>149255</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topLeftCell="A156" workbookViewId="0"/>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5563183</v>
      </c>
      <c r="D5" s="466">
        <v>884095</v>
      </c>
      <c r="E5" s="466">
        <v>9254</v>
      </c>
      <c r="F5" s="466">
        <v>439555</v>
      </c>
      <c r="G5" s="466"/>
      <c r="H5" s="466">
        <v>275</v>
      </c>
      <c r="I5" s="467">
        <v>3906</v>
      </c>
      <c r="J5" s="467"/>
      <c r="K5" s="1671">
        <f>SUM(C5:J5)</f>
        <v>6900268</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77721</v>
      </c>
      <c r="D7" s="467">
        <v>20631</v>
      </c>
      <c r="E7" s="467">
        <v>2035</v>
      </c>
      <c r="F7" s="467">
        <v>10542</v>
      </c>
      <c r="G7" s="467"/>
      <c r="H7" s="467">
        <v>2115</v>
      </c>
      <c r="I7" s="467"/>
      <c r="J7" s="467"/>
      <c r="K7" s="1671">
        <f t="shared" ref="K7:K32" si="0">SUM(C7:J7)</f>
        <v>113044</v>
      </c>
      <c r="L7" s="466"/>
    </row>
    <row r="8" spans="1:14" x14ac:dyDescent="0.2">
      <c r="A8" s="1504" t="s">
        <v>164</v>
      </c>
      <c r="B8" s="614">
        <v>1200</v>
      </c>
      <c r="C8" s="466">
        <v>1634651</v>
      </c>
      <c r="D8" s="466">
        <v>350673</v>
      </c>
      <c r="E8" s="466">
        <v>290533</v>
      </c>
      <c r="F8" s="466">
        <v>24795</v>
      </c>
      <c r="G8" s="466"/>
      <c r="H8" s="466">
        <v>2073</v>
      </c>
      <c r="I8" s="467">
        <v>15104</v>
      </c>
      <c r="J8" s="467"/>
      <c r="K8" s="1671">
        <f t="shared" si="0"/>
        <v>2317829</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151584</v>
      </c>
      <c r="D10" s="466">
        <v>16472</v>
      </c>
      <c r="E10" s="466"/>
      <c r="F10" s="466">
        <v>2340</v>
      </c>
      <c r="G10" s="466"/>
      <c r="H10" s="466"/>
      <c r="I10" s="467"/>
      <c r="J10" s="467"/>
      <c r="K10" s="1671">
        <f t="shared" si="0"/>
        <v>170396</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v>8643</v>
      </c>
      <c r="F14" s="466">
        <v>38320</v>
      </c>
      <c r="G14" s="466">
        <v>5178</v>
      </c>
      <c r="H14" s="466"/>
      <c r="I14" s="467">
        <v>4008</v>
      </c>
      <c r="J14" s="467"/>
      <c r="K14" s="1671">
        <f t="shared" si="0"/>
        <v>56149</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102166</v>
      </c>
      <c r="D18" s="466">
        <v>1427</v>
      </c>
      <c r="E18" s="466"/>
      <c r="F18" s="466"/>
      <c r="G18" s="466"/>
      <c r="H18" s="466"/>
      <c r="I18" s="467"/>
      <c r="J18" s="467"/>
      <c r="K18" s="1671">
        <f t="shared" si="0"/>
        <v>103593</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7529305</v>
      </c>
      <c r="D33" s="1670">
        <f t="shared" ref="D33:L33" si="1">SUM(D5:D32)</f>
        <v>1273298</v>
      </c>
      <c r="E33" s="1670">
        <f t="shared" si="1"/>
        <v>310465</v>
      </c>
      <c r="F33" s="1670">
        <f t="shared" si="1"/>
        <v>515552</v>
      </c>
      <c r="G33" s="1670">
        <f t="shared" si="1"/>
        <v>5178</v>
      </c>
      <c r="H33" s="1670">
        <f t="shared" si="1"/>
        <v>4463</v>
      </c>
      <c r="I33" s="1670">
        <f t="shared" si="1"/>
        <v>23018</v>
      </c>
      <c r="J33" s="1670">
        <f t="shared" si="1"/>
        <v>0</v>
      </c>
      <c r="K33" s="1670">
        <f t="shared" si="1"/>
        <v>9661279</v>
      </c>
      <c r="L33" s="1670">
        <f t="shared" si="1"/>
        <v>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198547</v>
      </c>
      <c r="D36" s="481">
        <v>45454</v>
      </c>
      <c r="E36" s="481"/>
      <c r="F36" s="481"/>
      <c r="G36" s="481"/>
      <c r="H36" s="481"/>
      <c r="I36" s="467"/>
      <c r="J36" s="467"/>
      <c r="K36" s="1671">
        <f t="shared" ref="K36:K41" si="2">SUM(C36:J36)</f>
        <v>244001</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115418</v>
      </c>
      <c r="D38" s="466">
        <v>6063</v>
      </c>
      <c r="E38" s="466"/>
      <c r="F38" s="466">
        <v>3398</v>
      </c>
      <c r="G38" s="466"/>
      <c r="H38" s="466"/>
      <c r="I38" s="467"/>
      <c r="J38" s="467"/>
      <c r="K38" s="1671">
        <f t="shared" si="2"/>
        <v>124879</v>
      </c>
      <c r="L38" s="466"/>
    </row>
    <row r="39" spans="1:14" x14ac:dyDescent="0.2">
      <c r="A39" s="1504" t="s">
        <v>199</v>
      </c>
      <c r="B39" s="614">
        <v>2140</v>
      </c>
      <c r="C39" s="466">
        <v>166835</v>
      </c>
      <c r="D39" s="466">
        <v>26500</v>
      </c>
      <c r="E39" s="466">
        <v>4550</v>
      </c>
      <c r="F39" s="466"/>
      <c r="G39" s="466"/>
      <c r="H39" s="466"/>
      <c r="I39" s="467"/>
      <c r="J39" s="467"/>
      <c r="K39" s="1671">
        <f t="shared" si="2"/>
        <v>197885</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v>36562</v>
      </c>
      <c r="D41" s="466">
        <v>77</v>
      </c>
      <c r="E41" s="466"/>
      <c r="F41" s="466"/>
      <c r="G41" s="466"/>
      <c r="H41" s="466"/>
      <c r="I41" s="467"/>
      <c r="J41" s="467"/>
      <c r="K41" s="1671">
        <f t="shared" si="2"/>
        <v>36639</v>
      </c>
      <c r="L41" s="466"/>
    </row>
    <row r="42" spans="1:14" ht="12.75" customHeight="1" thickBot="1" x14ac:dyDescent="0.25">
      <c r="A42" s="1668" t="s">
        <v>560</v>
      </c>
      <c r="B42" s="1669" t="s">
        <v>716</v>
      </c>
      <c r="C42" s="1670">
        <f>SUM(C36:C41)</f>
        <v>517362</v>
      </c>
      <c r="D42" s="1670">
        <f t="shared" ref="D42:L42" si="3">SUM(D36:D41)</f>
        <v>78094</v>
      </c>
      <c r="E42" s="1670">
        <f t="shared" si="3"/>
        <v>4550</v>
      </c>
      <c r="F42" s="1670">
        <f t="shared" si="3"/>
        <v>3398</v>
      </c>
      <c r="G42" s="1670">
        <f t="shared" si="3"/>
        <v>0</v>
      </c>
      <c r="H42" s="1670">
        <f t="shared" si="3"/>
        <v>0</v>
      </c>
      <c r="I42" s="1670">
        <f t="shared" si="3"/>
        <v>0</v>
      </c>
      <c r="J42" s="1670">
        <f t="shared" si="3"/>
        <v>0</v>
      </c>
      <c r="K42" s="1670">
        <f t="shared" si="3"/>
        <v>603404</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283485</v>
      </c>
      <c r="D44" s="481">
        <v>62569</v>
      </c>
      <c r="E44" s="481">
        <v>70966</v>
      </c>
      <c r="F44" s="481">
        <v>17015</v>
      </c>
      <c r="G44" s="481"/>
      <c r="H44" s="481"/>
      <c r="I44" s="467"/>
      <c r="J44" s="467"/>
      <c r="K44" s="1672">
        <f>SUM(C44:J44)</f>
        <v>434035</v>
      </c>
      <c r="L44" s="481"/>
    </row>
    <row r="45" spans="1:14" x14ac:dyDescent="0.2">
      <c r="A45" s="1504" t="s">
        <v>815</v>
      </c>
      <c r="B45" s="614">
        <v>2220</v>
      </c>
      <c r="C45" s="466"/>
      <c r="D45" s="466"/>
      <c r="E45" s="466"/>
      <c r="F45" s="466">
        <v>7961</v>
      </c>
      <c r="G45" s="466"/>
      <c r="H45" s="466"/>
      <c r="I45" s="467"/>
      <c r="J45" s="467"/>
      <c r="K45" s="1672">
        <f>SUM(C45:J45)</f>
        <v>7961</v>
      </c>
      <c r="L45" s="466"/>
    </row>
    <row r="46" spans="1:14" x14ac:dyDescent="0.2">
      <c r="A46" s="1504" t="s">
        <v>816</v>
      </c>
      <c r="B46" s="614">
        <v>2230</v>
      </c>
      <c r="C46" s="466"/>
      <c r="D46" s="466"/>
      <c r="E46" s="466"/>
      <c r="F46" s="466">
        <v>9432</v>
      </c>
      <c r="G46" s="466"/>
      <c r="H46" s="466"/>
      <c r="I46" s="467"/>
      <c r="J46" s="467"/>
      <c r="K46" s="1672">
        <f>SUM(C46:J46)</f>
        <v>9432</v>
      </c>
      <c r="L46" s="466"/>
    </row>
    <row r="47" spans="1:14" ht="12.75" customHeight="1" thickBot="1" x14ac:dyDescent="0.25">
      <c r="A47" s="1668" t="s">
        <v>561</v>
      </c>
      <c r="B47" s="1669" t="s">
        <v>32</v>
      </c>
      <c r="C47" s="1670">
        <f>SUM(C44:C46)</f>
        <v>283485</v>
      </c>
      <c r="D47" s="1670">
        <f t="shared" ref="D47:K47" si="4">SUM(D44:D46)</f>
        <v>62569</v>
      </c>
      <c r="E47" s="1670">
        <f t="shared" si="4"/>
        <v>70966</v>
      </c>
      <c r="F47" s="1670">
        <f t="shared" si="4"/>
        <v>34408</v>
      </c>
      <c r="G47" s="1670">
        <f t="shared" si="4"/>
        <v>0</v>
      </c>
      <c r="H47" s="1670">
        <f t="shared" si="4"/>
        <v>0</v>
      </c>
      <c r="I47" s="1670">
        <f t="shared" si="4"/>
        <v>0</v>
      </c>
      <c r="J47" s="1670">
        <f t="shared" si="4"/>
        <v>0</v>
      </c>
      <c r="K47" s="1670">
        <f t="shared" si="4"/>
        <v>451428</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1776</v>
      </c>
      <c r="D49" s="481"/>
      <c r="E49" s="481">
        <v>98586</v>
      </c>
      <c r="F49" s="481">
        <v>4968</v>
      </c>
      <c r="G49" s="481"/>
      <c r="H49" s="481">
        <v>8709</v>
      </c>
      <c r="I49" s="467"/>
      <c r="J49" s="467"/>
      <c r="K49" s="1672">
        <f>SUM(C49:J49)</f>
        <v>114039</v>
      </c>
      <c r="L49" s="481"/>
    </row>
    <row r="50" spans="1:14" x14ac:dyDescent="0.2">
      <c r="A50" s="1504" t="s">
        <v>818</v>
      </c>
      <c r="B50" s="614">
        <v>2320</v>
      </c>
      <c r="C50" s="466">
        <v>272218</v>
      </c>
      <c r="D50" s="466">
        <v>70257</v>
      </c>
      <c r="E50" s="466">
        <v>4836</v>
      </c>
      <c r="F50" s="466">
        <v>6560</v>
      </c>
      <c r="G50" s="466"/>
      <c r="H50" s="466"/>
      <c r="I50" s="467"/>
      <c r="J50" s="467"/>
      <c r="K50" s="1672">
        <f>SUM(C50:J50)</f>
        <v>353871</v>
      </c>
      <c r="L50" s="466"/>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273994</v>
      </c>
      <c r="D53" s="1670">
        <f t="shared" ref="D53:L53" si="5">SUM(D49:D52)</f>
        <v>70257</v>
      </c>
      <c r="E53" s="1670">
        <f t="shared" si="5"/>
        <v>103422</v>
      </c>
      <c r="F53" s="1670">
        <f t="shared" si="5"/>
        <v>11528</v>
      </c>
      <c r="G53" s="1670">
        <f t="shared" si="5"/>
        <v>0</v>
      </c>
      <c r="H53" s="1670">
        <f t="shared" si="5"/>
        <v>8709</v>
      </c>
      <c r="I53" s="1670">
        <f t="shared" si="5"/>
        <v>0</v>
      </c>
      <c r="J53" s="1670">
        <f t="shared" si="5"/>
        <v>0</v>
      </c>
      <c r="K53" s="1670">
        <f t="shared" si="5"/>
        <v>467910</v>
      </c>
      <c r="L53" s="1670">
        <f t="shared" si="5"/>
        <v>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689259</v>
      </c>
      <c r="D55" s="481">
        <v>209222</v>
      </c>
      <c r="E55" s="481">
        <v>17687</v>
      </c>
      <c r="F55" s="481">
        <v>3553</v>
      </c>
      <c r="G55" s="481"/>
      <c r="H55" s="481">
        <v>1081</v>
      </c>
      <c r="I55" s="467">
        <v>6235</v>
      </c>
      <c r="J55" s="467"/>
      <c r="K55" s="1672">
        <f>SUM(C55:J55)</f>
        <v>927037</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689259</v>
      </c>
      <c r="D57" s="1674">
        <f t="shared" ref="D57:K57" si="6">SUM(D55:D56)</f>
        <v>209222</v>
      </c>
      <c r="E57" s="1674">
        <f t="shared" si="6"/>
        <v>17687</v>
      </c>
      <c r="F57" s="1674">
        <f t="shared" si="6"/>
        <v>3553</v>
      </c>
      <c r="G57" s="1674">
        <f t="shared" si="6"/>
        <v>0</v>
      </c>
      <c r="H57" s="1674">
        <f t="shared" si="6"/>
        <v>1081</v>
      </c>
      <c r="I57" s="1674">
        <f t="shared" si="6"/>
        <v>6235</v>
      </c>
      <c r="J57" s="1674">
        <f t="shared" si="6"/>
        <v>0</v>
      </c>
      <c r="K57" s="1674">
        <f t="shared" si="6"/>
        <v>927037</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53376</v>
      </c>
      <c r="D59" s="481">
        <v>19052</v>
      </c>
      <c r="E59" s="481">
        <v>5957</v>
      </c>
      <c r="F59" s="481">
        <v>1595</v>
      </c>
      <c r="G59" s="481"/>
      <c r="H59" s="481"/>
      <c r="I59" s="467"/>
      <c r="J59" s="467"/>
      <c r="K59" s="1672">
        <f t="shared" ref="K59:K64" si="7">SUM(C59:J59)</f>
        <v>79980</v>
      </c>
      <c r="L59" s="481"/>
      <c r="M59" s="609"/>
      <c r="N59" s="609"/>
    </row>
    <row r="60" spans="1:14" s="343" customFormat="1" x14ac:dyDescent="0.2">
      <c r="A60" s="1504" t="s">
        <v>463</v>
      </c>
      <c r="B60" s="614">
        <v>2520</v>
      </c>
      <c r="C60" s="466">
        <v>96990</v>
      </c>
      <c r="D60" s="466">
        <v>17216</v>
      </c>
      <c r="E60" s="466">
        <v>20438</v>
      </c>
      <c r="F60" s="466">
        <v>1115</v>
      </c>
      <c r="G60" s="466"/>
      <c r="H60" s="466"/>
      <c r="I60" s="467"/>
      <c r="J60" s="467"/>
      <c r="K60" s="1672">
        <f t="shared" si="7"/>
        <v>135759</v>
      </c>
      <c r="L60" s="466"/>
      <c r="M60" s="609"/>
      <c r="N60" s="609"/>
    </row>
    <row r="61" spans="1:14" s="343" customFormat="1" x14ac:dyDescent="0.2">
      <c r="A61" s="1504" t="s">
        <v>197</v>
      </c>
      <c r="B61" s="614">
        <v>2540</v>
      </c>
      <c r="C61" s="466"/>
      <c r="D61" s="466"/>
      <c r="E61" s="466">
        <v>36986</v>
      </c>
      <c r="F61" s="466"/>
      <c r="G61" s="466"/>
      <c r="H61" s="466"/>
      <c r="I61" s="467"/>
      <c r="J61" s="467"/>
      <c r="K61" s="1672">
        <f t="shared" si="7"/>
        <v>36986</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161870</v>
      </c>
      <c r="D63" s="466">
        <v>17050</v>
      </c>
      <c r="E63" s="466">
        <v>2707</v>
      </c>
      <c r="F63" s="466">
        <v>101984</v>
      </c>
      <c r="G63" s="466"/>
      <c r="H63" s="466">
        <v>910</v>
      </c>
      <c r="I63" s="467"/>
      <c r="J63" s="467"/>
      <c r="K63" s="1672">
        <f t="shared" si="7"/>
        <v>284521</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312236</v>
      </c>
      <c r="D65" s="1670">
        <f t="shared" ref="D65:L65" si="8">SUM(D59:D64)</f>
        <v>53318</v>
      </c>
      <c r="E65" s="1670">
        <f t="shared" si="8"/>
        <v>66088</v>
      </c>
      <c r="F65" s="1670">
        <f t="shared" si="8"/>
        <v>104694</v>
      </c>
      <c r="G65" s="1670">
        <f t="shared" si="8"/>
        <v>0</v>
      </c>
      <c r="H65" s="1670">
        <f t="shared" si="8"/>
        <v>910</v>
      </c>
      <c r="I65" s="1670">
        <f t="shared" si="8"/>
        <v>0</v>
      </c>
      <c r="J65" s="1670">
        <f t="shared" si="8"/>
        <v>0</v>
      </c>
      <c r="K65" s="1670">
        <f t="shared" si="8"/>
        <v>537246</v>
      </c>
      <c r="L65" s="1670">
        <f t="shared" si="8"/>
        <v>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v>7800</v>
      </c>
      <c r="D69" s="466"/>
      <c r="E69" s="466">
        <v>10812</v>
      </c>
      <c r="F69" s="466"/>
      <c r="G69" s="466"/>
      <c r="H69" s="466"/>
      <c r="I69" s="467"/>
      <c r="J69" s="467"/>
      <c r="K69" s="1672">
        <f>SUM(C69:J69)</f>
        <v>18612</v>
      </c>
      <c r="L69" s="466"/>
      <c r="M69" s="609"/>
      <c r="N69" s="609"/>
    </row>
    <row r="70" spans="1:14" s="343" customFormat="1" x14ac:dyDescent="0.2">
      <c r="A70" s="1504" t="s">
        <v>403</v>
      </c>
      <c r="B70" s="614">
        <v>2640</v>
      </c>
      <c r="C70" s="466"/>
      <c r="D70" s="466"/>
      <c r="E70" s="466">
        <v>1812</v>
      </c>
      <c r="F70" s="466"/>
      <c r="G70" s="466"/>
      <c r="H70" s="466"/>
      <c r="I70" s="467"/>
      <c r="J70" s="467"/>
      <c r="K70" s="1672">
        <f>SUM(C70:J70)</f>
        <v>1812</v>
      </c>
      <c r="L70" s="466"/>
      <c r="M70" s="609"/>
      <c r="N70" s="609"/>
    </row>
    <row r="71" spans="1:14" s="343" customFormat="1" x14ac:dyDescent="0.2">
      <c r="A71" s="1504" t="s">
        <v>404</v>
      </c>
      <c r="B71" s="614">
        <v>2660</v>
      </c>
      <c r="C71" s="466">
        <v>183883</v>
      </c>
      <c r="D71" s="466">
        <v>54322</v>
      </c>
      <c r="E71" s="466">
        <f>164947+110000</f>
        <v>274947</v>
      </c>
      <c r="F71" s="466">
        <v>31833</v>
      </c>
      <c r="G71" s="466">
        <v>81525</v>
      </c>
      <c r="H71" s="466"/>
      <c r="I71" s="467">
        <v>37145</v>
      </c>
      <c r="J71" s="467"/>
      <c r="K71" s="1672">
        <f>SUM(C71:J71)</f>
        <v>663655</v>
      </c>
      <c r="L71" s="466"/>
      <c r="M71" s="609"/>
      <c r="N71" s="609"/>
    </row>
    <row r="72" spans="1:14" s="343" customFormat="1" ht="12.75" customHeight="1" thickBot="1" x14ac:dyDescent="0.25">
      <c r="A72" s="1668" t="s">
        <v>37</v>
      </c>
      <c r="B72" s="1675" t="s">
        <v>36</v>
      </c>
      <c r="C72" s="1670">
        <f>SUM(C67:C71)</f>
        <v>191683</v>
      </c>
      <c r="D72" s="1670">
        <f t="shared" ref="D72:K72" si="9">SUM(D67:D71)</f>
        <v>54322</v>
      </c>
      <c r="E72" s="1670">
        <f t="shared" si="9"/>
        <v>287571</v>
      </c>
      <c r="F72" s="1670">
        <f t="shared" si="9"/>
        <v>31833</v>
      </c>
      <c r="G72" s="1670">
        <f t="shared" si="9"/>
        <v>81525</v>
      </c>
      <c r="H72" s="1670">
        <f t="shared" si="9"/>
        <v>0</v>
      </c>
      <c r="I72" s="1670">
        <f t="shared" si="9"/>
        <v>37145</v>
      </c>
      <c r="J72" s="1670">
        <f t="shared" si="9"/>
        <v>0</v>
      </c>
      <c r="K72" s="1670">
        <f t="shared" si="9"/>
        <v>684079</v>
      </c>
      <c r="L72" s="1670">
        <f>SUM(L67:L71)</f>
        <v>0</v>
      </c>
      <c r="M72" s="609"/>
      <c r="N72" s="609"/>
    </row>
    <row r="73" spans="1:14" s="343" customFormat="1" ht="14.25" thickTop="1" thickBot="1" x14ac:dyDescent="0.25">
      <c r="A73" s="1510" t="s">
        <v>980</v>
      </c>
      <c r="B73" s="632" t="s">
        <v>574</v>
      </c>
      <c r="C73" s="573"/>
      <c r="D73" s="573"/>
      <c r="E73" s="573"/>
      <c r="F73" s="573">
        <v>5897</v>
      </c>
      <c r="G73" s="573"/>
      <c r="H73" s="573"/>
      <c r="I73" s="531"/>
      <c r="J73" s="531"/>
      <c r="K73" s="1670">
        <f>SUM(C73:J73)</f>
        <v>5897</v>
      </c>
      <c r="L73" s="576"/>
      <c r="M73" s="609"/>
      <c r="N73" s="609"/>
    </row>
    <row r="74" spans="1:14" ht="12.75" customHeight="1" thickTop="1" thickBot="1" x14ac:dyDescent="0.25">
      <c r="A74" s="1668" t="s">
        <v>811</v>
      </c>
      <c r="B74" s="1676">
        <v>2000</v>
      </c>
      <c r="C74" s="1677">
        <f>SUM(C42,C47,C53,C57,C65,C72,C73)</f>
        <v>2268019</v>
      </c>
      <c r="D74" s="1677">
        <f t="shared" ref="D74:K74" si="10">SUM(D42,D47,D53,D57,D65,D72,D73)</f>
        <v>527782</v>
      </c>
      <c r="E74" s="1677">
        <f t="shared" si="10"/>
        <v>550284</v>
      </c>
      <c r="F74" s="1677">
        <f t="shared" si="10"/>
        <v>195311</v>
      </c>
      <c r="G74" s="1677">
        <f t="shared" si="10"/>
        <v>81525</v>
      </c>
      <c r="H74" s="1677">
        <f t="shared" si="10"/>
        <v>10700</v>
      </c>
      <c r="I74" s="1677">
        <f t="shared" si="10"/>
        <v>43380</v>
      </c>
      <c r="J74" s="1677">
        <f t="shared" si="10"/>
        <v>0</v>
      </c>
      <c r="K74" s="1677">
        <f t="shared" si="10"/>
        <v>3677001</v>
      </c>
      <c r="L74" s="1677">
        <f>SUM(L42,L47,L53,L57,L65,L72,L73)</f>
        <v>0</v>
      </c>
    </row>
    <row r="75" spans="1:14" s="259" customFormat="1" ht="15.75" customHeight="1" thickTop="1" thickBot="1" x14ac:dyDescent="0.25">
      <c r="A75" s="1610" t="s">
        <v>47</v>
      </c>
      <c r="B75" s="1611" t="s">
        <v>575</v>
      </c>
      <c r="C75" s="573"/>
      <c r="D75" s="573"/>
      <c r="E75" s="573">
        <v>34725</v>
      </c>
      <c r="F75" s="573">
        <v>1142</v>
      </c>
      <c r="G75" s="573"/>
      <c r="H75" s="573"/>
      <c r="I75" s="531"/>
      <c r="J75" s="531"/>
      <c r="K75" s="1670">
        <f>SUM(C75:J75)</f>
        <v>35867</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1650</v>
      </c>
      <c r="F78" s="616"/>
      <c r="G78" s="616"/>
      <c r="H78" s="634"/>
      <c r="I78" s="477"/>
      <c r="J78" s="477"/>
      <c r="K78" s="1671">
        <f t="shared" ref="K78:K83" si="11">SUM(C78:J78)</f>
        <v>1650</v>
      </c>
      <c r="L78" s="481"/>
    </row>
    <row r="79" spans="1:14" x14ac:dyDescent="0.2">
      <c r="A79" s="1504" t="s">
        <v>304</v>
      </c>
      <c r="B79" s="614">
        <v>4120</v>
      </c>
      <c r="C79" s="616"/>
      <c r="D79" s="616"/>
      <c r="E79" s="466">
        <v>211522</v>
      </c>
      <c r="F79" s="616"/>
      <c r="G79" s="616"/>
      <c r="H79" s="466">
        <v>696685</v>
      </c>
      <c r="I79" s="477"/>
      <c r="J79" s="477"/>
      <c r="K79" s="1671">
        <f t="shared" si="11"/>
        <v>908207</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213172</v>
      </c>
      <c r="F84" s="616"/>
      <c r="G84" s="616"/>
      <c r="H84" s="1670">
        <f>SUM(H78:H83)</f>
        <v>696685</v>
      </c>
      <c r="I84" s="477"/>
      <c r="J84" s="477"/>
      <c r="K84" s="1670">
        <f>SUM(K78:K83)</f>
        <v>909857</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213172</v>
      </c>
      <c r="F102" s="616"/>
      <c r="G102" s="616"/>
      <c r="H102" s="1677">
        <f>SUM(H84,H92,H100,H101)</f>
        <v>696685</v>
      </c>
      <c r="I102" s="477"/>
      <c r="J102" s="477"/>
      <c r="K102" s="1677">
        <f>SUM(K84,K92,K100,K101)</f>
        <v>909857</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9797324</v>
      </c>
      <c r="D114" s="1670">
        <f t="shared" ref="D114:K114" si="13">SUM(D33,D74,D75,D102,D112,D113)</f>
        <v>1801080</v>
      </c>
      <c r="E114" s="1670">
        <f t="shared" si="13"/>
        <v>1108646</v>
      </c>
      <c r="F114" s="1670">
        <f t="shared" si="13"/>
        <v>712005</v>
      </c>
      <c r="G114" s="1670">
        <f t="shared" si="13"/>
        <v>86703</v>
      </c>
      <c r="H114" s="1670">
        <f>SUM(H33,H74,H75,H102,H112,H113)</f>
        <v>711848</v>
      </c>
      <c r="I114" s="1670">
        <f t="shared" si="13"/>
        <v>66398</v>
      </c>
      <c r="J114" s="1670">
        <f t="shared" si="13"/>
        <v>0</v>
      </c>
      <c r="K114" s="1670">
        <f t="shared" si="13"/>
        <v>14284004</v>
      </c>
      <c r="L114" s="1670">
        <f>SUM(L33,L74,L75,L102,L112,L113)</f>
        <v>0</v>
      </c>
    </row>
    <row r="115" spans="1:14" ht="13.5" thickTop="1" x14ac:dyDescent="0.2">
      <c r="A115" s="2154" t="s">
        <v>996</v>
      </c>
      <c r="B115" s="2155"/>
      <c r="C115" s="618"/>
      <c r="D115" s="618"/>
      <c r="E115" s="618"/>
      <c r="F115" s="618"/>
      <c r="G115" s="618"/>
      <c r="H115" s="618"/>
      <c r="I115" s="618"/>
      <c r="J115" s="618"/>
      <c r="K115" s="1684">
        <f>'Revenues 9-14'!C268-'Expenditures 15-22'!K114</f>
        <v>715894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83825</v>
      </c>
      <c r="D124" s="466">
        <v>20082</v>
      </c>
      <c r="E124" s="466">
        <v>1284592</v>
      </c>
      <c r="F124" s="466">
        <v>689916</v>
      </c>
      <c r="G124" s="466">
        <v>544251</v>
      </c>
      <c r="H124" s="466"/>
      <c r="I124" s="467">
        <v>24467</v>
      </c>
      <c r="J124" s="467"/>
      <c r="K124" s="1670">
        <f>SUM(C124:J124)</f>
        <v>2647133</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83825</v>
      </c>
      <c r="D127" s="1670">
        <f t="shared" ref="D127:L127" si="14">SUM(D122:D126)</f>
        <v>20082</v>
      </c>
      <c r="E127" s="1670">
        <f t="shared" si="14"/>
        <v>1284592</v>
      </c>
      <c r="F127" s="1670">
        <f t="shared" si="14"/>
        <v>689916</v>
      </c>
      <c r="G127" s="1670">
        <f t="shared" si="14"/>
        <v>544251</v>
      </c>
      <c r="H127" s="1670">
        <f t="shared" si="14"/>
        <v>0</v>
      </c>
      <c r="I127" s="1670">
        <f t="shared" si="14"/>
        <v>24467</v>
      </c>
      <c r="J127" s="1670">
        <f t="shared" si="14"/>
        <v>0</v>
      </c>
      <c r="K127" s="1670">
        <f t="shared" si="14"/>
        <v>2647133</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83825</v>
      </c>
      <c r="D129" s="1677">
        <f t="shared" ref="D129:L129" si="15">SUM(D120,D127,D128)</f>
        <v>20082</v>
      </c>
      <c r="E129" s="1677">
        <f t="shared" si="15"/>
        <v>1284592</v>
      </c>
      <c r="F129" s="1677">
        <f t="shared" si="15"/>
        <v>689916</v>
      </c>
      <c r="G129" s="1677">
        <f t="shared" si="15"/>
        <v>544251</v>
      </c>
      <c r="H129" s="1677">
        <f t="shared" si="15"/>
        <v>0</v>
      </c>
      <c r="I129" s="1677">
        <f t="shared" si="15"/>
        <v>24467</v>
      </c>
      <c r="J129" s="1677">
        <f t="shared" si="15"/>
        <v>0</v>
      </c>
      <c r="K129" s="1677">
        <f t="shared" si="15"/>
        <v>2647133</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v>28186</v>
      </c>
      <c r="F134" s="616"/>
      <c r="G134" s="616"/>
      <c r="H134" s="481"/>
      <c r="I134" s="477"/>
      <c r="J134" s="616"/>
      <c r="K134" s="1672">
        <f>SUM(E134,H134)</f>
        <v>28186</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28186</v>
      </c>
      <c r="F137" s="616"/>
      <c r="G137" s="616"/>
      <c r="H137" s="1670">
        <f>SUM(H133:H136)</f>
        <v>0</v>
      </c>
      <c r="I137" s="477"/>
      <c r="J137" s="616"/>
      <c r="K137" s="1670">
        <f>SUM(K133:K136)</f>
        <v>28186</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28186</v>
      </c>
      <c r="F139" s="616"/>
      <c r="G139" s="616"/>
      <c r="H139" s="1679">
        <f>SUM(H137:H138)</f>
        <v>0</v>
      </c>
      <c r="I139" s="477"/>
      <c r="J139" s="616"/>
      <c r="K139" s="1672">
        <f>SUM(K137,K138)</f>
        <v>28186</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1"/>
      <c r="C151" s="1670">
        <f>SUM(C129,C130,C139,C149,C150)</f>
        <v>83825</v>
      </c>
      <c r="D151" s="1670">
        <f t="shared" ref="D151:K151" si="16">SUM(D129,D130,D139,D149,D150)</f>
        <v>20082</v>
      </c>
      <c r="E151" s="1670">
        <f t="shared" si="16"/>
        <v>1312778</v>
      </c>
      <c r="F151" s="1670">
        <f t="shared" si="16"/>
        <v>689916</v>
      </c>
      <c r="G151" s="1670">
        <f t="shared" si="16"/>
        <v>544251</v>
      </c>
      <c r="H151" s="1670">
        <f t="shared" si="16"/>
        <v>0</v>
      </c>
      <c r="I151" s="1670">
        <f t="shared" si="16"/>
        <v>24467</v>
      </c>
      <c r="J151" s="1670">
        <f t="shared" si="16"/>
        <v>0</v>
      </c>
      <c r="K151" s="1670">
        <f t="shared" si="16"/>
        <v>2675319</v>
      </c>
      <c r="L151" s="1670">
        <f>SUM(L129,L130,L139,L149,L150)</f>
        <v>0</v>
      </c>
    </row>
    <row r="152" spans="1:14" ht="12.75" customHeight="1" thickTop="1" x14ac:dyDescent="0.2">
      <c r="A152" s="2174" t="s">
        <v>1178</v>
      </c>
      <c r="B152" s="2175"/>
      <c r="C152" s="618"/>
      <c r="D152" s="618"/>
      <c r="E152" s="618"/>
      <c r="F152" s="618"/>
      <c r="G152" s="618"/>
      <c r="H152" s="618"/>
      <c r="I152" s="618"/>
      <c r="J152" s="616"/>
      <c r="K152" s="1684">
        <f>'Revenues 9-14'!D268-'Expenditures 15-22'!K151</f>
        <v>-834956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1636671</v>
      </c>
      <c r="I169" s="616"/>
      <c r="J169" s="616"/>
      <c r="K169" s="1671">
        <f>SUM(C169:H169)</f>
        <v>1636671</v>
      </c>
      <c r="L169" s="656"/>
    </row>
    <row r="170" spans="1:14" ht="33.75" customHeight="1" x14ac:dyDescent="0.2">
      <c r="A170" s="669" t="s">
        <v>1670</v>
      </c>
      <c r="B170" s="671" t="s">
        <v>31</v>
      </c>
      <c r="C170" s="616"/>
      <c r="D170" s="616"/>
      <c r="E170" s="616"/>
      <c r="F170" s="616"/>
      <c r="G170" s="616"/>
      <c r="H170" s="569">
        <v>625535</v>
      </c>
      <c r="I170" s="616"/>
      <c r="J170" s="616"/>
      <c r="K170" s="1671">
        <f>SUM(C170:J170)</f>
        <v>625535</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2262206</v>
      </c>
      <c r="I172" s="638"/>
      <c r="J172" s="616"/>
      <c r="K172" s="1677">
        <f>SUM(K168,K169,K170,K171)</f>
        <v>2262206</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2262206</v>
      </c>
      <c r="I174" s="638"/>
      <c r="J174" s="616"/>
      <c r="K174" s="1677">
        <f>SUM(K160,K172,K173)</f>
        <v>2262206</v>
      </c>
      <c r="L174" s="1677">
        <f>SUM(L160,L172,L173)</f>
        <v>0</v>
      </c>
    </row>
    <row r="175" spans="1:14" ht="13.5" thickTop="1" x14ac:dyDescent="0.2">
      <c r="A175" s="2154" t="s">
        <v>996</v>
      </c>
      <c r="B175" s="2155"/>
      <c r="C175" s="616"/>
      <c r="D175" s="616"/>
      <c r="E175" s="616"/>
      <c r="F175" s="616"/>
      <c r="G175" s="616"/>
      <c r="H175" s="618"/>
      <c r="I175" s="616"/>
      <c r="J175" s="616"/>
      <c r="K175" s="1684">
        <f>'Revenues 9-14'!E268-'Expenditures 15-22'!K174</f>
        <v>-25470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350518</v>
      </c>
      <c r="D182" s="466">
        <v>20105</v>
      </c>
      <c r="E182" s="466">
        <v>407388</v>
      </c>
      <c r="F182" s="466">
        <v>49211</v>
      </c>
      <c r="G182" s="466"/>
      <c r="H182" s="466"/>
      <c r="I182" s="467"/>
      <c r="J182" s="467"/>
      <c r="K182" s="1671">
        <f>SUM(C182:J182)</f>
        <v>827222</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350518</v>
      </c>
      <c r="D184" s="1677">
        <f t="shared" ref="D184:J184" si="17">SUM(D180,D182,D183)</f>
        <v>20105</v>
      </c>
      <c r="E184" s="1677">
        <f t="shared" si="17"/>
        <v>407388</v>
      </c>
      <c r="F184" s="1677">
        <f t="shared" si="17"/>
        <v>49211</v>
      </c>
      <c r="G184" s="1677">
        <f t="shared" si="17"/>
        <v>0</v>
      </c>
      <c r="H184" s="1677">
        <f t="shared" si="17"/>
        <v>0</v>
      </c>
      <c r="I184" s="1677">
        <f t="shared" si="17"/>
        <v>0</v>
      </c>
      <c r="J184" s="1677">
        <f t="shared" si="17"/>
        <v>0</v>
      </c>
      <c r="K184" s="1677">
        <f>SUM(K180,K182,K183)</f>
        <v>827222</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v>50130</v>
      </c>
      <c r="F189" s="616"/>
      <c r="G189" s="616"/>
      <c r="H189" s="466"/>
      <c r="I189" s="477"/>
      <c r="J189" s="616"/>
      <c r="K189" s="1671">
        <f t="shared" si="18"/>
        <v>50130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50130</v>
      </c>
      <c r="F194" s="616"/>
      <c r="G194" s="616"/>
      <c r="H194" s="1670">
        <f>SUM(H188:H193)</f>
        <v>0</v>
      </c>
      <c r="I194" s="477"/>
      <c r="J194" s="616"/>
      <c r="K194" s="1670">
        <f>SUM(K188:K193)</f>
        <v>50130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50130</v>
      </c>
      <c r="F196" s="616"/>
      <c r="G196" s="616"/>
      <c r="H196" s="1677">
        <f>SUM(H194,H195)</f>
        <v>0</v>
      </c>
      <c r="I196" s="477"/>
      <c r="J196" s="616"/>
      <c r="K196" s="1677">
        <f>SUM(K194,K195)</f>
        <v>50130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350518</v>
      </c>
      <c r="D210" s="1670">
        <f>SUM(D184,D185)</f>
        <v>20105</v>
      </c>
      <c r="E210" s="1670">
        <f>SUM(E184,E185,E196)</f>
        <v>457518</v>
      </c>
      <c r="F210" s="1670">
        <f>SUM(F184,F185)</f>
        <v>49211</v>
      </c>
      <c r="G210" s="1670">
        <f>SUM(G184,G185)</f>
        <v>0</v>
      </c>
      <c r="H210" s="1670">
        <f>SUM(H184,H185,H196,H208,H209)</f>
        <v>0</v>
      </c>
      <c r="I210" s="1670">
        <f>SUM(I184,I185)</f>
        <v>0</v>
      </c>
      <c r="J210" s="1670">
        <f>SUM(J184,J185)</f>
        <v>0</v>
      </c>
      <c r="K210" s="1671">
        <f>SUM(K184,K185,K196,K208,K209)</f>
        <v>877352</v>
      </c>
      <c r="L210" s="1670">
        <f>SUM(L184,L185,L196,L208,L209)</f>
        <v>0</v>
      </c>
    </row>
    <row r="211" spans="1:14" ht="13.5" thickTop="1" x14ac:dyDescent="0.2">
      <c r="A211" s="2154" t="s">
        <v>996</v>
      </c>
      <c r="B211" s="2155"/>
      <c r="C211" s="618"/>
      <c r="D211" s="618"/>
      <c r="E211" s="618"/>
      <c r="F211" s="618"/>
      <c r="G211" s="618"/>
      <c r="H211" s="618"/>
      <c r="I211" s="616"/>
      <c r="J211" s="616"/>
      <c r="K211" s="1684">
        <f>'Revenues 9-14'!F268-'Expenditures 15-22'!K210</f>
        <v>-202418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114375</v>
      </c>
      <c r="E215" s="616"/>
      <c r="F215" s="616"/>
      <c r="G215" s="616"/>
      <c r="H215" s="616"/>
      <c r="I215" s="616"/>
      <c r="J215" s="616"/>
      <c r="K215" s="1671">
        <f>D215</f>
        <v>114375</v>
      </c>
      <c r="L215" s="466"/>
    </row>
    <row r="216" spans="1:14" x14ac:dyDescent="0.2">
      <c r="A216" s="1504" t="s">
        <v>163</v>
      </c>
      <c r="B216" s="614" t="s">
        <v>967</v>
      </c>
      <c r="C216" s="616"/>
      <c r="D216" s="467">
        <v>3453</v>
      </c>
      <c r="E216" s="616"/>
      <c r="F216" s="616"/>
      <c r="G216" s="616"/>
      <c r="H216" s="616"/>
      <c r="I216" s="616"/>
      <c r="J216" s="616"/>
      <c r="K216" s="1671">
        <f t="shared" ref="K216:K228" si="19">D216</f>
        <v>3453</v>
      </c>
      <c r="L216" s="466"/>
    </row>
    <row r="217" spans="1:14" x14ac:dyDescent="0.2">
      <c r="A217" s="1504" t="s">
        <v>164</v>
      </c>
      <c r="B217" s="614">
        <v>1200</v>
      </c>
      <c r="C217" s="616"/>
      <c r="D217" s="466">
        <v>108332</v>
      </c>
      <c r="E217" s="616"/>
      <c r="F217" s="616"/>
      <c r="G217" s="616"/>
      <c r="H217" s="616"/>
      <c r="I217" s="616"/>
      <c r="J217" s="616"/>
      <c r="K217" s="1671">
        <f t="shared" si="19"/>
        <v>108332</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f>347+323+336+246+1183</f>
        <v>2435</v>
      </c>
      <c r="E219" s="616"/>
      <c r="F219" s="616"/>
      <c r="G219" s="616"/>
      <c r="H219" s="616"/>
      <c r="I219" s="616"/>
      <c r="J219" s="616"/>
      <c r="K219" s="1671">
        <f t="shared" si="19"/>
        <v>2435</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f>2188+1052+777+221+484</f>
        <v>4722</v>
      </c>
      <c r="E227" s="616"/>
      <c r="F227" s="616"/>
      <c r="G227" s="616"/>
      <c r="H227" s="616"/>
      <c r="I227" s="616"/>
      <c r="J227" s="616"/>
      <c r="K227" s="1671">
        <f t="shared" si="19"/>
        <v>4722</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233317</v>
      </c>
      <c r="E229" s="616"/>
      <c r="F229" s="616"/>
      <c r="G229" s="616"/>
      <c r="H229" s="616"/>
      <c r="I229" s="616"/>
      <c r="J229" s="616"/>
      <c r="K229" s="1670">
        <f>SUM(K215:K228)</f>
        <v>233317</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f>1708+511+531</f>
        <v>2750</v>
      </c>
      <c r="E232" s="616"/>
      <c r="F232" s="616"/>
      <c r="G232" s="616"/>
      <c r="H232" s="616"/>
      <c r="I232" s="616"/>
      <c r="J232" s="616"/>
      <c r="K232" s="1671">
        <f t="shared" ref="K232:K237" si="20">D232</f>
        <v>2750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f>6189+2977+696+4656+2238+523+4019+977+229</f>
        <v>22504</v>
      </c>
      <c r="E234" s="616"/>
      <c r="F234" s="616"/>
      <c r="G234" s="616"/>
      <c r="H234" s="616"/>
      <c r="I234" s="616"/>
      <c r="J234" s="616"/>
      <c r="K234" s="1671">
        <f t="shared" si="20"/>
        <v>22504</v>
      </c>
      <c r="L234" s="466"/>
    </row>
    <row r="235" spans="1:12" x14ac:dyDescent="0.2">
      <c r="A235" s="1504" t="s">
        <v>199</v>
      </c>
      <c r="B235" s="614">
        <v>2140</v>
      </c>
      <c r="C235" s="616"/>
      <c r="D235" s="466">
        <f>1289+364+730</f>
        <v>2383</v>
      </c>
      <c r="E235" s="616"/>
      <c r="F235" s="616"/>
      <c r="G235" s="616"/>
      <c r="H235" s="616"/>
      <c r="I235" s="616"/>
      <c r="J235" s="616"/>
      <c r="K235" s="1671">
        <f t="shared" si="20"/>
        <v>2383</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f>244+211+75</f>
        <v>530</v>
      </c>
      <c r="E237" s="616"/>
      <c r="F237" s="616"/>
      <c r="G237" s="616"/>
      <c r="H237" s="616"/>
      <c r="I237" s="616"/>
      <c r="J237" s="616"/>
      <c r="K237" s="1671">
        <f t="shared" si="20"/>
        <v>530</v>
      </c>
      <c r="L237" s="466"/>
    </row>
    <row r="238" spans="1:12" ht="12.75" customHeight="1" thickBot="1" x14ac:dyDescent="0.25">
      <c r="A238" s="1668" t="s">
        <v>560</v>
      </c>
      <c r="B238" s="1675" t="s">
        <v>716</v>
      </c>
      <c r="C238" s="616"/>
      <c r="D238" s="1670">
        <f>SUM(D232:D237)</f>
        <v>28167</v>
      </c>
      <c r="E238" s="616"/>
      <c r="F238" s="616"/>
      <c r="G238" s="616"/>
      <c r="H238" s="616"/>
      <c r="I238" s="616"/>
      <c r="J238" s="616"/>
      <c r="K238" s="1670">
        <f>SUM(K232:K237)</f>
        <v>28167</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12288</v>
      </c>
      <c r="E240" s="616"/>
      <c r="F240" s="616"/>
      <c r="G240" s="616"/>
      <c r="H240" s="616"/>
      <c r="I240" s="616"/>
      <c r="J240" s="616"/>
      <c r="K240" s="1672">
        <f>D240</f>
        <v>12288</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12288</v>
      </c>
      <c r="E243" s="616"/>
      <c r="F243" s="616"/>
      <c r="G243" s="616"/>
      <c r="H243" s="616"/>
      <c r="I243" s="616"/>
      <c r="J243" s="616"/>
      <c r="K243" s="1670">
        <f>SUM(K240:K242)</f>
        <v>12288</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f>230+106+25</f>
        <v>361</v>
      </c>
      <c r="E245" s="616"/>
      <c r="F245" s="616"/>
      <c r="G245" s="616"/>
      <c r="H245" s="616"/>
      <c r="I245" s="616"/>
      <c r="J245" s="616"/>
      <c r="K245" s="1672">
        <f>D245</f>
        <v>361</v>
      </c>
      <c r="L245" s="481"/>
    </row>
    <row r="246" spans="1:12" x14ac:dyDescent="0.2">
      <c r="A246" s="1504" t="s">
        <v>818</v>
      </c>
      <c r="B246" s="614">
        <v>2320</v>
      </c>
      <c r="C246" s="616"/>
      <c r="D246" s="466">
        <f>9789+4432+3870</f>
        <v>18091</v>
      </c>
      <c r="E246" s="616"/>
      <c r="F246" s="616"/>
      <c r="G246" s="616"/>
      <c r="H246" s="616"/>
      <c r="I246" s="616"/>
      <c r="J246" s="616"/>
      <c r="K246" s="1672">
        <f t="shared" ref="K246:K256" si="21">D246</f>
        <v>18091</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18452</v>
      </c>
      <c r="E257" s="616"/>
      <c r="F257" s="616"/>
      <c r="G257" s="616"/>
      <c r="H257" s="616"/>
      <c r="I257" s="616"/>
      <c r="J257" s="616"/>
      <c r="K257" s="1670">
        <f>SUM(K245:K256)</f>
        <v>18452</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52962</v>
      </c>
      <c r="E259" s="616"/>
      <c r="F259" s="616"/>
      <c r="G259" s="616"/>
      <c r="H259" s="616"/>
      <c r="I259" s="616"/>
      <c r="J259" s="616"/>
      <c r="K259" s="1672">
        <f>D259</f>
        <v>52962</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52962</v>
      </c>
      <c r="E261" s="616"/>
      <c r="F261" s="616"/>
      <c r="G261" s="616"/>
      <c r="H261" s="616"/>
      <c r="I261" s="616"/>
      <c r="J261" s="616"/>
      <c r="K261" s="1670">
        <f>SUM(K259:K260)</f>
        <v>52962</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3645</v>
      </c>
      <c r="E263" s="616"/>
      <c r="F263" s="616"/>
      <c r="G263" s="616"/>
      <c r="H263" s="616"/>
      <c r="I263" s="616"/>
      <c r="J263" s="616"/>
      <c r="K263" s="1672">
        <f>D263</f>
        <v>3645</v>
      </c>
      <c r="L263" s="481"/>
    </row>
    <row r="264" spans="1:14" x14ac:dyDescent="0.2">
      <c r="A264" s="1504" t="s">
        <v>463</v>
      </c>
      <c r="B264" s="685">
        <v>2520</v>
      </c>
      <c r="C264" s="616"/>
      <c r="D264" s="466">
        <v>19846</v>
      </c>
      <c r="E264" s="616"/>
      <c r="F264" s="616"/>
      <c r="G264" s="616"/>
      <c r="H264" s="616"/>
      <c r="I264" s="616"/>
      <c r="J264" s="616"/>
      <c r="K264" s="1672">
        <f t="shared" ref="K264:K269" si="22">D264</f>
        <v>19846</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7571</v>
      </c>
      <c r="E266" s="616"/>
      <c r="F266" s="616"/>
      <c r="G266" s="616"/>
      <c r="H266" s="616"/>
      <c r="I266" s="616"/>
      <c r="J266" s="616"/>
      <c r="K266" s="1672">
        <f t="shared" si="22"/>
        <v>7571</v>
      </c>
      <c r="L266" s="466"/>
    </row>
    <row r="267" spans="1:14" x14ac:dyDescent="0.2">
      <c r="A267" s="1504" t="s">
        <v>953</v>
      </c>
      <c r="B267" s="614">
        <v>2550</v>
      </c>
      <c r="C267" s="616"/>
      <c r="D267" s="466">
        <v>64336</v>
      </c>
      <c r="E267" s="616"/>
      <c r="F267" s="616"/>
      <c r="G267" s="616"/>
      <c r="H267" s="616"/>
      <c r="I267" s="616"/>
      <c r="J267" s="616"/>
      <c r="K267" s="1672">
        <f t="shared" si="22"/>
        <v>64336</v>
      </c>
      <c r="L267" s="466"/>
    </row>
    <row r="268" spans="1:14" x14ac:dyDescent="0.2">
      <c r="A268" s="1504" t="s">
        <v>100</v>
      </c>
      <c r="B268" s="614">
        <v>2560</v>
      </c>
      <c r="C268" s="616"/>
      <c r="D268" s="466">
        <v>27928</v>
      </c>
      <c r="E268" s="616"/>
      <c r="F268" s="616"/>
      <c r="G268" s="616"/>
      <c r="H268" s="616"/>
      <c r="I268" s="616"/>
      <c r="J268" s="616"/>
      <c r="K268" s="1672">
        <f t="shared" si="22"/>
        <v>27928</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123326</v>
      </c>
      <c r="E270" s="616"/>
      <c r="F270" s="616"/>
      <c r="G270" s="616"/>
      <c r="H270" s="616"/>
      <c r="I270" s="616"/>
      <c r="J270" s="616"/>
      <c r="K270" s="1670">
        <f>SUM(K263:K269)</f>
        <v>123326</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f>484+113</f>
        <v>597</v>
      </c>
      <c r="E274" s="616"/>
      <c r="F274" s="616"/>
      <c r="G274" s="616"/>
      <c r="H274" s="616"/>
      <c r="I274" s="616"/>
      <c r="J274" s="616"/>
      <c r="K274" s="1672">
        <f>D274</f>
        <v>597</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37272</v>
      </c>
      <c r="E276" s="616"/>
      <c r="F276" s="616"/>
      <c r="G276" s="616"/>
      <c r="H276" s="616"/>
      <c r="I276" s="616"/>
      <c r="J276" s="616"/>
      <c r="K276" s="1672">
        <f>D276</f>
        <v>37272</v>
      </c>
      <c r="L276" s="466"/>
    </row>
    <row r="277" spans="1:12" ht="12.75" customHeight="1" thickBot="1" x14ac:dyDescent="0.25">
      <c r="A277" s="1691" t="s">
        <v>37</v>
      </c>
      <c r="B277" s="1669" t="s">
        <v>36</v>
      </c>
      <c r="C277" s="616"/>
      <c r="D277" s="1670">
        <f>SUM(D272:D276)</f>
        <v>37869</v>
      </c>
      <c r="E277" s="616"/>
      <c r="F277" s="616"/>
      <c r="G277" s="616"/>
      <c r="H277" s="616"/>
      <c r="I277" s="616"/>
      <c r="J277" s="616"/>
      <c r="K277" s="1670">
        <f>SUM(K272:K276)</f>
        <v>37869</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273064</v>
      </c>
      <c r="E279" s="616"/>
      <c r="F279" s="616"/>
      <c r="G279" s="616"/>
      <c r="H279" s="616"/>
      <c r="I279" s="616"/>
      <c r="J279" s="616"/>
      <c r="K279" s="1677">
        <f>SUM(K238,K243,K257,K261,K270,K277,K278)</f>
        <v>273064</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506381</v>
      </c>
      <c r="E295" s="616"/>
      <c r="F295" s="616"/>
      <c r="G295" s="616"/>
      <c r="H295" s="1670">
        <f>H293</f>
        <v>0</v>
      </c>
      <c r="I295" s="616"/>
      <c r="J295" s="616"/>
      <c r="K295" s="1670">
        <f>SUM(K229,K279,K280,K285,K293,K294)</f>
        <v>506381</v>
      </c>
      <c r="L295" s="1670">
        <f>SUM(L229,L279,L280,L285,L293,L294)</f>
        <v>0</v>
      </c>
    </row>
    <row r="296" spans="1:14" ht="13.5" thickTop="1" x14ac:dyDescent="0.2">
      <c r="A296" s="2154" t="s">
        <v>996</v>
      </c>
      <c r="B296" s="2155"/>
      <c r="C296" s="616"/>
      <c r="D296" s="618"/>
      <c r="E296" s="616"/>
      <c r="F296" s="616"/>
      <c r="G296" s="616"/>
      <c r="H296" s="687"/>
      <c r="I296" s="616"/>
      <c r="J296" s="616"/>
      <c r="K296" s="1684">
        <f>'Revenues 9-14'!G268-'Expenditures 15-22'!K295</f>
        <v>-58344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3949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46384</v>
      </c>
      <c r="F320" s="467"/>
      <c r="G320" s="467"/>
      <c r="H320" s="467"/>
      <c r="I320" s="467"/>
      <c r="J320" s="467"/>
      <c r="K320" s="1671">
        <f t="shared" ref="K320:K327" si="24">SUM(C320:J320)</f>
        <v>46384</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74536</v>
      </c>
      <c r="F322" s="467"/>
      <c r="G322" s="467"/>
      <c r="H322" s="467"/>
      <c r="I322" s="467"/>
      <c r="J322" s="467"/>
      <c r="K322" s="1671">
        <f t="shared" si="24"/>
        <v>74536</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120920</v>
      </c>
      <c r="F330" s="1670">
        <f t="shared" si="25"/>
        <v>0</v>
      </c>
      <c r="G330" s="1670">
        <f t="shared" si="25"/>
        <v>0</v>
      </c>
      <c r="H330" s="1670">
        <f t="shared" si="25"/>
        <v>0</v>
      </c>
      <c r="I330" s="1670">
        <f t="shared" si="25"/>
        <v>0</v>
      </c>
      <c r="J330" s="1670">
        <f t="shared" si="25"/>
        <v>0</v>
      </c>
      <c r="K330" s="1670">
        <f>SUM(K319:K329)</f>
        <v>120920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120920</v>
      </c>
      <c r="F342" s="1670">
        <f>SUM(F330)</f>
        <v>0</v>
      </c>
      <c r="G342" s="1670">
        <f>SUM(G330)</f>
        <v>0</v>
      </c>
      <c r="H342" s="1670">
        <f>SUM(H330,H334,H340)</f>
        <v>0</v>
      </c>
      <c r="I342" s="1670">
        <f>SUM(I330)</f>
        <v>0</v>
      </c>
      <c r="J342" s="1670">
        <f>SUM(J330)</f>
        <v>0</v>
      </c>
      <c r="K342" s="1670">
        <f>SUM(K330,K334,K340)</f>
        <v>120920</v>
      </c>
      <c r="L342" s="1677">
        <f>SUM(L330,L340,L341)</f>
        <v>0</v>
      </c>
    </row>
    <row r="343" spans="1:14" ht="12.75" customHeight="1" thickTop="1" x14ac:dyDescent="0.2">
      <c r="A343" s="2167" t="s">
        <v>996</v>
      </c>
      <c r="B343" s="2168"/>
      <c r="C343" s="616"/>
      <c r="D343" s="616"/>
      <c r="E343" s="616"/>
      <c r="F343" s="616"/>
      <c r="G343" s="616"/>
      <c r="H343" s="616"/>
      <c r="I343" s="616"/>
      <c r="J343" s="616"/>
      <c r="K343" s="1684">
        <f>'Revenues 9-14'!J268-'Expenditures 15-22'!K342</f>
        <v>28335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4" t="s">
        <v>996</v>
      </c>
      <c r="B368" s="2155"/>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schemas.microsoft.com/office/2006/documentManagement/types"/>
    <ds:schemaRef ds:uri="http://purl.org/dc/elements/1.1/"/>
    <ds:schemaRef ds:uri="d21dc803-237d-4c68-8692-8d731fd29118"/>
    <ds:schemaRef ds:uri="6ce3111e-7420-4802-b50a-75d4e9a0b980"/>
    <ds:schemaRef ds:uri="http://schemas.openxmlformats.org/package/2006/metadata/core-properties"/>
    <ds:schemaRef ds:uri="http://www.w3.org/XML/1998/namespace"/>
    <ds:schemaRef ds:uri="http://schemas.microsoft.com/office/infopath/2007/PartnerControls"/>
    <ds:schemaRef ds:uri="http://purl.org/dc/dcmitype/"/>
    <ds:schemaRef ds:uri="4d435f69-8686-490b-bd6d-b153bf22ab50"/>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2019-09-27T20:37:49Z</cp:lastPrinted>
  <dcterms:created xsi:type="dcterms:W3CDTF">2003-10-29T19:06:34Z</dcterms:created>
  <dcterms:modified xsi:type="dcterms:W3CDTF">2019-11-21T20:16:36Z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