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D68CCF7-03DC-413A-B471-6838104303DF}"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7" i="3" l="1"/>
  <c r="F27" i="179" l="1"/>
  <c r="F29" i="179" s="1"/>
  <c r="F30" i="179"/>
  <c r="F36" i="179" s="1"/>
  <c r="I41" i="179"/>
  <c r="G41" i="179"/>
  <c r="F41" i="179"/>
  <c r="E41" i="179"/>
  <c r="I36" i="179"/>
  <c r="G36" i="179"/>
  <c r="E36" i="179"/>
  <c r="I29" i="179"/>
  <c r="G29" i="179"/>
  <c r="E29" i="179"/>
  <c r="E43" i="179" s="1"/>
  <c r="I21" i="179"/>
  <c r="G21" i="179"/>
  <c r="G43" i="179" s="1"/>
  <c r="F21" i="179"/>
  <c r="E21" i="179"/>
  <c r="I43" i="179" l="1"/>
  <c r="D45" i="174" s="1"/>
  <c r="F43" i="179"/>
  <c r="D35" i="171" s="1"/>
  <c r="L27" i="179"/>
  <c r="L26" i="179"/>
  <c r="L25" i="179"/>
  <c r="L29" i="179" s="1"/>
  <c r="L19" i="179"/>
  <c r="L18" i="179"/>
  <c r="L20" i="179"/>
  <c r="L17" i="179"/>
  <c r="L15" i="179"/>
  <c r="L14" i="179"/>
  <c r="L21" i="179" s="1"/>
  <c r="L28" i="179"/>
  <c r="H5" i="12" l="1"/>
  <c r="G9" i="3"/>
  <c r="G5"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42" i="179" l="1"/>
  <c r="L40" i="179"/>
  <c r="L39" i="179"/>
  <c r="L38" i="179"/>
  <c r="L37" i="179"/>
  <c r="L35" i="179"/>
  <c r="L34" i="179"/>
  <c r="L33" i="179"/>
  <c r="L32" i="179"/>
  <c r="L31" i="179"/>
  <c r="L30" i="179"/>
  <c r="L36" i="179" l="1"/>
  <c r="L43" i="179"/>
  <c r="L41" i="179"/>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6" i="108"/>
  <c r="E27" i="108"/>
  <c r="G27"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D11" i="37"/>
  <c r="J22" i="37"/>
  <c r="L22" i="37"/>
  <c r="D24" i="37"/>
  <c r="B4270" i="106" s="1"/>
  <c r="D4270" i="106" s="1"/>
  <c r="L5" i="11"/>
  <c r="B2056" i="106" s="1"/>
  <c r="D2056" i="106" s="1"/>
  <c r="H28" i="118" l="1"/>
  <c r="K76" i="4"/>
  <c r="B3586" i="106" s="1"/>
  <c r="D3586" i="106" s="1"/>
  <c r="G33" i="108"/>
  <c r="F56" i="34"/>
  <c r="B2805" i="106"/>
  <c r="D2805" i="106" s="1"/>
  <c r="D36" i="108"/>
  <c r="F44" i="34"/>
  <c r="B1274" i="106"/>
  <c r="D1274" i="106" s="1"/>
  <c r="I210" i="29"/>
  <c r="B7071" i="106" s="1"/>
  <c r="D7071" i="106" s="1"/>
  <c r="E34" i="108"/>
  <c r="D37" i="108"/>
  <c r="F37" i="108"/>
  <c r="G26" i="108"/>
  <c r="B1124" i="106"/>
  <c r="D1124" i="106" s="1"/>
  <c r="E30" i="108"/>
  <c r="H112" i="29"/>
  <c r="B7018" i="106" s="1"/>
  <c r="D7018" i="106" s="1"/>
  <c r="G38" i="108"/>
  <c r="G30" i="108"/>
  <c r="F36" i="108"/>
  <c r="K28" i="118"/>
  <c r="O27" i="118" s="1"/>
  <c r="O29" i="118" s="1"/>
  <c r="D22" i="37"/>
  <c r="H33" i="118"/>
  <c r="L342" i="29"/>
  <c r="B7727" i="106"/>
  <c r="D7727" i="106" s="1"/>
  <c r="F27" i="108"/>
  <c r="B7078" i="106"/>
  <c r="D7078" i="106" s="1"/>
  <c r="J41" i="3"/>
  <c r="D51" i="3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D41" i="108" s="1"/>
  <c r="E43" i="108" s="1"/>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F66" i="34"/>
  <c r="L16" i="11"/>
  <c r="B2061" i="106" s="1"/>
  <c r="D2061" i="106" s="1"/>
  <c r="B6216" i="106"/>
  <c r="D6216" i="106" s="1"/>
  <c r="D44" i="36"/>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<sst xmlns="http://schemas.openxmlformats.org/spreadsheetml/2006/main" count="5162" uniqueCount="2141">
  <si>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</si>
  <si>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</si>
  <si>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</si>
  <si>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</si>
  <si>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</si>
  <si>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</si>
  <si>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</si>
  <si>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</si>
  <si>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</si>
  <si>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</si>
  <si>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</si>
  <si>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</si>
  <si>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</si>
  <si>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</si>
  <si>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</si>
  <si>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</si>
  <si>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</si>
  <si>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</si>
  <si>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</si>
  <si>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</si>
  <si>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</si>
  <si>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</si>
  <si>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</si>
  <si>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</si>
  <si>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</si>
  <si>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</si>
  <si>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</si>
  <si>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</si>
  <si>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</si>
  <si>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</si>
  <si>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</si>
  <si>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</si>
  <si>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</si>
  <si>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</si>
  <si>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</si>
  <si>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</si>
  <si>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</si>
  <si>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</si>
  <si>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</si>
  <si>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</si>
  <si>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</si>
  <si>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</si>
  <si>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</si>
  <si>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</si>
  <si>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</si>
  <si>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</si>
  <si>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</si>
  <si>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</si>
  <si>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</si>
  <si>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</si>
  <si>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</si>
  <si>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</si>
  <si>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</si>
  <si>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</si>
  <si>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</si>
  <si>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</si>
  <si>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</si>
  <si>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</si>
  <si>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</si>
  <si>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</si>
  <si>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</si>
  <si>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</si>
  <si>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</si>
  <si>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</si>
  <si>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</si>
  <si>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</si>
  <si>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</si>
  <si>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</si>
  <si>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</si>
  <si>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</si>
  <si>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</si>
  <si>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</si>
  <si>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</si>
  <si>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</si>
  <si>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</si>
  <si>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</si>
  <si>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</si>
  <si>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</si>
  <si>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</si>
  <si>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</si>
  <si>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</si>
  <si>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</si>
  <si>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</si>
  <si>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</si>
  <si>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</si>
  <si>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</si>
  <si>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</si>
  <si>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</si>
  <si>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</si>
  <si>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</si>
  <si>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</si>
  <si>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</si>
  <si>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</si>
  <si>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</si>
  <si>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</si>
  <si>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</si>
  <si>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</si>
  <si>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</si>
  <si>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</si>
  <si>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</si>
  <si>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</si>
  <si>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</si>
  <si>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</si>
  <si>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</si>
  <si>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</si>
  <si>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</si>
  <si>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</si>
  <si>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</si>
  <si>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</si>
  <si>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</si>
  <si>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</si>
  <si>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</si>
  <si>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</si>
  <si>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</si>
  <si>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</si>
  <si>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</si>
  <si>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</si>
  <si>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</si>
  <si>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</si>
  <si>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</si>
  <si>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</si>
  <si>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</si>
  <si>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</si>
  <si>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</si>
  <si>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</si>
  <si>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</si>
  <si>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</si>
  <si>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</si>
  <si>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</si>
  <si>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</si>
  <si>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</si>
  <si>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</si>
  <si>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</si>
  <si>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</si>
  <si>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</si>
  <si>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</si>
  <si>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</si>
  <si>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</si>
  <si>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</si>
  <si>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</si>
  <si>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</si>
  <si>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</si>
  <si>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</si>
  <si>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</si>
  <si>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</si>
  <si>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</si>
  <si>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</si>
  <si>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</si>
  <si>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</si>
  <si>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</si>
  <si>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</si>
  <si>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</si>
  <si>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</si>
  <si>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</si>
  <si>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</si>
  <si>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</si>
  <si>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</si>
  <si>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</si>
  <si>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</si>
  <si>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</si>
  <si>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</si>
  <si>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</si>
  <si>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</si>
  <si>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</si>
  <si>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</si>
  <si>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</si>
  <si>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</si>
  <si>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</si>
  <si>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</si>
  <si>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</si>
  <si>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</si>
  <si>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</si>
  <si>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</si>
  <si>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</si>
  <si>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</si>
  <si>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</si>
  <si>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</si>
  <si>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</si>
  <si>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</si>
  <si>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</si>
  <si>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</si>
  <si>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</si>
  <si>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</si>
  <si>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</si>
  <si>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</si>
  <si>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</si>
  <si>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</si>
  <si>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</si>
  <si>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</si>
  <si>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</si>
  <si>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</si>
  <si>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</si>
  <si>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</si>
  <si>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</si>
  <si>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</si>
  <si>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</si>
  <si>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</si>
  <si>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</si>
  <si>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</si>
  <si>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</si>
  <si>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</si>
  <si>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</si>
  <si>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</si>
  <si>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</si>
  <si>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</si>
  <si>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</si>
  <si>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</si>
  <si>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</si>
  <si>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</si>
  <si>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</si>
  <si>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</si>
  <si>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</si>
  <si>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</si>
  <si>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</si>
  <si>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</si>
  <si>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</si>
  <si>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</si>
  <si>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</si>
  <si>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</si>
  <si>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</si>
  <si>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</si>
  <si>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</si>
  <si>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</si>
  <si>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</si>
  <si>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</si>
  <si>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</si>
  <si>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</si>
  <si>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</si>
  <si>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</si>
  <si>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</si>
  <si>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</si>
  <si>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</si>
  <si>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</si>
  <si>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</si>
  <si>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</si>
  <si>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</si>
  <si>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</si>
  <si>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</si>
  <si>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</si>
  <si>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</si>
  <si>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</si>
  <si>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</si>
  <si>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</si>
  <si>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</si>
  <si>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</si>
  <si>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</si>
  <si>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</si>
  <si>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</si>
  <si>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</si>
  <si>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</si>
  <si>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</si>
  <si>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</si>
  <si>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</si>
  <si>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</si>
  <si>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</si>
  <si>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</si>
  <si>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</si>
  <si>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</si>
  <si>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</si>
  <si>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</si>
  <si>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</si>
  <si>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</si>
  <si>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</si>
  <si>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</si>
  <si>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</si>
  <si>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</si>
  <si>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</si>
  <si>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</si>
  <si>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</si>
  <si>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</si>
  <si>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</si>
  <si>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</si>
  <si>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</si>
  <si>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</si>
  <si>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</si>
  <si>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</si>
  <si>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</si>
  <si>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</si>
  <si>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</si>
  <si>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</si>
  <si>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</si>
  <si>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</si>
  <si>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</si>
  <si>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</si>
  <si>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</si>
  <si>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</si>
  <si>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</si>
  <si>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</si>
  <si>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</si>
  <si>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</si>
  <si>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</si>
  <si>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</si>
  <si>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</si>
  <si>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</si>
  <si>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</si>
  <si>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</si>
  <si>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</si>
  <si>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</si>
  <si>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</si>
  <si>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</si>
  <si>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</si>
  <si>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</si>
  <si>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</si>
  <si>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</si>
  <si>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</si>
  <si>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</si>
  <si>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</si>
  <si>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</si>
  <si>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</si>
  <si>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</si>
  <si>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</si>
  <si>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</si>
  <si>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</si>
  <si>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</si>
  <si>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</si>
  <si>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</si>
  <si>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</si>
  <si>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</si>
  <si>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</si>
  <si>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</si>
  <si>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</si>
  <si>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</si>
  <si>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</si>
  <si>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</si>
  <si>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</si>
  <si>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</si>
  <si>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</si>
  <si>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</si>
  <si>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</si>
  <si>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</si>
  <si>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</si>
  <si>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</si>
  <si>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</si>
  <si>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</si>
  <si>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</si>
  <si>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</si>
  <si>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</si>
  <si>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</si>
  <si>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</si>
  <si>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</si>
  <si>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</si>
  <si>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</si>
  <si>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</si>
  <si>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</si>
  <si>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</si>
  <si>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</si>
  <si>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</si>
  <si>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</si>
  <si>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</si>
  <si>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</si>
  <si>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</si>
  <si>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</si>
  <si>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</si>
  <si>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</si>
  <si>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</si>
  <si>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</si>
  <si>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</si>
  <si>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</si>
  <si>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</si>
  <si>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</si>
  <si>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</si>
  <si>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</si>
  <si>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</si>
  <si>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</si>
  <si>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</si>
  <si>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</si>
  <si>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</si>
  <si>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</si>
  <si>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</si>
  <si>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</si>
  <si>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</si>
  <si>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</si>
  <si>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</si>
  <si>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</si>
  <si>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</si>
  <si>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</si>
  <si>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</si>
  <si>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</si>
  <si>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</si>
  <si>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</si>
  <si>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</si>
  <si>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</si>
  <si>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</si>
  <si>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</si>
  <si>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</si>
  <si>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</si>
  <si>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</si>
  <si>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</si>
  <si>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</si>
  <si>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</si>
  <si>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</si>
  <si>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</si>
  <si>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</si>
  <si>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</si>
  <si>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</si>
  <si>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</si>
  <si>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</si>
  <si>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</si>
  <si>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</si>
  <si>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</si>
  <si>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</si>
  <si>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</si>
  <si>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</si>
  <si>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</si>
  <si>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</si>
  <si>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</si>
  <si>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</si>
  <si>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</si>
  <si>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</si>
  <si>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</si>
  <si>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</si>
  <si>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</si>
  <si>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</si>
  <si>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</si>
  <si>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</si>
  <si>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</si>
  <si>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</si>
  <si>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</si>
  <si>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</si>
  <si>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</si>
  <si>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</si>
  <si>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</si>
  <si>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</si>
  <si>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</si>
  <si>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</si>
  <si>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</si>
  <si>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</si>
  <si>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</si>
  <si>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</si>
  <si>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</si>
  <si>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</si>
  <si>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</si>
  <si>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</si>
  <si>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</si>
  <si>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</si>
  <si>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</si>
  <si>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</si>
  <si>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</si>
  <si>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</si>
  <si>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</si>
  <si>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</si>
  <si>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</si>
  <si>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</si>
  <si>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</si>
  <si>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</si>
  <si>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</si>
  <si>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</si>
  <si>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</si>
  <si>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</si>
  <si>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</si>
  <si>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</si>
  <si>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</si>
  <si>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</si>
  <si>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</si>
  <si>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</si>
  <si>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</si>
  <si>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</si>
  <si>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</si>
  <si>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</si>
  <si>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</si>
  <si>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</si>
  <si>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</si>
  <si>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</si>
  <si>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</si>
  <si>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</si>
  <si>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</si>
  <si>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</si>
  <si>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</si>
  <si>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</si>
  <si>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</si>
  <si>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</si>
  <si>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</si>
  <si>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</si>
  <si>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</si>
  <si>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</si>
  <si>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</si>
  <si>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</si>
  <si>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</si>
  <si>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</si>
  <si>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</si>
  <si>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</si>
  <si>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</si>
  <si>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</si>
  <si>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</si>
  <si>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</si>
  <si>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</si>
  <si>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</si>
  <si>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</si>
  <si>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</si>
  <si>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</si>
  <si>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</si>
  <si>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</si>
  <si>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</si>
  <si>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</si>
  <si>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</si>
  <si>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</si>
  <si>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</si>
  <si>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</si>
  <si>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</si>
  <si>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</si>
  <si>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</si>
  <si>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</si>
  <si>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</si>
  <si>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</si>
  <si>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</si>
  <si>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</si>
  <si>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</si>
  <si>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</si>
  <si>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</si>
  <si>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</si>
  <si>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</si>
  <si>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</si>
  <si>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</si>
  <si>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</si>
  <si>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</si>
  <si>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</si>
  <si>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</si>
  <si>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</si>
  <si>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</si>
  <si>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</si>
  <si>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</si>
  <si>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</si>
  <si>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</si>
  <si>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</si>
  <si>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</si>
  <si>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</si>
  <si>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</si>
  <si>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</si>
  <si>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</si>
  <si>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</si>
  <si>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</si>
  <si>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</si>
  <si>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</si>
  <si>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</si>
  <si>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</si>
  <si>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</si>
  <si>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</si>
  <si>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</si>
  <si>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</si>
  <si>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</si>
  <si>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</si>
  <si>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</si>
  <si>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</si>
  <si>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</si>
  <si>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</si>
  <si>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</si>
  <si>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</si>
  <si>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</si>
  <si>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</si>
  <si>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</si>
  <si>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</si>
  <si>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</si>
  <si>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</si>
  <si>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</si>
  <si>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</si>
  <si>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</si>
  <si>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</si>
  <si>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</si>
  <si>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</si>
  <si>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</si>
  <si>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</si>
  <si>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</si>
  <si>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</si>
  <si>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</si>
  <si>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</si>
  <si>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</si>
  <si>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</si>
  <si>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</si>
  <si>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</si>
  <si>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</si>
  <si>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</si>
  <si>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</si>
  <si>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</si>
  <si>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</si>
  <si>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</si>
  <si>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</si>
  <si>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</si>
  <si>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</si>
  <si>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</si>
  <si>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</si>
  <si>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</si>
  <si>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</si>
  <si>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</si>
  <si>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</si>
  <si>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</si>
  <si>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</si>
  <si>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</si>
  <si>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</si>
  <si>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</si>
  <si>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</si>
  <si>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</si>
  <si>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</si>
  <si>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</si>
  <si>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</si>
  <si>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</si>
  <si>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</si>
  <si>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</si>
  <si>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</si>
  <si>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</si>
  <si>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</si>
  <si>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</si>
  <si>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</si>
  <si>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</si>
  <si>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</si>
  <si>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</si>
  <si>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</si>
  <si>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</si>
  <si>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</si>
  <si>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</si>
  <si>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</si>
  <si>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</si>
  <si>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</si>
  <si>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</si>
  <si>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</si>
  <si>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</si>
  <si>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</si>
  <si>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</si>
  <si>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</si>
  <si>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</si>
  <si>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</si>
  <si>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</si>
  <si>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</si>
  <si>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</si>
  <si>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</si>
  <si>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</si>
  <si>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</si>
  <si>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</si>
  <si>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</si>
  <si>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</si>
  <si>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</si>
  <si>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</si>
  <si>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</si>
  <si>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</si>
  <si>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</si>
  <si>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</si>
  <si>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</si>
  <si>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</si>
  <si>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</si>
  <si>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</si>
  <si>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</si>
  <si>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</si>
  <si>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</si>
  <si>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</si>
  <si>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</si>
  <si>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</si>
  <si>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</si>
  <si>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</si>
  <si>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</si>
  <si>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</si>
  <si>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</si>
  <si>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</si>
  <si>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</si>
  <si>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</si>
  <si>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</si>
  <si>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</si>
  <si>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</si>
  <si>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</si>
  <si>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</si>
  <si>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</si>
  <si>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</si>
  <si>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</si>
  <si>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</si>
  <si>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</si>
  <si>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</si>
  <si>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</si>
  <si>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</si>
  <si>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</si>
  <si>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</si>
  <si>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</si>
  <si>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</si>
  <si>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</si>
  <si>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</si>
  <si>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</si>
  <si>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</si>
  <si>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</si>
  <si>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</si>
  <si>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</si>
  <si>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</si>
  <si>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</si>
  <si>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</si>
  <si>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</si>
  <si>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</si>
  <si>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</si>
  <si>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</si>
  <si>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</si>
  <si>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</si>
  <si>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</si>
  <si>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</si>
  <si>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</si>
  <si>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</si>
  <si>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</si>
  <si>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</si>
  <si>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</si>
  <si>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</si>
  <si>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</si>
  <si>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</si>
  <si>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</si>
  <si>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</si>
  <si>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</si>
  <si>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</si>
  <si>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</si>
  <si>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</si>
  <si>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</si>
  <si>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</si>
  <si>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</si>
  <si>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</si>
  <si>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</si>
  <si>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</si>
  <si>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</si>
  <si>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</si>
  <si>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</si>
  <si>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</si>
  <si>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</si>
  <si>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</si>
  <si>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</si>
  <si>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</si>
  <si>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</si>
  <si>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</si>
  <si>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</si>
  <si>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</si>
  <si>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</si>
  <si>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</si>
  <si>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</si>
  <si>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</si>
  <si>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</si>
  <si>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</si>
  <si>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</si>
  <si>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</si>
  <si>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</si>
  <si>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</si>
  <si>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</si>
  <si>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</si>
  <si>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</si>
  <si>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</si>
  <si>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</si>
  <si>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</si>
  <si>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</si>
  <si>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</si>
  <si>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</si>
  <si>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</si>
  <si>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</si>
  <si>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</si>
  <si>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</si>
  <si>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</si>
  <si>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</si>
  <si>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</si>
  <si>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</si>
  <si>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</si>
  <si>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</si>
  <si>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</si>
  <si>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</si>
  <si>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</si>
  <si>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</si>
  <si>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</si>
  <si>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</si>
  <si>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</si>
  <si>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</si>
  <si>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</si>
  <si>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</si>
  <si>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</si>
  <si>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</si>
  <si>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</si>
  <si>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</si>
  <si>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</si>
  <si>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</si>
  <si>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</si>
  <si>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</si>
  <si>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</si>
  <si>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</si>
  <si>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</si>
  <si>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</si>
  <si>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</si>
  <si>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</si>
  <si>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</si>
  <si>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</si>
  <si>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</si>
  <si>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</si>
  <si>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</si>
  <si>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</si>
  <si>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</si>
  <si>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</si>
  <si>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</si>
  <si>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</si>
  <si>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</si>
  <si>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</si>
  <si>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</si>
  <si>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</si>
  <si>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</si>
  <si>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</si>
  <si>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</si>
  <si>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</si>
  <si>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</si>
  <si>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</si>
  <si>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</si>
  <si>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</si>
  <si>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</si>
  <si>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</si>
  <si>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</si>
  <si>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</si>
  <si>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</si>
  <si>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</si>
  <si>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</si>
  <si>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</si>
  <si>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</si>
  <si>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</si>
  <si>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</si>
  <si>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</si>
  <si>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</si>
  <si>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</si>
  <si>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</si>
  <si>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</si>
  <si>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</si>
  <si>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</si>
  <si>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</si>
  <si>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</si>
  <si>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</si>
  <si>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</si>
  <si>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</si>
  <si>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</si>
  <si>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</si>
  <si>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</si>
  <si>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</si>
  <si>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</si>
  <si>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</si>
  <si>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</si>
  <si>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</si>
  <si>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</si>
  <si>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</si>
  <si>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</si>
  <si>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</si>
  <si>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</si>
  <si>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</si>
  <si>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</si>
  <si>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</si>
  <si>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</si>
  <si>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</si>
  <si>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</si>
  <si>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</si>
  <si>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</si>
  <si>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</si>
  <si>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</si>
  <si>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</si>
  <si>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</si>
  <si>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</si>
  <si>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</si>
  <si>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</si>
  <si>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</si>
  <si>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</si>
  <si>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</si>
  <si>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</si>
  <si>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</si>
  <si>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</si>
  <si>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</si>
  <si>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</si>
  <si>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</si>
  <si>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</si>
  <si>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</si>
  <si>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</si>
  <si>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</si>
  <si>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</si>
  <si>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</si>
  <si>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</si>
  <si>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</si>
  <si>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</si>
  <si>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</si>
  <si>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</si>
  <si>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</si>
  <si>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</si>
  <si>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</si>
  <si>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</si>
  <si>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</si>
  <si>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</si>
  <si>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</si>
  <si>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</si>
  <si>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</si>
  <si>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</si>
  <si>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</si>
  <si>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</si>
  <si>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</si>
  <si>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</si>
  <si>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</si>
  <si>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</si>
  <si>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</si>
  <si>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</si>
  <si>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</si>
  <si>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</si>
  <si>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</si>
  <si>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</si>
  <si>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</si>
  <si>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</si>
  <si>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</si>
  <si>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</si>
  <si>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</si>
  <si>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</si>
  <si>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</si>
  <si>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</si>
  <si>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</si>
  <si>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</si>
  <si>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</si>
  <si>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</si>
  <si>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</si>
  <si>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</si>
  <si>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</si>
  <si>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</si>
  <si>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</si>
  <si>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</si>
  <si>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</si>
  <si>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</si>
  <si>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</si>
  <si>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</si>
  <si>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</si>
  <si>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</si>
  <si>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</si>
  <si>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</si>
  <si>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</si>
  <si>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</si>
  <si>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</si>
  <si>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</si>
  <si>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</si>
  <si>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</si>
  <si>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</si>
  <si>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</si>
  <si>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</si>
  <si>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</si>
  <si>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</si>
  <si>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</si>
  <si>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</si>
  <si>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</si>
  <si>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</si>
  <si>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</si>
  <si>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</si>
  <si>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</si>
  <si>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</si>
  <si>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</si>
  <si>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</si>
  <si>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</si>
  <si>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</si>
  <si>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</si>
  <si>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</si>
  <si>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</si>
  <si>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</si>
  <si>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</si>
  <si>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</si>
  <si>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</si>
  <si>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</si>
  <si>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</si>
  <si>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</si>
  <si>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</si>
  <si>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</si>
  <si>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</si>
  <si>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</si>
  <si>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</si>
  <si>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</si>
  <si>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</si>
  <si>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</si>
  <si>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</si>
  <si>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</si>
  <si>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</si>
  <si>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</si>
  <si>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</si>
  <si>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</si>
  <si>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</si>
  <si>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</si>
  <si>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</si>
  <si>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</si>
  <si>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</si>
  <si>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</si>
  <si>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</si>
  <si>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</si>
  <si>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</si>
  <si>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</si>
  <si>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</si>
  <si>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</si>
  <si>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</si>
  <si>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</si>
  <si>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</si>
  <si>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</si>
  <si>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</si>
  <si>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</si>
  <si>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</si>
  <si>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</si>
  <si>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</si>
  <si>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</si>
  <si>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</si>
  <si>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</si>
  <si>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</si>
  <si>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</si>
  <si>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</si>
  <si>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</si>
  <si>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</si>
  <si>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</si>
  <si>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</si>
  <si>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</si>
  <si>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</si>
  <si>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</si>
  <si>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</si>
  <si>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</si>
  <si>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</si>
  <si>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</si>
  <si>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</si>
  <si>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</si>
  <si>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</si>
  <si>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</si>
  <si>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</si>
  <si>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</si>
  <si>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</si>
  <si>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</si>
  <si>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</si>
  <si>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</si>
  <si>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</si>
  <si>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</si>
  <si>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</si>
  <si>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</si>
  <si>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</si>
  <si>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</si>
  <si>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</si>
  <si>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</si>
  <si>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</si>
  <si>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</si>
  <si>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</si>
  <si>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</si>
  <si>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</si>
  <si>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</si>
  <si>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</si>
  <si>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</si>
  <si>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</si>
  <si>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</si>
  <si>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</si>
  <si>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</si>
  <si>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</si>
  <si>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</si>
  <si>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</si>
  <si>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</si>
  <si>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</si>
  <si>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</si>
  <si>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</si>
  <si>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</si>
  <si>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</si>
  <si>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</si>
  <si>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</si>
  <si>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</si>
  <si>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</si>
  <si>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</si>
  <si>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</si>
  <si>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</si>
  <si>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</si>
  <si>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</si>
  <si>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</si>
  <si>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</si>
  <si>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</si>
  <si>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</si>
  <si>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</si>
  <si>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</si>
  <si>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</si>
  <si>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</si>
  <si>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</si>
  <si>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</si>
  <si>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</si>
  <si>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</si>
  <si>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</si>
  <si>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</si>
  <si>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</si>
  <si>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</si>
  <si>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</si>
  <si>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</si>
  <si>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</si>
  <si>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</si>
  <si>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</si>
  <si>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</si>
  <si>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</si>
  <si>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</si>
  <si>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</si>
  <si>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</si>
  <si>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</si>
  <si>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</si>
  <si>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</si>
  <si>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</si>
  <si>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</si>
  <si>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</si>
  <si>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</si>
  <si>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</si>
  <si>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</si>
  <si>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</si>
  <si>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</si>
  <si>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</si>
  <si>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</si>
  <si>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</si>
  <si>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</si>
  <si>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</si>
  <si>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</si>
  <si>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</si>
  <si>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</si>
  <si>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</si>
  <si>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</si>
  <si>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</si>
  <si>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</si>
  <si>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</si>
  <si>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</si>
  <si>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</si>
  <si>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</si>
  <si>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</si>
  <si>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</si>
  <si>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</si>
  <si>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</si>
  <si>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</si>
  <si>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</si>
  <si>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</si>
  <si>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</si>
  <si>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</si>
  <si>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</si>
  <si>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</si>
  <si>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</si>
  <si>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</si>
  <si>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</si>
  <si>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</si>
  <si>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</si>
  <si>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</si>
  <si>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</si>
  <si>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</si>
  <si>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</si>
  <si>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</si>
  <si>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</si>
  <si>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</si>
  <si>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</si>
  <si>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</si>
  <si>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</si>
  <si>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</si>
  <si>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</si>
  <si>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</si>
  <si>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</si>
  <si>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</si>
  <si>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</si>
  <si>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</si>
  <si>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</si>
  <si>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</si>
  <si>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</si>
  <si>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</si>
  <si>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</si>
  <si>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</si>
  <si>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</si>
  <si>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</si>
  <si>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</si>
  <si>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</si>
  <si>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</si>
  <si>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</si>
  <si>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</si>
  <si>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</si>
  <si>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</si>
  <si>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</si>
  <si>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</si>
  <si>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</si>
  <si>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</si>
  <si>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</si>
  <si>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</si>
  <si>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</si>
  <si>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</si>
  <si>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</si>
  <si>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</si>
  <si>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</si>
  <si>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</si>
  <si>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</si>
  <si>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</si>
  <si>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</si>
  <si>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</si>
  <si>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</si>
  <si>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</si>
  <si>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</si>
  <si>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</si>
  <si>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</si>
  <si>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</si>
  <si>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</si>
  <si>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</si>
  <si>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</si>
  <si>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</si>
  <si>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</si>
  <si>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</si>
  <si>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</si>
  <si>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</si>
  <si>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</si>
  <si>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</si>
  <si>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</si>
  <si>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</si>
  <si>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</si>
  <si>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</si>
  <si>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</si>
  <si>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</si>
  <si>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</si>
  <si>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</si>
  <si>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</si>
  <si>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</si>
  <si>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</si>
  <si>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</si>
  <si>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</si>
  <si>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</si>
  <si>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</si>
  <si>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</si>
  <si>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</si>
  <si>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</si>
  <si>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</si>
  <si>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</si>
  <si>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</si>
  <si>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</si>
  <si>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</si>
  <si>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</si>
  <si>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</si>
  <si>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</si>
  <si>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</si>
  <si>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</si>
  <si>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</si>
  <si>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</si>
  <si>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</si>
  <si>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</si>
  <si>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</si>
  <si>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</si>
  <si>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</si>
  <si>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</si>
  <si>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</si>
  <si>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</si>
  <si>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</si>
  <si>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</si>
  <si>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</si>
  <si>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</si>
  <si>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</si>
  <si>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</si>
  <si>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</si>
  <si>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</si>
  <si>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</si>
  <si>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</si>
  <si>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</si>
  <si>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</si>
  <si>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</si>
  <si>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</si>
  <si>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</si>
  <si>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</si>
  <si>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</si>
  <si>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</si>
  <si>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</si>
  <si>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</si>
  <si>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</si>
  <si>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</si>
  <si>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</si>
  <si>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</si>
  <si>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</si>
  <si>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</si>
  <si>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</si>
  <si>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</si>
  <si>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</si>
  <si>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</si>
  <si>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</si>
  <si>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</si>
  <si>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</si>
  <si>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</si>
  <si>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</si>
  <si>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</si>
  <si>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</si>
  <si>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</si>
  <si>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</si>
  <si>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</si>
  <si>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</si>
  <si>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</si>
  <si>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</si>
  <si>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</si>
  <si>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</si>
  <si>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</si>
  <si>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</si>
  <si>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</si>
  <si>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</si>
  <si>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</si>
  <si>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</si>
  <si>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</si>
  <si>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</si>
  <si>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</si>
  <si>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</si>
  <si>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</si>
  <si>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</si>
  <si>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</si>
  <si>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</si>
  <si>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</si>
  <si>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</si>
  <si>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</si>
  <si>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</si>
  <si>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</si>
  <si>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</si>
  <si>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</si>
  <si>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</si>
  <si>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</si>
  <si>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</si>
  <si>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</si>
  <si>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</si>
  <si>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</si>
  <si>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</si>
  <si>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</si>
  <si>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</si>
  <si>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</si>
  <si>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</si>
  <si>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</si>
  <si>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</si>
  <si>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</si>
  <si>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</si>
  <si>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</si>
  <si>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</si>
  <si>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</si>
  <si>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</si>
  <si>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</si>
  <si>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</si>
  <si>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</si>
  <si>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</si>
  <si>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</si>
  <si>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</si>
  <si>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</si>
  <si>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</si>
  <si>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</si>
  <si>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</si>
  <si>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</si>
  <si>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</si>
  <si>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</si>
  <si>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</si>
  <si>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</si>
  <si>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</si>
  <si>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</si>
  <si>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</si>
  <si>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</si>
  <si>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</si>
  <si>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</si>
  <si>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</si>
  <si>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</si>
  <si>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</si>
  <si>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</si>
  <si>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</si>
  <si>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</si>
  <si>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</si>
  <si>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</si>
  <si>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</si>
  <si>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</si>
  <si>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</si>
  <si>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</si>
  <si>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</si>
  <si>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</si>
  <si>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</si>
  <si>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</si>
  <si>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</si>
  <si>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</si>
  <si>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</si>
  <si>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</si>
  <si>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</si>
  <si>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</si>
  <si>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</si>
  <si>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</si>
  <si>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</si>
  <si>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</si>
  <si>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</si>
  <si>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</si>
  <si>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</si>
  <si>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</si>
  <si>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</si>
  <si>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</si>
  <si>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</si>
  <si>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</si>
  <si>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</si>
  <si>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</si>
  <si>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</si>
  <si>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</si>
  <si>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</si>
  <si>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</si>
  <si>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</si>
  <si>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</si>
  <si>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</si>
  <si>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</si>
  <si>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</si>
  <si>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</si>
  <si>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</si>
  <si>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</si>
  <si>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</si>
  <si>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</si>
  <si>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</si>
  <si>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</si>
  <si>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</si>
  <si>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</si>
  <si>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</si>
  <si>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</si>
  <si>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</si>
  <si>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</si>
  <si>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</si>
  <si>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</si>
  <si>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</si>
  <si>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</si>
  <si>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</si>
  <si>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</si>
  <si>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</si>
  <si>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</si>
  <si>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</si>
  <si>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</si>
  <si>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</si>
  <si>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</si>
  <si>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</si>
  <si>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</si>
  <si>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</si>
  <si>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</si>
  <si>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</si>
  <si>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</si>
  <si>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</si>
  <si>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</si>
  <si>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</si>
  <si>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</si>
  <si>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</si>
  <si>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</si>
  <si>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</si>
  <si>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</si>
  <si>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</si>
  <si>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</si>
  <si>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</si>
  <si>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</si>
  <si>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</si>
  <si>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</si>
  <si>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</si>
  <si>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</si>
  <si>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</si>
  <si>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</si>
  <si>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</si>
  <si>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</si>
  <si>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</si>
  <si>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</si>
  <si>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</si>
  <si>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</si>
  <si>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</si>
  <si>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</si>
  <si>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</si>
  <si>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</si>
  <si>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</si>
  <si>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</si>
  <si>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</si>
  <si>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</si>
  <si>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</si>
  <si>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</si>
  <si>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</si>
  <si>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</si>
  <si>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</si>
  <si>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</si>
  <si>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</si>
  <si>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</si>
  <si>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</si>
  <si>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</si>
  <si>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</si>
  <si>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</si>
  <si>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</si>
  <si>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</si>
  <si>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</si>
  <si>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</si>
  <si>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</si>
  <si>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</si>
  <si>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</si>
  <si>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</si>
  <si>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</si>
  <si>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</si>
  <si>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</si>
  <si>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</si>
  <si>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</si>
  <si>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</si>
  <si>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</si>
  <si>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</si>
  <si>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</si>
  <si>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</si>
  <si>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</si>
  <si>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</si>
  <si>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</si>
  <si>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</si>
  <si>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</si>
  <si>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</si>
  <si>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</si>
  <si>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</si>
  <si>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</si>
  <si>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</si>
  <si>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</si>
  <si>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</si>
  <si>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</si>
  <si>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</si>
  <si>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</si>
  <si>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</si>
  <si>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</si>
  <si>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</si>
  <si>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</si>
  <si>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</si>
  <si>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</si>
  <si>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</si>
  <si>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</si>
  <si>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</si>
  <si>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</si>
  <si>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</si>
  <si>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</si>
  <si>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</si>
  <si>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</si>
  <si>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</si>
  <si>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</si>
  <si>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</si>
  <si>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</si>
  <si>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</si>
  <si>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</si>
  <si>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</si>
  <si>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</si>
  <si>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</si>
  <si>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</si>
  <si>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</si>
  <si>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</si>
  <si>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</si>
  <si>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</si>
  <si>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</si>
  <si>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</si>
  <si>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</si>
  <si>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</si>
  <si>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</si>
  <si>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</si>
  <si>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</si>
  <si>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</si>
  <si>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</si>
  <si>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</si>
  <si>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</si>
  <si>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</si>
  <si>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</si>
  <si>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</si>
  <si>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</si>
  <si>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</si>
  <si>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</si>
  <si>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</si>
  <si>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</si>
  <si>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</si>
  <si>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</si>
  <si>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</si>
  <si>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</si>
  <si>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</si>
  <si>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</si>
  <si>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</si>
  <si>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</si>
  <si>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</si>
  <si>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</si>
  <si>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</si>
  <si>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</si>
  <si>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</si>
  <si>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</si>
  <si>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</si>
  <si>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</si>
  <si>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</si>
  <si>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</si>
  <si>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</si>
  <si>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</si>
  <si>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</si>
  <si>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</si>
  <si>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</si>
  <si>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</si>
  <si>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</si>
  <si>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</si>
  <si>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</si>
  <si>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</si>
  <si>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</si>
  <si>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</si>
  <si>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</si>
  <si>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</si>
  <si>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</si>
  <si>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</si>
  <si>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</si>
  <si>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</si>
  <si>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</si>
  <si>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</si>
  <si>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</si>
  <si>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</si>
  <si>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</si>
  <si>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</si>
  <si>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</si>
  <si>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</si>
  <si>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</si>
  <si>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</si>
  <si>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</si>
  <si>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</si>
  <si>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</si>
  <si>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</si>
  <si>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</si>
  <si>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</si>
  <si>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</si>
  <si>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</si>
  <si>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</si>
  <si>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</si>
  <si>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</si>
  <si>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</si>
  <si>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</si>
  <si>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</si>
  <si>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</si>
  <si>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</si>
  <si>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</si>
  <si>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</si>
  <si>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</si>
  <si>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</si>
  <si>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</si>
  <si>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</si>
  <si>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</si>
  <si>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</si>
  <si>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</si>
  <si>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</si>
  <si>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</si>
  <si>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</si>
  <si>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</si>
  <si>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</si>
  <si>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</si>
  <si>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</si>
  <si>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</si>
  <si>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</si>
  <si>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</si>
  <si>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</si>
  <si>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</si>
  <si>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</si>
  <si>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</si>
  <si>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</si>
  <si>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</si>
  <si>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</si>
  <si>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</si>
  <si>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</si>
  <si>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</si>
  <si>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</si>
  <si>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</si>
  <si>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</si>
  <si>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</si>
  <si>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</si>
  <si>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</si>
  <si>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</si>
  <si>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</si>
  <si>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</si>
  <si>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</si>
  <si>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</si>
  <si>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</si>
  <si>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</si>
  <si>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</si>
  <si>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</si>
  <si>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</si>
  <si>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</si>
  <si>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</si>
  <si>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</si>
  <si>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</si>
  <si>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</si>
  <si>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</si>
  <si>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</si>
  <si>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</si>
  <si>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</si>
  <si>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</si>
  <si>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</si>
  <si>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</si>
  <si>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</si>
  <si>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</si>
  <si>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</si>
  <si>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</si>
  <si>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</si>
  <si>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</si>
  <si>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</si>
  <si>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</si>
  <si>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</si>
  <si>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</si>
  <si>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</si>
  <si>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</si>
  <si>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</si>
  <si>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</si>
  <si>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</si>
  <si>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</si>
  <si>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</si>
  <si>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</si>
  <si>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</si>
  <si>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</si>
  <si>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</si>
  <si>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</si>
  <si>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</si>
  <si>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</si>
  <si>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</si>
  <si>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</si>
  <si>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</si>
  <si>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</si>
  <si>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</si>
  <si>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</si>
  <si>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</si>
  <si>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</si>
  <si>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</si>
  <si>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</si>
  <si>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</si>
  <si>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</si>
  <si>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</si>
  <si>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</si>
  <si>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</si>
  <si>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</si>
  <si>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</si>
  <si>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</si>
  <si>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</si>
  <si>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</si>
  <si>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</si>
  <si>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</si>
  <si>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</si>
  <si>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</si>
  <si>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</si>
  <si>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</si>
  <si>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</si>
  <si>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</si>
  <si>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</si>
  <si>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</si>
  <si>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</si>
  <si>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</si>
  <si>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</si>
  <si>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</si>
  <si>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</si>
  <si>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</si>
  <si>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</si>
  <si>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</si>
  <si>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</si>
  <si>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</si>
  <si>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</si>
  <si>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</si>
  <si>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</si>
  <si>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</si>
  <si>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</si>
  <si>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</si>
  <si>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</si>
  <si>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</si>
  <si>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</si>
  <si>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</si>
  <si>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</si>
  <si>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</si>
  <si>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</si>
  <si>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</si>
  <si>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</si>
  <si>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</si>
  <si>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</si>
  <si>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</si>
  <si>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</si>
  <si>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</si>
  <si>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</si>
  <si>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</si>
  <si>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</si>
  <si>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</si>
  <si>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</si>
  <si>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</si>
  <si>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</si>
  <si>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</si>
  <si>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</si>
  <si>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</si>
  <si>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</si>
  <si>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</si>
  <si>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</si>
  <si>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</si>
  <si>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</si>
  <si>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</si>
  <si>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</si>
  <si>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</si>
  <si>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</si>
  <si>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</si>
  <si>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</si>
  <si>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</si>
  <si>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</si>
  <si>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</si>
  <si>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</si>
  <si>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</si>
  <si>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</si>
  <si>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</si>
  <si>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</si>
  <si>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</si>
  <si>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</si>
  <si>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</si>
  <si>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</si>
  <si>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</si>
  <si>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</si>
  <si>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</si>
  <si>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</si>
  <si>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</si>
  <si>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</si>
  <si>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</si>
  <si>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</si>
  <si>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</si>
  <si>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</si>
  <si>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</si>
  <si>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</si>
  <si>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</si>
  <si>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</si>
  <si>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</si>
  <si>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</si>
  <si>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</si>
  <si>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</si>
  <si>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</si>
  <si>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</si>
  <si>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</si>
  <si>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</si>
  <si>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</si>
  <si>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</si>
  <si>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</si>
  <si>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</si>
  <si>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</si>
  <si>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</si>
  <si>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</si>
  <si>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</si>
  <si>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</si>
  <si>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</si>
  <si>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</si>
  <si>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</si>
  <si>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</si>
  <si>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</si>
  <si>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</si>
  <si>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</si>
  <si>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</si>
  <si>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</si>
  <si>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</si>
  <si>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</si>
  <si>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</si>
  <si>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</si>
  <si>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</si>
  <si>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</si>
  <si>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</si>
  <si>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</si>
  <si>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</si>
  <si>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</si>
  <si>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</si>
  <si>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</si>
  <si>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</si>
  <si>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</si>
  <si>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</si>
  <si>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</si>
  <si>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</si>
  <si>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</si>
  <si>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</si>
  <si>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</si>
  <si>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</si>
  <si>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</si>
  <si>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</si>
  <si>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</si>
  <si>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</si>
  <si>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</si>
  <si>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</si>
  <si>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</si>
  <si>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</si>
  <si>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</si>
  <si>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</si>
  <si>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</si>
  <si>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</si>
  <si>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</si>
  <si>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</si>
  <si>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</si>
  <si>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</si>
  <si>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</si>
  <si>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</si>
  <si>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</si>
  <si>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</si>
  <si>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</si>
  <si>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</si>
  <si>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</si>
  <si>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</si>
  <si>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</si>
  <si>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</si>
  <si>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</si>
  <si>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</si>
  <si>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</si>
  <si>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</si>
  <si>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</si>
  <si>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</si>
  <si>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</si>
  <si>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</si>
  <si>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</si>
  <si>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</si>
  <si>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</si>
  <si>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</si>
  <si>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</si>
  <si>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</si>
  <si>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</si>
  <si>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</si>
  <si>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</si>
  <si>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</si>
  <si>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</si>
  <si>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</si>
  <si>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</si>
  <si>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</si>
  <si>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</si>
  <si>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</si>
  <si>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</si>
  <si>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</si>
  <si>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</si>
  <si>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</si>
  <si>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</si>
  <si>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</si>
  <si>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</si>
  <si>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</si>
  <si>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</si>
  <si>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</si>
  <si>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</si>
  <si>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</si>
  <si>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</si>
  <si>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</si>
  <si>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</si>
  <si>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</si>
  <si>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</si>
  <si>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</si>
  <si>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</si>
  <si>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</si>
  <si>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</si>
  <si>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</si>
  <si>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</si>
  <si>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</si>
  <si>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</si>
  <si>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</si>
  <si>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</si>
  <si>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</si>
  <si>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</si>
  <si>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</si>
  <si>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</si>
  <si>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</si>
  <si>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</si>
  <si>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</si>
  <si>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</si>
  <si>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</si>
  <si>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</si>
  <si>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</si>
  <si>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</si>
  <si>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</si>
  <si>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</si>
  <si>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</si>
  <si>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</si>
  <si>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</si>
  <si>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</si>
  <si>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</si>
  <si>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</si>
  <si>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</si>
  <si>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</si>
  <si>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</si>
  <si>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</si>
  <si>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</si>
  <si>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</si>
  <si>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</si>
  <si>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</si>
  <si>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</si>
  <si>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</si>
  <si>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</si>
  <si>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</si>
  <si>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</si>
  <si>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</si>
  <si>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</si>
  <si>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</si>
  <si>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</si>
  <si>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</si>
  <si>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</si>
  <si>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</si>
  <si>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</si>
  <si>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</si>
  <si>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</si>
  <si>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</si>
  <si>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</si>
  <si>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</si>
  <si>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</si>
  <si>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</si>
  <si>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</si>
  <si>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</si>
  <si>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</si>
  <si>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</si>
  <si>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</si>
  <si>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</si>
  <si>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</si>
  <si>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</si>
  <si>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</si>
  <si>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</si>
  <si>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</si>
  <si>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</si>
  <si>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</si>
  <si>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</si>
  <si>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</si>
  <si>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</si>
  <si>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</si>
  <si>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</si>
  <si>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</si>
  <si>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</si>
  <si>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</si>
  <si>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</si>
  <si>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</si>
  <si>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</si>
  <si>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</si>
  <si>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</si>
  <si>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</si>
  <si>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</si>
  <si>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</si>
  <si>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</si>
  <si>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</si>
  <si>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</si>
  <si>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</si>
  <si>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</si>
  <si>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</si>
  <si>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</si>
  <si>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</si>
  <si>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</si>
  <si>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</si>
  <si>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</si>
  <si>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</si>
  <si>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</si>
  <si>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</si>
  <si>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</si>
  <si>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</si>
  <si>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</si>
  <si>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</si>
  <si>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</si>
  <si>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</si>
  <si>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</si>
  <si>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</si>
  <si>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</si>
  <si>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</si>
  <si>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</si>
  <si>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</si>
  <si>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</si>
  <si>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</si>
  <si>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</si>
  <si>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</si>
  <si>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</si>
  <si>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</si>
  <si>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</si>
  <si>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</si>
  <si>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</si>
  <si>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</si>
  <si>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</si>
  <si>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</si>
  <si>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</si>
  <si>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</si>
  <si>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</si>
  <si>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</si>
  <si>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</si>
  <si>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</si>
  <si>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</si>
  <si>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</si>
  <si>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</si>
  <si>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</si>
  <si>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</si>
  <si>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</si>
  <si>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</si>
  <si>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</si>
  <si>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</si>
  <si>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</si>
  <si>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</si>
  <si>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</si>
  <si>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</si>
  <si>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</si>
  <si>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</si>
  <si>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</si>
  <si>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</si>
  <si>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</si>
  <si>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</si>
  <si>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</si>
  <si>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</si>
  <si>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</si>
  <si>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</si>
  <si>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</si>
  <si>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</si>
  <si>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</si>
  <si>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</si>
  <si>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</si>
  <si>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</si>
  <si>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</si>
  <si>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</si>
  <si>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</si>
  <si>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</si>
  <si>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</si>
  <si>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</si>
  <si>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</si>
  <si>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</si>
  <si>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</si>
  <si>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</si>
  <si>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</si>
  <si>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</si>
  <si>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</si>
  <si>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</si>
  <si>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</si>
  <si>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708 N STATE ST</t>
  </si>
  <si>
    <t>LOCKPORT</t>
  </si>
  <si>
    <t>DR. TIM ARNOLD</t>
  </si>
  <si>
    <t>815-838-8031</t>
  </si>
  <si>
    <t>815-838-8034</t>
  </si>
  <si>
    <t>X</t>
  </si>
  <si>
    <t>GASSENSMITH &amp; MICHALESKO, LTD</t>
  </si>
  <si>
    <t>JOHN MICHALESKO</t>
  </si>
  <si>
    <t>323 SPRINGFIELD</t>
  </si>
  <si>
    <t>JOLIET</t>
  </si>
  <si>
    <t>IL</t>
  </si>
  <si>
    <t>815-744-6200</t>
  </si>
  <si>
    <t>815-744-3822</t>
  </si>
  <si>
    <t>066-004945</t>
  </si>
  <si>
    <t>GO LIMITED TAX SCHOOL BONDS, SERIES 2015</t>
  </si>
  <si>
    <t>Lincolnway Area Affiliation</t>
  </si>
  <si>
    <t>Vanguard</t>
  </si>
  <si>
    <t>Northern Illinois Independent Purchasing Cooperative</t>
  </si>
  <si>
    <t>ESIC; SELF</t>
  </si>
  <si>
    <t>ISDLAF</t>
  </si>
  <si>
    <t>U.S. Department of Agriculture:</t>
  </si>
  <si>
    <t>Flow-Through from the Illinois State Board of Education:</t>
  </si>
  <si>
    <t>Child Nutrition Cluster:</t>
  </si>
  <si>
    <t>Non-Cash Commodities Received:</t>
  </si>
  <si>
    <t>Department of Agriculture - Food Distribution</t>
  </si>
  <si>
    <t>Department of Defense - Fresh Fruits and Vegetables</t>
  </si>
  <si>
    <t>Total U.S. Department of Agriculture:</t>
  </si>
  <si>
    <t>U.S. Department of Education:</t>
  </si>
  <si>
    <t>19-4210-00</t>
  </si>
  <si>
    <t>18-4210-00</t>
  </si>
  <si>
    <t>19-4999-00</t>
  </si>
  <si>
    <t>18-4999-00</t>
  </si>
  <si>
    <t>Special Education Cluster:</t>
  </si>
  <si>
    <t>IDEA - Flow-Through/Preschool (M)</t>
  </si>
  <si>
    <t>IDEA - Flow-Through/Preschool</t>
  </si>
  <si>
    <t>IDEA - Flow-Through/Low Incidence (M)</t>
  </si>
  <si>
    <t>IDEA - Flow-Through/Low Incidence</t>
  </si>
  <si>
    <t>Total Special Education Cluster:</t>
  </si>
  <si>
    <t>84.173A</t>
  </si>
  <si>
    <t>84.027A</t>
  </si>
  <si>
    <t>19-4600</t>
  </si>
  <si>
    <t>18-4600</t>
  </si>
  <si>
    <t>19-4620</t>
  </si>
  <si>
    <t>18-4620</t>
  </si>
  <si>
    <t>Title IV - Student Support and Academic Enrichment</t>
  </si>
  <si>
    <t>Total U.S. Department of Education:</t>
  </si>
  <si>
    <t>84.010A</t>
  </si>
  <si>
    <t>84.367A</t>
  </si>
  <si>
    <t>84.424A</t>
  </si>
  <si>
    <t>19-4300</t>
  </si>
  <si>
    <t>18-4300</t>
  </si>
  <si>
    <t>19-4932</t>
  </si>
  <si>
    <t>18-4932</t>
  </si>
  <si>
    <t>19-4400</t>
  </si>
  <si>
    <t>18-4400</t>
  </si>
  <si>
    <t>N/A</t>
  </si>
  <si>
    <t>U.S. Department of Health and Human Services:</t>
  </si>
  <si>
    <t>Flow-Through from the Illinois Department of Healthcare &amp; Family Services:</t>
  </si>
  <si>
    <t>Medicaid Administrative Outreach</t>
  </si>
  <si>
    <t>Total U.S. Department of Health and Human Services:</t>
  </si>
  <si>
    <t>TOTAL FEDERAL AWARDS</t>
  </si>
  <si>
    <t>19-4991</t>
  </si>
  <si>
    <t>18-4991</t>
  </si>
  <si>
    <r>
      <t>The accompanying Schedule of Expenditures of Federal Awards includes the federal grant activity of the District and is presented on the Modified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</si>
  <si>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District provided federal awards to subrecipients as follows:</t>
  </si>
  <si>
    <t>NONE.</t>
  </si>
  <si>
    <r>
      <t xml:space="preserve">The following amounts were expended in the form of non-cash assistance by District and </t>
    </r>
    <r>
      <rPr>
        <b/>
        <sz val="9"/>
        <rFont val="Calibri"/>
        <family val="2"/>
        <scheme val="minor"/>
      </rPr>
      <t>should be</t>
    </r>
    <r>
      <rPr>
        <sz val="9"/>
        <rFont val="Calibri"/>
        <family val="2"/>
        <scheme val="minor"/>
      </rPr>
      <t xml:space="preserve"> included in the Schedule of Expenditures of Federal Awards:</t>
    </r>
  </si>
  <si>
    <t>Unmodified</t>
  </si>
  <si>
    <t>Special Education Cluster</t>
  </si>
  <si>
    <t>84.027A, 84.173A</t>
  </si>
  <si>
    <t>GASSENSMITH &amp; MICHALESKO, LTD.</t>
  </si>
  <si>
    <t>Chicago Office Technology Group</t>
  </si>
  <si>
    <t xml:space="preserve">US Bank </t>
  </si>
  <si>
    <t>ED-Suport Services-PS</t>
  </si>
  <si>
    <t>ED- Support Services_PS</t>
  </si>
  <si>
    <t>10-2570-300</t>
  </si>
  <si>
    <t>10-2200-300</t>
  </si>
  <si>
    <t>Will County SD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</si>
</sst>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3" fontId="73" fillId="0" borderId="22" xfId="3" applyNumberFormat="1" applyFont="1" applyBorder="1" applyAlignment="1" applyProtection="1">
      <alignment horizontal="left" vertical="center" wrapText="1"/>
      <protection locked="0"/>
    </xf>
    <xf numFmtId="181" fontId="62" fillId="0" borderId="8" xfId="1" applyNumberFormat="1" applyFont="1" applyBorder="1" applyAlignment="1" applyProtection="1">
      <alignment horizontal="center"/>
      <protection locked="0"/>
    </xf>
    <xf numFmtId="181" fontId="62" fillId="0" borderId="22" xfId="1" applyNumberFormat="1" applyFont="1" applyBorder="1" applyAlignment="1" applyProtection="1">
      <alignment horizontal="center"/>
      <protection locked="0"/>
    </xf>
    <xf numFmtId="3" fontId="62" fillId="0" borderId="22" xfId="3" applyNumberFormat="1" applyFont="1" applyFill="1" applyBorder="1" applyAlignment="1" applyProtection="1">
      <alignment horizontal="left" vertical="center" wrapText="1"/>
      <protection locked="0"/>
    </xf>
    <xf numFmtId="169" fontId="62" fillId="0" borderId="8" xfId="3" applyNumberFormat="1" applyFont="1" applyFill="1" applyBorder="1" applyAlignment="1" applyProtection="1">
      <alignment horizontal="center"/>
      <protection locked="0"/>
    </xf>
    <xf numFmtId="1" fontId="62" fillId="0" borderId="8" xfId="3" applyNumberFormat="1" applyFont="1" applyFill="1" applyBorder="1" applyAlignment="1" applyProtection="1">
      <alignment horizontal="center"/>
      <protection locked="0"/>
    </xf>
    <xf numFmtId="181" fontId="62" fillId="0" borderId="8" xfId="1"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0" t="s">
        <v>405</v>
      </c>
      <c r="J1" s="1991"/>
      <c r="K1" s="1991"/>
      <c r="L1" s="1991"/>
      <c r="M1" s="1991"/>
      <c r="N1" s="1991"/>
      <c r="O1" s="1991"/>
      <c r="P1" s="1991"/>
      <c r="Q1" s="1991"/>
      <c r="R1" s="1991"/>
      <c r="S1" s="1991"/>
    </row>
    <row r="2" spans="1:28" ht="12" customHeight="1" x14ac:dyDescent="0.2">
      <c r="A2" s="47" t="s">
        <v>1990</v>
      </c>
      <c r="D2" s="48"/>
      <c r="I2" s="1992" t="s">
        <v>979</v>
      </c>
      <c r="J2" s="1991"/>
      <c r="K2" s="1991"/>
      <c r="L2" s="1991"/>
      <c r="M2" s="1991"/>
      <c r="N2" s="1991"/>
      <c r="O2" s="1991"/>
      <c r="P2" s="1991"/>
      <c r="Q2" s="1991"/>
      <c r="R2" s="1991"/>
      <c r="S2" s="1991"/>
    </row>
    <row r="3" spans="1:28" ht="12" customHeight="1" x14ac:dyDescent="0.2">
      <c r="A3" s="155" t="s">
        <v>1942</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2061</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2061</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56099092002</v>
      </c>
      <c r="B13" s="2026"/>
      <c r="C13" s="2026"/>
      <c r="D13" s="2026"/>
      <c r="E13" s="2026"/>
      <c r="F13" s="2026"/>
      <c r="G13" s="2026"/>
      <c r="H13" s="2027"/>
      <c r="I13" s="31"/>
      <c r="J13" s="30"/>
      <c r="K13" s="28"/>
      <c r="L13" s="30"/>
      <c r="M13" s="30"/>
      <c r="N13" s="30"/>
      <c r="O13" s="30"/>
      <c r="P13" s="30"/>
      <c r="Q13" s="30"/>
      <c r="R13" s="30"/>
      <c r="S13" s="30"/>
      <c r="T13" s="2030" t="s">
        <v>2069</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2062</v>
      </c>
      <c r="B15" s="2028"/>
      <c r="C15" s="2028"/>
      <c r="D15" s="2028"/>
      <c r="E15" s="2028"/>
      <c r="F15" s="2028"/>
      <c r="G15" s="2028"/>
      <c r="H15" s="2029"/>
      <c r="T15" s="2034" t="s">
        <v>2070</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2140</v>
      </c>
      <c r="B17" s="1985"/>
      <c r="C17" s="1985"/>
      <c r="D17" s="1985"/>
      <c r="E17" s="1985"/>
      <c r="F17" s="1985"/>
      <c r="G17" s="1985"/>
      <c r="H17" s="2010"/>
      <c r="T17" s="2041" t="s">
        <v>2071</v>
      </c>
      <c r="U17" s="2042"/>
      <c r="V17" s="2042"/>
      <c r="W17" s="2042"/>
      <c r="X17" s="2042"/>
      <c r="Y17" s="2042"/>
      <c r="Z17" s="2042"/>
      <c r="AA17" s="2043"/>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2063</v>
      </c>
      <c r="B19" s="1970"/>
      <c r="C19" s="1970"/>
      <c r="D19" s="1970"/>
      <c r="E19" s="1970"/>
      <c r="F19" s="1970"/>
      <c r="G19" s="1970"/>
      <c r="H19" s="1950"/>
      <c r="I19" s="30"/>
      <c r="J19" s="99"/>
      <c r="K19" s="40"/>
      <c r="L19" s="38"/>
      <c r="M19" s="112" t="s">
        <v>315</v>
      </c>
      <c r="P19" s="27"/>
      <c r="Q19" s="27"/>
      <c r="R19" s="27"/>
      <c r="S19" s="31"/>
      <c r="T19" s="2024" t="s">
        <v>2072</v>
      </c>
      <c r="U19" s="1949"/>
      <c r="V19" s="1949"/>
      <c r="W19" s="1950"/>
      <c r="X19" s="2039" t="s">
        <v>2073</v>
      </c>
      <c r="Y19" s="2040"/>
      <c r="Z19" s="2037">
        <v>60435</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2064</v>
      </c>
      <c r="B21" s="1949"/>
      <c r="C21" s="1949"/>
      <c r="D21" s="1949"/>
      <c r="E21" s="1949"/>
      <c r="F21" s="1949"/>
      <c r="G21" s="1949"/>
      <c r="H21" s="1950"/>
      <c r="I21" s="2004" t="s">
        <v>678</v>
      </c>
      <c r="J21" s="1999"/>
      <c r="K21" s="1999"/>
      <c r="L21" s="1999"/>
      <c r="M21" s="1999"/>
      <c r="N21" s="1999"/>
      <c r="O21" s="1999"/>
      <c r="P21" s="1999"/>
      <c r="Q21" s="1999"/>
      <c r="R21" s="1999"/>
      <c r="S21" s="2005"/>
      <c r="T21" s="2048" t="s">
        <v>2074</v>
      </c>
      <c r="U21" s="2049"/>
      <c r="V21" s="2049"/>
      <c r="W21" s="2049"/>
      <c r="X21" s="2054" t="s">
        <v>2075</v>
      </c>
      <c r="Y21" s="2055"/>
      <c r="Z21" s="2055"/>
      <c r="AA21" s="2056"/>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c r="B23" s="2002"/>
      <c r="C23" s="2002"/>
      <c r="D23" s="2002"/>
      <c r="E23" s="2002"/>
      <c r="F23" s="2002"/>
      <c r="G23" s="2002"/>
      <c r="H23" s="2003"/>
      <c r="T23" s="1984" t="s">
        <v>2076</v>
      </c>
      <c r="U23" s="2047"/>
      <c r="V23" s="2047"/>
      <c r="W23" s="2047"/>
      <c r="X23" s="2051">
        <v>44530</v>
      </c>
      <c r="Y23" s="2052"/>
      <c r="Z23" s="2052"/>
      <c r="AA23" s="2053"/>
    </row>
    <row r="24" spans="1:27" ht="14.1" customHeight="1" x14ac:dyDescent="0.2">
      <c r="A24" s="88" t="s">
        <v>677</v>
      </c>
      <c r="B24" s="49"/>
      <c r="C24" s="49"/>
      <c r="D24" s="49"/>
      <c r="E24" s="49"/>
      <c r="F24" s="49"/>
      <c r="G24" s="49"/>
      <c r="H24" s="61"/>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v>60441</v>
      </c>
      <c r="B25" s="1949"/>
      <c r="C25" s="1949"/>
      <c r="D25" s="1949"/>
      <c r="E25" s="1949"/>
      <c r="F25" s="1949"/>
      <c r="G25" s="1949"/>
      <c r="H25" s="1950"/>
      <c r="I25" s="113"/>
      <c r="J25" s="1973"/>
      <c r="K25" s="1973"/>
      <c r="L25" s="1973"/>
      <c r="M25" s="1973"/>
      <c r="N25" s="1973"/>
      <c r="O25" s="1973"/>
      <c r="P25" s="1973"/>
      <c r="Q25" s="1973"/>
      <c r="R25" s="1973"/>
      <c r="S25" s="1974"/>
      <c r="T25" s="2044"/>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2065</v>
      </c>
      <c r="B38" s="1985"/>
      <c r="C38" s="1985"/>
      <c r="D38" s="1985"/>
      <c r="E38" s="1985"/>
      <c r="F38" s="1949"/>
      <c r="G38" s="1949"/>
      <c r="H38" s="1950"/>
      <c r="I38" s="1977"/>
      <c r="J38" s="1978"/>
      <c r="K38" s="1978"/>
      <c r="L38" s="1978"/>
      <c r="M38" s="1978"/>
      <c r="N38" s="1978"/>
      <c r="O38" s="1978"/>
      <c r="P38" s="1979"/>
      <c r="Q38" s="1979"/>
      <c r="R38" s="1979"/>
      <c r="S38" s="1980"/>
      <c r="T38" s="2034"/>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c r="B40" s="1963"/>
      <c r="C40" s="1964"/>
      <c r="D40" s="1964"/>
      <c r="E40" s="1964"/>
      <c r="F40" s="1965"/>
      <c r="G40" s="1965"/>
      <c r="H40" s="1966"/>
      <c r="I40" s="1987"/>
      <c r="J40" s="1988"/>
      <c r="K40" s="1988"/>
      <c r="L40" s="1988"/>
      <c r="M40" s="1988"/>
      <c r="N40" s="1988"/>
      <c r="O40" s="1988"/>
      <c r="P40" s="1988"/>
      <c r="Q40" s="1988"/>
      <c r="R40" s="1988"/>
      <c r="S40" s="1989"/>
      <c r="T40" s="1987"/>
      <c r="U40" s="2050"/>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2066</v>
      </c>
      <c r="B42" s="1968"/>
      <c r="C42" s="1969"/>
      <c r="D42" s="1967" t="s">
        <v>2067</v>
      </c>
      <c r="E42" s="1968"/>
      <c r="F42" s="1968"/>
      <c r="G42" s="1968"/>
      <c r="H42" s="1969"/>
      <c r="I42" s="1951"/>
      <c r="J42" s="1952"/>
      <c r="K42" s="1952"/>
      <c r="L42" s="1952"/>
      <c r="M42" s="1952"/>
      <c r="N42" s="1952"/>
      <c r="O42" s="1953"/>
      <c r="P42" s="1986"/>
      <c r="Q42" s="1952"/>
      <c r="R42" s="1952"/>
      <c r="S42" s="1953"/>
      <c r="T42" s="1951"/>
      <c r="U42" s="1952"/>
      <c r="V42" s="1952"/>
      <c r="W42" s="1953"/>
      <c r="X42" s="1986"/>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1799</v>
      </c>
      <c r="B2" s="1528" t="s">
        <v>1948</v>
      </c>
      <c r="C2" s="714" t="s">
        <v>1949</v>
      </c>
      <c r="D2" s="714" t="s">
        <v>1950</v>
      </c>
      <c r="E2" s="714" t="s">
        <v>1951</v>
      </c>
      <c r="F2" s="714" t="s">
        <v>1952</v>
      </c>
    </row>
    <row r="3" spans="1:6" ht="12" customHeight="1" x14ac:dyDescent="0.2">
      <c r="A3" s="2191"/>
      <c r="B3" s="1525"/>
      <c r="C3" s="1526"/>
      <c r="D3" s="1527" t="s">
        <v>256</v>
      </c>
      <c r="E3" s="1526"/>
      <c r="F3" s="1527" t="s">
        <v>257</v>
      </c>
    </row>
    <row r="4" spans="1:6" ht="13.7" customHeight="1" x14ac:dyDescent="0.2">
      <c r="A4" s="715" t="s">
        <v>1155</v>
      </c>
      <c r="B4" s="1749">
        <f>'Revenues 9-14'!C5</f>
        <v>17392800</v>
      </c>
      <c r="C4" s="1524">
        <v>9092854</v>
      </c>
      <c r="D4" s="1752">
        <f>B4-C4</f>
        <v>8299946</v>
      </c>
      <c r="E4" s="1524">
        <v>17824499</v>
      </c>
      <c r="F4" s="1752">
        <f>E4-C4</f>
        <v>8731645</v>
      </c>
    </row>
    <row r="5" spans="1:6" ht="13.7" customHeight="1" x14ac:dyDescent="0.2">
      <c r="A5" s="715" t="s">
        <v>870</v>
      </c>
      <c r="B5" s="1750">
        <f>'Revenues 9-14'!D5</f>
        <v>2312539</v>
      </c>
      <c r="C5" s="585">
        <v>1193607</v>
      </c>
      <c r="D5" s="1753">
        <f t="shared" ref="D5:D18" si="0">B5-C5</f>
        <v>1118932</v>
      </c>
      <c r="E5" s="585">
        <v>2339798</v>
      </c>
      <c r="F5" s="1753">
        <f>E5-C5</f>
        <v>1146191</v>
      </c>
    </row>
    <row r="6" spans="1:6" ht="13.7" customHeight="1" x14ac:dyDescent="0.2">
      <c r="A6" s="715" t="s">
        <v>411</v>
      </c>
      <c r="B6" s="1750">
        <f>'Revenues 9-14'!E5</f>
        <v>773255</v>
      </c>
      <c r="C6" s="585">
        <v>398624</v>
      </c>
      <c r="D6" s="1753">
        <f t="shared" si="0"/>
        <v>374631</v>
      </c>
      <c r="E6" s="585">
        <v>781413</v>
      </c>
      <c r="F6" s="1753">
        <f t="shared" ref="F6:F18" si="1">E6-C6</f>
        <v>382789</v>
      </c>
    </row>
    <row r="7" spans="1:6" ht="13.7" customHeight="1" x14ac:dyDescent="0.2">
      <c r="A7" s="715" t="s">
        <v>155</v>
      </c>
      <c r="B7" s="1750">
        <f>'Revenues 9-14'!F5</f>
        <v>1066408</v>
      </c>
      <c r="C7" s="585">
        <v>255180</v>
      </c>
      <c r="D7" s="1753">
        <f t="shared" si="0"/>
        <v>811228</v>
      </c>
      <c r="E7" s="585">
        <v>500223</v>
      </c>
      <c r="F7" s="1753">
        <f t="shared" si="1"/>
        <v>245043</v>
      </c>
    </row>
    <row r="8" spans="1:6" ht="13.7" customHeight="1" x14ac:dyDescent="0.2">
      <c r="A8" s="715" t="s">
        <v>1179</v>
      </c>
      <c r="B8" s="1750">
        <f>'Revenues 9-14'!G5</f>
        <v>407773</v>
      </c>
      <c r="C8" s="585">
        <v>209127</v>
      </c>
      <c r="D8" s="1753">
        <f t="shared" si="0"/>
        <v>198646</v>
      </c>
      <c r="E8" s="585">
        <v>409946</v>
      </c>
      <c r="F8" s="1753">
        <f t="shared" si="1"/>
        <v>200819</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17251</v>
      </c>
      <c r="C10" s="585">
        <v>9815</v>
      </c>
      <c r="D10" s="1753">
        <f t="shared" si="0"/>
        <v>7436</v>
      </c>
      <c r="E10" s="585">
        <v>19239</v>
      </c>
      <c r="F10" s="1753">
        <f t="shared" si="1"/>
        <v>9424</v>
      </c>
    </row>
    <row r="11" spans="1:6" x14ac:dyDescent="0.2">
      <c r="A11" s="715" t="s">
        <v>409</v>
      </c>
      <c r="B11" s="1750">
        <f>'Revenues 9-14'!J5</f>
        <v>0</v>
      </c>
      <c r="C11" s="585">
        <v>0</v>
      </c>
      <c r="D11" s="1753">
        <f t="shared" si="0"/>
        <v>0</v>
      </c>
      <c r="E11" s="585">
        <v>0</v>
      </c>
      <c r="F11" s="1753">
        <f t="shared" si="1"/>
        <v>0</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673573</v>
      </c>
      <c r="C14" s="585">
        <v>509982</v>
      </c>
      <c r="D14" s="1753">
        <f t="shared" si="0"/>
        <v>163591</v>
      </c>
      <c r="E14" s="585">
        <v>999705</v>
      </c>
      <c r="F14" s="1753">
        <f t="shared" si="1"/>
        <v>489723</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358757</v>
      </c>
      <c r="C16" s="585">
        <v>183835</v>
      </c>
      <c r="D16" s="1753">
        <f t="shared" si="0"/>
        <v>174922</v>
      </c>
      <c r="E16" s="585">
        <v>360367</v>
      </c>
      <c r="F16" s="1753">
        <f t="shared" si="1"/>
        <v>176532</v>
      </c>
    </row>
    <row r="17" spans="1:6" ht="13.7" customHeight="1" x14ac:dyDescent="0.2">
      <c r="A17" s="715" t="s">
        <v>1160</v>
      </c>
      <c r="B17" s="1750">
        <f>'Revenues 9-14'!C10</f>
        <v>0</v>
      </c>
      <c r="C17" s="585">
        <v>0</v>
      </c>
      <c r="D17" s="1753">
        <f t="shared" si="0"/>
        <v>0</v>
      </c>
      <c r="E17" s="585"/>
      <c r="F17" s="1753">
        <f t="shared" si="1"/>
        <v>0</v>
      </c>
    </row>
    <row r="18" spans="1:6" ht="13.7" customHeight="1" x14ac:dyDescent="0.2">
      <c r="A18" s="715" t="s">
        <v>762</v>
      </c>
      <c r="B18" s="1750">
        <f>SUM('Revenues 9-14'!C11:K11)</f>
        <v>0</v>
      </c>
      <c r="C18" s="585">
        <v>0</v>
      </c>
      <c r="D18" s="1753">
        <f t="shared" si="0"/>
        <v>0</v>
      </c>
      <c r="E18" s="585"/>
      <c r="F18" s="1753">
        <f t="shared" si="1"/>
        <v>0</v>
      </c>
    </row>
    <row r="19" spans="1:6" ht="13.7" customHeight="1" thickBot="1" x14ac:dyDescent="0.25">
      <c r="A19" s="1754" t="s">
        <v>1161</v>
      </c>
      <c r="B19" s="1751">
        <f>SUM(B4:B18)</f>
        <v>23002356</v>
      </c>
      <c r="C19" s="1751">
        <f>SUM(C4:C18)</f>
        <v>11853024</v>
      </c>
      <c r="D19" s="1751">
        <f>SUM(D4:D18)</f>
        <v>11149332</v>
      </c>
      <c r="E19" s="1751">
        <f>SUM(E4:E18)</f>
        <v>23235190</v>
      </c>
      <c r="F19" s="1751">
        <f>SUM(F4:F18)</f>
        <v>11382166</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21"/>
    </row>
    <row r="2" spans="1:7" ht="33.75" x14ac:dyDescent="0.2">
      <c r="A2" s="2217" t="s">
        <v>1799</v>
      </c>
      <c r="B2" s="2218"/>
      <c r="C2" s="1884" t="s">
        <v>1953</v>
      </c>
      <c r="D2" s="723" t="s">
        <v>1954</v>
      </c>
      <c r="E2" s="723" t="s">
        <v>1955</v>
      </c>
      <c r="F2" s="1884" t="s">
        <v>1956</v>
      </c>
    </row>
    <row r="3" spans="1:7" ht="15.75" customHeight="1" x14ac:dyDescent="0.2">
      <c r="A3" s="2219" t="s">
        <v>1114</v>
      </c>
      <c r="B3" s="2220"/>
      <c r="C3" s="2213"/>
      <c r="D3" s="2214"/>
      <c r="E3" s="2214"/>
      <c r="F3" s="2215"/>
    </row>
    <row r="4" spans="1:7" ht="12.75" customHeight="1" thickBot="1" x14ac:dyDescent="0.25">
      <c r="A4" s="2207" t="s">
        <v>630</v>
      </c>
      <c r="B4" s="2208"/>
      <c r="C4" s="581"/>
      <c r="D4" s="581"/>
      <c r="E4" s="581"/>
      <c r="F4" s="1755">
        <f>SUM(C4+D4)-E4</f>
        <v>0</v>
      </c>
    </row>
    <row r="5" spans="1:7" ht="15.75" customHeight="1" thickTop="1" x14ac:dyDescent="0.2">
      <c r="A5" s="2211" t="s">
        <v>1110</v>
      </c>
      <c r="B5" s="2206"/>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3" t="s">
        <v>631</v>
      </c>
      <c r="B15" s="2204"/>
      <c r="C15" s="1755">
        <f>SUM(C6:C14)</f>
        <v>0</v>
      </c>
      <c r="D15" s="1755">
        <f>SUM(D6:D14)</f>
        <v>0</v>
      </c>
      <c r="E15" s="1755">
        <f>SUM(E6:E14)</f>
        <v>0</v>
      </c>
      <c r="F15" s="1755">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6"/>
      <c r="D17" s="585"/>
      <c r="E17" s="726"/>
      <c r="F17" s="1755">
        <f>SUM(C17+D17)-E17</f>
        <v>0</v>
      </c>
    </row>
    <row r="18" spans="1:11" ht="12.75" customHeight="1" thickTop="1" thickBot="1" x14ac:dyDescent="0.25">
      <c r="A18" s="2198" t="s">
        <v>6</v>
      </c>
      <c r="B18" s="2199"/>
      <c r="C18" s="726"/>
      <c r="D18" s="585"/>
      <c r="E18" s="726"/>
      <c r="F18" s="1755">
        <f>SUM(C18+D18)-E18</f>
        <v>0</v>
      </c>
    </row>
    <row r="19" spans="1:11" ht="12.75" customHeight="1" thickTop="1" thickBot="1" x14ac:dyDescent="0.25">
      <c r="A19" s="2198" t="s">
        <v>388</v>
      </c>
      <c r="B19" s="2199"/>
      <c r="C19" s="726"/>
      <c r="D19" s="585"/>
      <c r="E19" s="726"/>
      <c r="F19" s="1755">
        <f>SUM(C19+D19)-E19</f>
        <v>0</v>
      </c>
    </row>
    <row r="20" spans="1:11" ht="12.75" customHeight="1" thickTop="1" thickBot="1" x14ac:dyDescent="0.25">
      <c r="A20" s="2198" t="s">
        <v>448</v>
      </c>
      <c r="B20" s="2199"/>
      <c r="C20" s="726"/>
      <c r="D20" s="585"/>
      <c r="E20" s="726"/>
      <c r="F20" s="1755">
        <f>SUM(C20+D20)-E20</f>
        <v>0</v>
      </c>
    </row>
    <row r="21" spans="1:11" ht="14.25" thickTop="1" thickBot="1" x14ac:dyDescent="0.25">
      <c r="A21" s="2203" t="s">
        <v>632</v>
      </c>
      <c r="B21" s="2204"/>
      <c r="C21" s="1755">
        <f>SUM(C17:C20)</f>
        <v>0</v>
      </c>
      <c r="D21" s="1755">
        <f>SUM(D17:D20)</f>
        <v>0</v>
      </c>
      <c r="E21" s="1755">
        <f>SUM(E17:E20)</f>
        <v>0</v>
      </c>
      <c r="F21" s="1755">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1"/>
      <c r="D23" s="581"/>
      <c r="E23" s="581"/>
      <c r="F23" s="1755">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1"/>
      <c r="D25" s="581"/>
      <c r="E25" s="581"/>
      <c r="F25" s="1755">
        <f>SUM(C25+D25)-E25</f>
        <v>0</v>
      </c>
      <c r="G25" s="552"/>
    </row>
    <row r="26" spans="1:11" ht="15.75" customHeight="1" thickTop="1" x14ac:dyDescent="0.2">
      <c r="A26" s="2211" t="s">
        <v>657</v>
      </c>
      <c r="B26" s="2206"/>
      <c r="C26" s="727"/>
      <c r="D26" s="727"/>
      <c r="E26" s="727"/>
      <c r="F26" s="728"/>
    </row>
    <row r="27" spans="1:11" ht="13.5" thickBot="1" x14ac:dyDescent="0.25">
      <c r="A27" s="2203" t="s">
        <v>1070</v>
      </c>
      <c r="B27" s="2204"/>
      <c r="C27" s="585"/>
      <c r="D27" s="585"/>
      <c r="E27" s="585"/>
      <c r="F27" s="1755">
        <f>SUM(C27+D27)-E27</f>
        <v>0</v>
      </c>
      <c r="G27" s="552"/>
    </row>
    <row r="28" spans="1:11" ht="7.5" customHeight="1" thickTop="1" x14ac:dyDescent="0.2">
      <c r="A28" s="593"/>
    </row>
    <row r="29" spans="1:11" ht="23.25" customHeight="1" x14ac:dyDescent="0.2">
      <c r="A29" s="2209" t="s">
        <v>582</v>
      </c>
      <c r="B29" s="2210"/>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2077</v>
      </c>
      <c r="B31" s="733"/>
      <c r="C31" s="734">
        <v>7725000</v>
      </c>
      <c r="D31" s="735">
        <v>1</v>
      </c>
      <c r="E31" s="734">
        <v>6070000</v>
      </c>
      <c r="F31" s="734"/>
      <c r="G31" s="734"/>
      <c r="H31" s="734">
        <v>595000</v>
      </c>
      <c r="I31" s="1756">
        <f>((E31+F31)-H31)+G31</f>
        <v>5475000</v>
      </c>
      <c r="J31" s="734">
        <v>4920406</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7725000</v>
      </c>
      <c r="D49" s="745"/>
      <c r="E49" s="1756">
        <f t="shared" ref="E49:J49" si="2">SUM(E31:E48)</f>
        <v>6070000</v>
      </c>
      <c r="F49" s="1756">
        <f t="shared" si="2"/>
        <v>0</v>
      </c>
      <c r="G49" s="1756">
        <f t="shared" si="2"/>
        <v>0</v>
      </c>
      <c r="H49" s="1756">
        <f t="shared" si="2"/>
        <v>595000</v>
      </c>
      <c r="I49" s="1756">
        <f t="shared" si="2"/>
        <v>5475000</v>
      </c>
      <c r="J49" s="1756">
        <f t="shared" si="2"/>
        <v>4920406</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2" t="s">
        <v>584</v>
      </c>
      <c r="C52" s="2193"/>
      <c r="D52" s="2193"/>
      <c r="E52" s="749" t="s">
        <v>845</v>
      </c>
      <c r="F52" s="2194"/>
      <c r="G52" s="2195"/>
      <c r="H52" s="736"/>
      <c r="I52" s="736"/>
      <c r="J52" s="746"/>
    </row>
    <row r="53" spans="1:11" ht="11.25" customHeight="1" x14ac:dyDescent="0.2">
      <c r="A53" s="750" t="s">
        <v>913</v>
      </c>
      <c r="B53" s="751" t="s">
        <v>951</v>
      </c>
      <c r="C53" s="746"/>
      <c r="D53" s="737"/>
      <c r="E53" s="749" t="s">
        <v>497</v>
      </c>
      <c r="F53" s="2196"/>
      <c r="G53" s="2197"/>
      <c r="H53" s="736"/>
      <c r="I53" s="736"/>
      <c r="J53" s="746"/>
    </row>
    <row r="54" spans="1:11" ht="11.25" customHeight="1" x14ac:dyDescent="0.2">
      <c r="A54" s="752" t="s">
        <v>914</v>
      </c>
      <c r="B54" s="747" t="s">
        <v>952</v>
      </c>
      <c r="C54" s="746"/>
      <c r="D54" s="737"/>
      <c r="E54" s="749" t="s">
        <v>498</v>
      </c>
      <c r="F54" s="2196"/>
      <c r="G54" s="219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30"/>
      <c r="I1" s="760"/>
      <c r="J1" s="433"/>
    </row>
    <row r="2" spans="1:11" ht="26.25" x14ac:dyDescent="0.2">
      <c r="A2" s="2240" t="s">
        <v>1677</v>
      </c>
      <c r="B2" s="2241"/>
      <c r="C2" s="2241"/>
      <c r="D2" s="2241"/>
      <c r="E2" s="2242"/>
      <c r="F2" s="761" t="s">
        <v>904</v>
      </c>
      <c r="G2" s="762" t="s">
        <v>1674</v>
      </c>
      <c r="H2" s="762" t="s">
        <v>410</v>
      </c>
      <c r="I2" s="762" t="s">
        <v>1158</v>
      </c>
      <c r="J2" s="762" t="s">
        <v>1809</v>
      </c>
      <c r="K2" s="762" t="s">
        <v>138</v>
      </c>
    </row>
    <row r="3" spans="1:11" x14ac:dyDescent="0.2">
      <c r="A3" s="2243" t="s">
        <v>1961</v>
      </c>
      <c r="B3" s="2244"/>
      <c r="C3" s="2244"/>
      <c r="D3" s="2244"/>
      <c r="E3" s="2245"/>
      <c r="F3" s="763"/>
      <c r="G3" s="764"/>
      <c r="H3" s="764"/>
      <c r="I3" s="764"/>
      <c r="J3" s="765"/>
      <c r="K3" s="765"/>
    </row>
    <row r="4" spans="1:11" x14ac:dyDescent="0.2">
      <c r="A4" s="2246" t="s">
        <v>369</v>
      </c>
      <c r="B4" s="2247"/>
      <c r="C4" s="2247"/>
      <c r="D4" s="2247"/>
      <c r="E4" s="2193"/>
      <c r="F4" s="766"/>
      <c r="G4" s="767"/>
      <c r="H4" s="768"/>
      <c r="I4" s="767"/>
      <c r="J4" s="769"/>
      <c r="K4" s="769"/>
    </row>
    <row r="5" spans="1:11" x14ac:dyDescent="0.2">
      <c r="A5" s="2224" t="s">
        <v>1069</v>
      </c>
      <c r="B5" s="2225"/>
      <c r="C5" s="2225"/>
      <c r="D5" s="2225"/>
      <c r="E5" s="2226"/>
      <c r="F5" s="770" t="s">
        <v>848</v>
      </c>
      <c r="G5" s="771"/>
      <c r="H5" s="764">
        <f>509982+163591</f>
        <v>673573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4" t="s">
        <v>1810</v>
      </c>
      <c r="B10" s="2225"/>
      <c r="C10" s="2225"/>
      <c r="D10" s="2225"/>
      <c r="E10" s="2227"/>
      <c r="F10" s="783" t="s">
        <v>862</v>
      </c>
      <c r="G10" s="782"/>
      <c r="H10" s="784"/>
      <c r="I10" s="764"/>
      <c r="J10" s="765"/>
      <c r="K10" s="765"/>
    </row>
    <row r="11" spans="1:11" x14ac:dyDescent="0.2">
      <c r="A11" s="2224" t="s">
        <v>160</v>
      </c>
      <c r="B11" s="2225"/>
      <c r="C11" s="2225"/>
      <c r="D11" s="2225"/>
      <c r="E11" s="2226"/>
      <c r="F11" s="770" t="s">
        <v>852</v>
      </c>
      <c r="G11" s="771"/>
      <c r="H11" s="764"/>
      <c r="I11" s="764"/>
      <c r="J11" s="765"/>
      <c r="K11" s="773"/>
    </row>
    <row r="12" spans="1:11" ht="13.5" thickBot="1" x14ac:dyDescent="0.25">
      <c r="A12" s="2251" t="s">
        <v>905</v>
      </c>
      <c r="B12" s="2252"/>
      <c r="C12" s="2252"/>
      <c r="D12" s="2252"/>
      <c r="E12" s="2253"/>
      <c r="F12" s="1757"/>
      <c r="G12" s="1758">
        <f>SUM(G5:G11)</f>
        <v>0</v>
      </c>
      <c r="H12" s="1758">
        <f>SUM(H5:H11)</f>
        <v>673573</v>
      </c>
      <c r="I12" s="1758">
        <f>SUM(I5:I11)</f>
        <v>0</v>
      </c>
      <c r="J12" s="1758">
        <f>SUM(J5:J11)</f>
        <v>0</v>
      </c>
      <c r="K12" s="1758">
        <f>SUM(K5:K11)</f>
        <v>0</v>
      </c>
    </row>
    <row r="13" spans="1:11" ht="13.5" thickTop="1" x14ac:dyDescent="0.2">
      <c r="A13" s="2248" t="s">
        <v>370</v>
      </c>
      <c r="B13" s="2249"/>
      <c r="C13" s="2249"/>
      <c r="D13" s="2249"/>
      <c r="E13" s="2250"/>
      <c r="F13" s="785"/>
      <c r="G13" s="786"/>
      <c r="H13" s="787"/>
      <c r="I13" s="788"/>
      <c r="J13" s="788"/>
      <c r="K13" s="788"/>
    </row>
    <row r="14" spans="1:11" x14ac:dyDescent="0.2">
      <c r="A14" s="2231" t="s">
        <v>456</v>
      </c>
      <c r="B14" s="2231"/>
      <c r="C14" s="2231"/>
      <c r="D14" s="2231"/>
      <c r="E14" s="2232"/>
      <c r="F14" s="789" t="s">
        <v>854</v>
      </c>
      <c r="G14" s="782"/>
      <c r="H14" s="764">
        <v>673573</v>
      </c>
      <c r="I14" s="771"/>
      <c r="J14" s="773"/>
      <c r="K14" s="765"/>
    </row>
    <row r="15" spans="1:11" x14ac:dyDescent="0.2">
      <c r="A15" s="2225" t="s">
        <v>4</v>
      </c>
      <c r="B15" s="2225"/>
      <c r="C15" s="2225"/>
      <c r="D15" s="2225"/>
      <c r="E15" s="2226"/>
      <c r="F15" s="789" t="s">
        <v>855</v>
      </c>
      <c r="G15" s="771"/>
      <c r="H15" s="764"/>
      <c r="I15" s="764"/>
      <c r="J15" s="765"/>
      <c r="K15" s="765"/>
    </row>
    <row r="16" spans="1:11" x14ac:dyDescent="0.2">
      <c r="A16" s="2225" t="s">
        <v>298</v>
      </c>
      <c r="B16" s="2225"/>
      <c r="C16" s="2225"/>
      <c r="D16" s="2225"/>
      <c r="E16" s="2226"/>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33" t="s">
        <v>1806</v>
      </c>
      <c r="B19" s="2233"/>
      <c r="C19" s="2233"/>
      <c r="D19" s="2233"/>
      <c r="E19" s="2234"/>
      <c r="F19" s="789" t="s">
        <v>933</v>
      </c>
      <c r="G19" s="782"/>
      <c r="H19" s="782"/>
      <c r="I19" s="782"/>
      <c r="J19" s="765"/>
      <c r="K19" s="795"/>
    </row>
    <row r="20" spans="1:11" x14ac:dyDescent="0.2">
      <c r="A20" s="2235" t="s">
        <v>1811</v>
      </c>
      <c r="B20" s="2236"/>
      <c r="C20" s="2236"/>
      <c r="D20" s="2236"/>
      <c r="E20" s="2237"/>
      <c r="F20" s="789" t="s">
        <v>934</v>
      </c>
      <c r="G20" s="782"/>
      <c r="H20" s="782"/>
      <c r="I20" s="782"/>
      <c r="J20" s="765"/>
      <c r="K20" s="795"/>
    </row>
    <row r="21" spans="1:11" ht="13.5" thickBot="1" x14ac:dyDescent="0.25">
      <c r="A21" s="2254" t="s">
        <v>638</v>
      </c>
      <c r="B21" s="2254"/>
      <c r="C21" s="2254"/>
      <c r="D21" s="2254"/>
      <c r="E21" s="2254"/>
      <c r="F21" s="1759"/>
      <c r="G21" s="792"/>
      <c r="H21" s="796"/>
      <c r="I21" s="796"/>
      <c r="J21" s="1760">
        <f>SUM(J18:J20)</f>
        <v>0</v>
      </c>
      <c r="K21" s="793"/>
    </row>
    <row r="22" spans="1:11" ht="13.5" thickTop="1" x14ac:dyDescent="0.2">
      <c r="A22" s="2225" t="s">
        <v>1812</v>
      </c>
      <c r="B22" s="2225"/>
      <c r="C22" s="2225"/>
      <c r="D22" s="2225"/>
      <c r="E22" s="2226"/>
      <c r="F22" s="789" t="s">
        <v>862</v>
      </c>
      <c r="G22" s="782"/>
      <c r="H22" s="764"/>
      <c r="I22" s="764"/>
      <c r="J22" s="797"/>
      <c r="K22" s="765"/>
    </row>
    <row r="23" spans="1:11" ht="13.5" thickBot="1" x14ac:dyDescent="0.25">
      <c r="A23" s="2255" t="s">
        <v>906</v>
      </c>
      <c r="B23" s="2254"/>
      <c r="C23" s="2254"/>
      <c r="D23" s="2254"/>
      <c r="E23" s="2254"/>
      <c r="F23" s="1761"/>
      <c r="G23" s="1758">
        <f>SUM(G14:G16,G21,G22)</f>
        <v>0</v>
      </c>
      <c r="H23" s="1758">
        <f>SUM(H14:H16,H21,H22)</f>
        <v>673573</v>
      </c>
      <c r="I23" s="1758">
        <f>SUM(I14:I16,I21,I22)</f>
        <v>0</v>
      </c>
      <c r="J23" s="1758">
        <f>SUM(J14:J16,J21,J22)</f>
        <v>0</v>
      </c>
      <c r="K23" s="1758">
        <f>SUM(K14:K16,K21,K22)</f>
        <v>0</v>
      </c>
    </row>
    <row r="24" spans="1:11" ht="14.25" thickTop="1" thickBot="1" x14ac:dyDescent="0.25">
      <c r="A24" s="2255" t="s">
        <v>1962</v>
      </c>
      <c r="B24" s="2254"/>
      <c r="C24" s="2254"/>
      <c r="D24" s="2254"/>
      <c r="E24" s="225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8"/>
      <c r="I31" s="2229"/>
      <c r="J31" s="2229"/>
      <c r="K31" s="2229"/>
    </row>
    <row r="32" spans="1:11" x14ac:dyDescent="0.2">
      <c r="A32" s="809"/>
      <c r="B32" s="237"/>
      <c r="C32" s="237"/>
      <c r="D32" s="237"/>
      <c r="E32" s="805"/>
      <c r="F32" s="811" t="s">
        <v>540</v>
      </c>
      <c r="G32" s="764"/>
      <c r="H32" s="2230"/>
      <c r="I32" s="2229"/>
      <c r="J32" s="2229"/>
      <c r="K32" s="2229"/>
    </row>
    <row r="33" spans="1:11" ht="1.5" customHeight="1" x14ac:dyDescent="0.2">
      <c r="A33" s="812" t="s">
        <v>1169</v>
      </c>
      <c r="B33" s="364"/>
      <c r="C33" s="364"/>
      <c r="D33" s="364"/>
      <c r="E33" s="364"/>
      <c r="F33" s="364"/>
      <c r="G33" s="813"/>
      <c r="H33" s="2230"/>
      <c r="I33" s="2229"/>
      <c r="J33" s="2229"/>
      <c r="K33" s="2229"/>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5" t="s">
        <v>541</v>
      </c>
      <c r="B41" s="2238"/>
      <c r="C41" s="2238"/>
      <c r="D41" s="2238"/>
      <c r="E41" s="2238"/>
      <c r="F41" s="223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9" sqref="C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1906</v>
      </c>
      <c r="B1" s="2261"/>
      <c r="C1" s="2262"/>
      <c r="D1" s="826"/>
      <c r="E1" s="827"/>
      <c r="F1" s="827"/>
      <c r="G1" s="828"/>
      <c r="H1" s="829"/>
      <c r="I1" s="830"/>
      <c r="J1" s="2258"/>
      <c r="K1" s="2259"/>
      <c r="L1" s="2259"/>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1718079</v>
      </c>
      <c r="D5" s="841"/>
      <c r="E5" s="841"/>
      <c r="F5" s="1760">
        <f>(C5+D5)-E5</f>
        <v>1718079</v>
      </c>
      <c r="G5" s="837"/>
      <c r="H5" s="842"/>
      <c r="I5" s="842"/>
      <c r="J5" s="842"/>
      <c r="K5" s="793"/>
      <c r="L5" s="1769">
        <f>F5-K5</f>
        <v>1718079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38678509</v>
      </c>
      <c r="D8" s="844">
        <v>1212657</v>
      </c>
      <c r="E8" s="844"/>
      <c r="F8" s="1760">
        <f>(C8+D8)-E8</f>
        <v>39891166</v>
      </c>
      <c r="G8" s="843">
        <v>50</v>
      </c>
      <c r="H8" s="765">
        <v>11012111</v>
      </c>
      <c r="I8" s="765">
        <v>1096779</v>
      </c>
      <c r="J8" s="765"/>
      <c r="K8" s="1769">
        <f>(H8+I8)-J8</f>
        <v>12108890</v>
      </c>
      <c r="L8" s="1769">
        <f>F8-K8</f>
        <v>27782276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2656073</v>
      </c>
      <c r="D10" s="846">
        <v>326740</v>
      </c>
      <c r="E10" s="846"/>
      <c r="F10" s="1764">
        <f>(C10+D10)-E10</f>
        <v>2982813</v>
      </c>
      <c r="G10" s="843">
        <v>20</v>
      </c>
      <c r="H10" s="847">
        <v>852936</v>
      </c>
      <c r="I10" s="847">
        <v>151414</v>
      </c>
      <c r="J10" s="847"/>
      <c r="K10" s="1769">
        <f>(H10+I10)-J10</f>
        <v>1004350</v>
      </c>
      <c r="L10" s="1769">
        <f>F10-K10</f>
        <v>1978463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4964728</v>
      </c>
      <c r="D12" s="844">
        <v>484582</v>
      </c>
      <c r="E12" s="844"/>
      <c r="F12" s="1760">
        <f>(C12+D12)-E12</f>
        <v>5449310</v>
      </c>
      <c r="G12" s="843">
        <v>10</v>
      </c>
      <c r="H12" s="765">
        <v>3891968</v>
      </c>
      <c r="I12" s="765">
        <v>213595</v>
      </c>
      <c r="J12" s="765"/>
      <c r="K12" s="1769">
        <f>(H12+I12)-J12</f>
        <v>4105563</v>
      </c>
      <c r="L12" s="1769">
        <f>F12-K12</f>
        <v>1343747</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161600</v>
      </c>
      <c r="D15" s="844"/>
      <c r="E15" s="844">
        <v>161600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48178989</v>
      </c>
      <c r="D16" s="1760">
        <f>SUM(D3,D5:D6,D8:D10,D12:D15)</f>
        <v>2023979</v>
      </c>
      <c r="E16" s="1760">
        <f>SUM(E3,E5:E6,E8:E10,E12:E15)</f>
        <v>161600</v>
      </c>
      <c r="F16" s="1760">
        <f>SUM(F3,F5:F6,F8:F10,F12:F15)</f>
        <v>50041368</v>
      </c>
      <c r="G16" s="843"/>
      <c r="H16" s="1760">
        <f>SUM(H3,H6,H8:H10,H12:H14,)</f>
        <v>15757015</v>
      </c>
      <c r="I16" s="1760">
        <f>SUM(I3,I6,I8:I10,I12:I14,)</f>
        <v>1461788</v>
      </c>
      <c r="J16" s="1760">
        <f>SUM(J3,J6,J8:J10,J12:J14,)</f>
        <v>0</v>
      </c>
      <c r="K16" s="1760">
        <f>(H16+I16)-J16</f>
        <v>17218803</v>
      </c>
      <c r="L16" s="1760">
        <f>F16-K16</f>
        <v>32822565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128906</v>
      </c>
      <c r="G17" s="837">
        <v>10</v>
      </c>
      <c r="H17" s="769"/>
      <c r="I17" s="1769">
        <f>F17/G17</f>
        <v>12890.6</v>
      </c>
      <c r="J17" s="769"/>
      <c r="K17" s="795"/>
      <c r="L17" s="795"/>
    </row>
    <row r="18" spans="1:12" ht="14.25" thickTop="1" thickBot="1" x14ac:dyDescent="0.25">
      <c r="A18" s="1767" t="s">
        <v>685</v>
      </c>
      <c r="B18" s="1768"/>
      <c r="C18" s="771"/>
      <c r="D18" s="771"/>
      <c r="E18" s="771"/>
      <c r="F18" s="850"/>
      <c r="G18" s="851"/>
      <c r="H18" s="773"/>
      <c r="I18" s="1760">
        <f>SUM(I16,I17)</f>
        <v>1474678.6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D48" sqref="D4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1972</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19113968</v>
      </c>
      <c r="G8" s="865"/>
    </row>
    <row r="9" spans="1:7" x14ac:dyDescent="0.2">
      <c r="A9" s="869" t="s">
        <v>460</v>
      </c>
      <c r="B9" s="870" t="s">
        <v>1874</v>
      </c>
      <c r="C9" s="871"/>
      <c r="D9" s="869" t="s">
        <v>501</v>
      </c>
      <c r="E9" s="868"/>
      <c r="F9" s="1909">
        <f>'Expenditures 15-22'!K151</f>
        <v>2498761</v>
      </c>
      <c r="G9" s="872"/>
    </row>
    <row r="10" spans="1:7" x14ac:dyDescent="0.2">
      <c r="A10" s="869" t="s">
        <v>499</v>
      </c>
      <c r="B10" s="870" t="s">
        <v>1875</v>
      </c>
      <c r="C10" s="871"/>
      <c r="D10" s="869" t="s">
        <v>501</v>
      </c>
      <c r="E10" s="868"/>
      <c r="F10" s="1909">
        <f>'Expenditures 15-22'!K174</f>
        <v>760575</v>
      </c>
      <c r="G10" s="872"/>
    </row>
    <row r="11" spans="1:7" x14ac:dyDescent="0.2">
      <c r="A11" s="869" t="s">
        <v>461</v>
      </c>
      <c r="B11" s="870" t="s">
        <v>1876</v>
      </c>
      <c r="C11" s="871"/>
      <c r="D11" s="869" t="s">
        <v>501</v>
      </c>
      <c r="E11" s="868"/>
      <c r="F11" s="1909">
        <f>'Expenditures 15-22'!K210</f>
        <v>1914840</v>
      </c>
      <c r="G11" s="872"/>
    </row>
    <row r="12" spans="1:7" x14ac:dyDescent="0.2">
      <c r="A12" s="869" t="s">
        <v>462</v>
      </c>
      <c r="B12" s="870" t="s">
        <v>1877</v>
      </c>
      <c r="C12" s="871"/>
      <c r="D12" s="869" t="s">
        <v>501</v>
      </c>
      <c r="E12" s="868"/>
      <c r="F12" s="1909">
        <f>'Expenditures 15-22'!K295</f>
        <v>819781</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25107925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160423</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58836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3355</v>
      </c>
      <c r="G52" s="865"/>
    </row>
    <row r="53" spans="1:7" x14ac:dyDescent="0.2">
      <c r="A53" s="869" t="s">
        <v>459</v>
      </c>
      <c r="B53" s="869" t="s">
        <v>1475</v>
      </c>
      <c r="C53" s="889">
        <f>'Expenditures 15-22'!B102</f>
        <v>4000</v>
      </c>
      <c r="D53" s="888" t="str">
        <f>'Expenditures 15-22'!A102</f>
        <v>Total Payments to Other Govt Units</v>
      </c>
      <c r="E53" s="868"/>
      <c r="F53" s="1913">
        <f>'Expenditures 15-22'!K102</f>
        <v>675628</v>
      </c>
      <c r="G53" s="865"/>
    </row>
    <row r="54" spans="1:7" x14ac:dyDescent="0.2">
      <c r="A54" s="869" t="s">
        <v>459</v>
      </c>
      <c r="B54" s="869" t="s">
        <v>1476</v>
      </c>
      <c r="C54" s="889" t="s">
        <v>982</v>
      </c>
      <c r="D54" s="885" t="s">
        <v>1095</v>
      </c>
      <c r="E54" s="868"/>
      <c r="F54" s="1913">
        <f>'Expenditures 15-22'!G114</f>
        <v>487731</v>
      </c>
      <c r="G54" s="865"/>
    </row>
    <row r="55" spans="1:7" x14ac:dyDescent="0.2">
      <c r="A55" s="869" t="s">
        <v>459</v>
      </c>
      <c r="B55" s="869" t="s">
        <v>1477</v>
      </c>
      <c r="C55" s="889" t="s">
        <v>982</v>
      </c>
      <c r="D55" s="885" t="s">
        <v>291</v>
      </c>
      <c r="E55" s="868"/>
      <c r="F55" s="1913">
        <f>'Expenditures 15-22'!I114</f>
        <v>121906</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161989</v>
      </c>
      <c r="G58" s="865"/>
    </row>
    <row r="59" spans="1:7" x14ac:dyDescent="0.2">
      <c r="A59" s="893" t="s">
        <v>460</v>
      </c>
      <c r="B59" s="856" t="s">
        <v>1881</v>
      </c>
      <c r="C59" s="894" t="s">
        <v>982</v>
      </c>
      <c r="D59" s="856" t="s">
        <v>291</v>
      </c>
      <c r="F59" s="1916">
        <f>'Expenditures 15-22'!I151</f>
        <v>7000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595000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4456</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2276324</v>
      </c>
      <c r="G76" s="865"/>
    </row>
    <row r="77" spans="1:8" s="893" customFormat="1" ht="12" customHeight="1" thickTop="1" thickBot="1" x14ac:dyDescent="0.25">
      <c r="A77" s="1779"/>
      <c r="B77" s="1776"/>
      <c r="C77" s="1772"/>
      <c r="D77" s="1777" t="s">
        <v>1897</v>
      </c>
      <c r="E77" s="1774"/>
      <c r="F77" s="1780">
        <f>(F14-F76)</f>
        <v>22831601</v>
      </c>
      <c r="G77" s="869"/>
    </row>
    <row r="78" spans="1:8" s="893" customFormat="1" ht="12" customHeight="1" thickTop="1" x14ac:dyDescent="0.2">
      <c r="A78" s="1781"/>
      <c r="B78" s="1776"/>
      <c r="C78" s="1772"/>
      <c r="D78" s="1777" t="s">
        <v>2059</v>
      </c>
      <c r="E78" s="1774"/>
      <c r="F78" s="898">
        <v>1389.3</v>
      </c>
      <c r="G78" s="899"/>
      <c r="H78" s="869"/>
    </row>
    <row r="79" spans="1:8" s="893" customFormat="1" ht="12" customHeight="1" thickBot="1" x14ac:dyDescent="0.25">
      <c r="A79" s="1782"/>
      <c r="B79" s="1776"/>
      <c r="C79" s="1772"/>
      <c r="D79" s="1777" t="s">
        <v>1898</v>
      </c>
      <c r="E79" s="1774" t="s">
        <v>958</v>
      </c>
      <c r="F79" s="1783">
        <f>IF(F78&gt;0,F77/F78," Complete Line 78")</f>
        <v>16433.888289066435</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212092</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151470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1993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35178</v>
      </c>
      <c r="G104" s="912"/>
    </row>
    <row r="105" spans="1:7" x14ac:dyDescent="0.2">
      <c r="A105" s="908" t="s">
        <v>503</v>
      </c>
      <c r="B105" s="908" t="s">
        <v>2000</v>
      </c>
      <c r="C105" s="913">
        <v>3100</v>
      </c>
      <c r="D105" s="919" t="str">
        <f>'Revenues 9-14'!A132</f>
        <v>Total Special Education</v>
      </c>
      <c r="E105" s="906"/>
      <c r="F105" s="1789">
        <f>SUM('Revenues 9-14'!C132:D132,'Revenues 9-14'!F132)</f>
        <v>147298</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2005</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918803</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1112</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131305</v>
      </c>
      <c r="G125" s="930"/>
    </row>
    <row r="126" spans="1:7" x14ac:dyDescent="0.2">
      <c r="A126" s="927" t="s">
        <v>668</v>
      </c>
      <c r="B126" s="927" t="s">
        <v>2021</v>
      </c>
      <c r="C126" s="932">
        <v>4300</v>
      </c>
      <c r="D126" s="933" t="str">
        <f>'Revenues 9-14'!A204</f>
        <v>Total Title I</v>
      </c>
      <c r="E126" s="906"/>
      <c r="F126" s="1789">
        <f>SUM('Revenues 9-14'!C204,'Revenues 9-14'!D204,'Revenues 9-14'!F204,'Revenues 9-14'!G204)</f>
        <v>156992</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14796</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356866</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37305</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25624</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86912</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697411</v>
      </c>
      <c r="G171" s="927"/>
    </row>
    <row r="172" spans="1:7" x14ac:dyDescent="0.2">
      <c r="A172" s="1918" t="s">
        <v>664</v>
      </c>
      <c r="B172" s="1919" t="s">
        <v>1917</v>
      </c>
      <c r="C172" s="1920">
        <v>3300</v>
      </c>
      <c r="D172" s="1921" t="s">
        <v>1920</v>
      </c>
      <c r="E172" s="906"/>
      <c r="F172" s="1906">
        <v>10821</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2987983</v>
      </c>
    </row>
    <row r="175" spans="1:7" ht="12" customHeight="1" x14ac:dyDescent="0.2">
      <c r="A175" s="1770"/>
      <c r="B175" s="1784"/>
      <c r="C175" s="1785"/>
      <c r="D175" s="1786" t="s">
        <v>2054</v>
      </c>
      <c r="E175" s="1787"/>
      <c r="F175" s="1789">
        <f>'PCTC-OEPP 27-28'!F77-F174</f>
        <v>19843618</v>
      </c>
    </row>
    <row r="176" spans="1:7" ht="12" customHeight="1" x14ac:dyDescent="0.2">
      <c r="A176" s="1770"/>
      <c r="B176" s="1784"/>
      <c r="C176" s="1785"/>
      <c r="D176" s="1786" t="s">
        <v>1814</v>
      </c>
      <c r="E176" s="1787"/>
      <c r="F176" s="1789">
        <f>'Cap Outlay Deprec 26'!I18</f>
        <v>1474678.6</v>
      </c>
    </row>
    <row r="177" spans="1:7" ht="12" customHeight="1" x14ac:dyDescent="0.2">
      <c r="A177" s="1770"/>
      <c r="B177" s="1784"/>
      <c r="C177" s="1785"/>
      <c r="D177" s="1786" t="s">
        <v>2055</v>
      </c>
      <c r="E177" s="1787"/>
      <c r="F177" s="1789">
        <f>F175+F176</f>
        <v>21318296.600000001</v>
      </c>
    </row>
    <row r="178" spans="1:7" ht="12" customHeight="1" x14ac:dyDescent="0.2">
      <c r="A178" s="1770"/>
      <c r="B178" s="1790"/>
      <c r="C178" s="1785"/>
      <c r="D178" s="1786" t="str">
        <f>D78</f>
        <v>9 Month ADA from District Average Daily Attendance/Prior General State Aid Inquiry 2018-2019</v>
      </c>
      <c r="E178" s="1787"/>
      <c r="F178" s="1791">
        <f>'PCTC-OEPP 27-28'!F78</f>
        <v>1389.3</v>
      </c>
      <c r="G178" s="930"/>
    </row>
    <row r="179" spans="1:7" ht="12" customHeight="1" thickBot="1" x14ac:dyDescent="0.25">
      <c r="A179" s="1770"/>
      <c r="B179" s="1790"/>
      <c r="C179" s="1785"/>
      <c r="D179" s="1786" t="s">
        <v>2056</v>
      </c>
      <c r="E179" s="1787" t="s">
        <v>1545</v>
      </c>
      <c r="F179" s="1792">
        <f>F177/F178</f>
        <v>15344.631541063847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9" sqref="C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1815</v>
      </c>
      <c r="B4" s="2278"/>
      <c r="C4" s="2278"/>
      <c r="D4" s="2278"/>
      <c r="E4" s="2278"/>
      <c r="F4" s="2278"/>
      <c r="G4" s="2279"/>
    </row>
    <row r="5" spans="1:7" x14ac:dyDescent="0.25">
      <c r="A5" s="2280"/>
      <c r="B5" s="2281"/>
      <c r="C5" s="2281"/>
      <c r="D5" s="2281"/>
      <c r="E5" s="2281"/>
      <c r="F5" s="2281"/>
      <c r="G5" s="2282"/>
    </row>
    <row r="6" spans="1:7" ht="18.75" x14ac:dyDescent="0.25">
      <c r="A6" s="1534" t="s">
        <v>1816</v>
      </c>
      <c r="B6" s="1535"/>
      <c r="C6" s="1535"/>
      <c r="D6" s="1535"/>
      <c r="E6" s="1535"/>
      <c r="F6" s="1535"/>
      <c r="G6" s="1536"/>
    </row>
    <row r="7" spans="1:7" ht="30.75" customHeight="1" x14ac:dyDescent="0.25">
      <c r="A7" s="2283" t="s">
        <v>1929</v>
      </c>
      <c r="B7" s="2284"/>
      <c r="C7" s="2284"/>
      <c r="D7" s="2284"/>
      <c r="E7" s="2284"/>
      <c r="F7" s="2284"/>
      <c r="G7" s="2285"/>
    </row>
    <row r="8" spans="1:7" ht="15.75" customHeight="1" x14ac:dyDescent="0.25">
      <c r="A8" s="2286" t="s">
        <v>1904</v>
      </c>
      <c r="B8" s="2287"/>
      <c r="C8" s="2287"/>
      <c r="D8" s="2287"/>
      <c r="E8" s="2287"/>
      <c r="F8" s="2287"/>
      <c r="G8" s="2288"/>
    </row>
    <row r="9" spans="1:7" ht="35.25" customHeight="1" x14ac:dyDescent="0.25">
      <c r="A9" s="2283" t="s">
        <v>1932</v>
      </c>
      <c r="B9" s="2284"/>
      <c r="C9" s="2284"/>
      <c r="D9" s="2284"/>
      <c r="E9" s="2284"/>
      <c r="F9" s="2284"/>
      <c r="G9" s="2285"/>
    </row>
    <row r="10" spans="1:7" ht="15" customHeight="1" x14ac:dyDescent="0.25">
      <c r="A10" s="1537" t="s">
        <v>1817</v>
      </c>
      <c r="B10" s="1538"/>
      <c r="C10" s="1538"/>
      <c r="D10" s="1538"/>
      <c r="E10" s="1538"/>
      <c r="F10" s="1538"/>
      <c r="G10" s="1539"/>
    </row>
    <row r="11" spans="1:7" ht="17.25" customHeight="1" x14ac:dyDescent="0.25">
      <c r="A11" s="2283" t="s">
        <v>1931</v>
      </c>
      <c r="B11" s="2284"/>
      <c r="C11" s="2284"/>
      <c r="D11" s="2284"/>
      <c r="E11" s="2284"/>
      <c r="F11" s="2284"/>
      <c r="G11" s="2285"/>
    </row>
    <row r="12" spans="1:7" ht="15" customHeight="1" x14ac:dyDescent="0.25">
      <c r="A12" s="1537" t="s">
        <v>1822</v>
      </c>
      <c r="B12" s="1538"/>
      <c r="C12" s="1538"/>
      <c r="D12" s="1538"/>
      <c r="E12" s="1538"/>
      <c r="F12" s="1538"/>
      <c r="G12" s="1539"/>
    </row>
    <row r="13" spans="1:7" ht="32.25" customHeight="1" x14ac:dyDescent="0.25">
      <c r="A13" s="2274" t="s">
        <v>1973</v>
      </c>
      <c r="B13" s="2275"/>
      <c r="C13" s="2275"/>
      <c r="D13" s="2275"/>
      <c r="E13" s="2275"/>
      <c r="F13" s="2275"/>
      <c r="G13" s="2276"/>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7" t="s">
        <v>2136</v>
      </c>
      <c r="B17" s="2494" t="s">
        <v>2138</v>
      </c>
      <c r="C17" s="1946" t="s">
        <v>2135</v>
      </c>
      <c r="D17" s="1844">
        <v>34349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9349</v>
      </c>
      <c r="H17" s="1647"/>
    </row>
    <row r="18" spans="1:8" x14ac:dyDescent="0.25">
      <c r="A18" s="1947" t="s">
        <v>2137</v>
      </c>
      <c r="B18" s="2494" t="s">
        <v>2139</v>
      </c>
      <c r="C18" s="1946" t="s">
        <v>2134</v>
      </c>
      <c r="D18" s="1844">
        <v>8985</v>
      </c>
      <c r="E18" s="1540">
        <f t="shared" ref="E18:E140" si="2">IF(D18&lt;=25000,D18,IF(D18&gt;25000,25000,0))</f>
        <v>8985</v>
      </c>
      <c r="F18" s="1932">
        <f t="shared" si="1"/>
        <v>8985</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43334</v>
      </c>
      <c r="E141" s="1541">
        <f t="shared" si="0"/>
        <v>25000</v>
      </c>
      <c r="F141" s="1933">
        <f>SUM(F17:F140)</f>
        <v>33985</v>
      </c>
      <c r="G141" s="1795">
        <f>SUM(G17:G140)</f>
        <v>9349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148241</v>
      </c>
      <c r="F10" s="974"/>
      <c r="G10" s="975"/>
      <c r="H10" s="162"/>
      <c r="I10" s="162"/>
    </row>
    <row r="11" spans="1:9" s="668" customFormat="1" ht="22.5" customHeight="1" x14ac:dyDescent="0.2">
      <c r="A11" s="2294" t="s">
        <v>1974</v>
      </c>
      <c r="B11" s="2295"/>
      <c r="C11" s="2295"/>
      <c r="D11" s="2296"/>
      <c r="E11" s="977">
        <v>27676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12988135</v>
      </c>
      <c r="F19" s="1799"/>
      <c r="G19" s="1801">
        <f>'Expenditures 15-22'!K33-SUM('Expenditures 15-22'!G33,'Expenditures 15-22'!I33)+'Expenditures 15-22'!D229</f>
        <v>12988135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1258584</v>
      </c>
      <c r="F21" s="1802"/>
      <c r="G21" s="1805">
        <f>'Expenditures 15-22'!K42-SUM('Expenditures 15-22'!G42,'Expenditures 15-22'!I42)+'Expenditures 15-22'!K120-SUM('Expenditures 15-22'!G120,'Expenditures 15-22'!I120)+'Expenditures 15-22'!K180-SUM('Expenditures 15-22'!G180,'Expenditures 15-22'!I180)+'Expenditures 15-22'!D238</f>
        <v>1258584</v>
      </c>
      <c r="H21" s="987"/>
      <c r="I21" s="162"/>
    </row>
    <row r="22" spans="1:9" s="668" customFormat="1" ht="12" customHeight="1" x14ac:dyDescent="0.2">
      <c r="A22" s="994" t="s">
        <v>564</v>
      </c>
      <c r="B22" s="995"/>
      <c r="C22" s="993">
        <v>2200</v>
      </c>
      <c r="D22" s="1802"/>
      <c r="E22" s="1804">
        <f>'Expenditures 15-22'!K47-SUM('Expenditures 15-22'!G47,'Expenditures 15-22'!I47)+'Expenditures 15-22'!D243</f>
        <v>1350455</v>
      </c>
      <c r="F22" s="1802"/>
      <c r="G22" s="1805">
        <f>'Expenditures 15-22'!K47-SUM('Expenditures 15-22'!G47,'Expenditures 15-22'!I47)+'Expenditures 15-22'!D243</f>
        <v>1350455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620405</v>
      </c>
      <c r="F23" s="1802"/>
      <c r="G23" s="1804">
        <f>'Expenditures 15-22'!K53-SUM('Expenditures 15-22'!G53,'Expenditures 15-22'!I53)+'Expenditures 15-22'!D257+'Expenditures 15-22'!K330-SUM('Expenditures 15-22'!G330,'Expenditures 15-22'!I330)</f>
        <v>620405</v>
      </c>
      <c r="H23" s="987"/>
      <c r="I23" s="162"/>
    </row>
    <row r="24" spans="1:9" s="668" customFormat="1" ht="12" customHeight="1" x14ac:dyDescent="0.2">
      <c r="A24" s="994" t="s">
        <v>566</v>
      </c>
      <c r="B24" s="995"/>
      <c r="C24" s="993">
        <v>2400</v>
      </c>
      <c r="D24" s="1802"/>
      <c r="E24" s="1804">
        <f>'Expenditures 15-22'!K57-SUM('Expenditures 15-22'!G57,'Expenditures 15-22'!I57)+'Expenditures 15-22'!D261</f>
        <v>1220868</v>
      </c>
      <c r="F24" s="1802"/>
      <c r="G24" s="1805">
        <f>'Expenditures 15-22'!K57-SUM('Expenditures 15-22'!G57,'Expenditures 15-22'!I57)+'Expenditures 15-22'!D261</f>
        <v>1220868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183937</v>
      </c>
      <c r="E26" s="1804">
        <f>'Expenditures 15-22'!K122-SUM('Expenditures 15-22'!G122,'Expenditures 15-22'!I122)+E7</f>
        <v>0</v>
      </c>
      <c r="F26" s="1804">
        <f>'Expenditures 15-22'!K59-SUM('Expenditures 15-22'!G59,'Expenditures 15-22'!I59)+'Expenditures 15-22'!D263-E7</f>
        <v>183937</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287366</v>
      </c>
      <c r="E27" s="1804">
        <f>E8</f>
        <v>0</v>
      </c>
      <c r="F27" s="1804">
        <f>'Expenditures 15-22'!K60-SUM('Expenditures 15-22'!G60,'Expenditures 15-22'!I60)+'Expenditures 15-22'!D264-E8</f>
        <v>287366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2548389</v>
      </c>
      <c r="F28" s="1806">
        <f>'Expenditures 15-22'!K61-SUM('Expenditures 15-22'!G61,'Expenditures 15-22'!I61)+'Expenditures 15-22'!K124-SUM('Expenditures 15-22'!G124,'Expenditures 15-22'!I124)+'Expenditures 15-22'!D266-E9</f>
        <v>2548389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1920263</v>
      </c>
      <c r="F29" s="1802"/>
      <c r="G29" s="1805">
        <f>'Expenditures 15-22'!K62-SUM('Expenditures 15-22'!G62,'Expenditures 15-22'!I62)+'Expenditures 15-22'!K125-SUM('Expenditures 15-22'!G125,'Expenditures 15-22'!I125)+'Expenditures 15-22'!K182-SUM('Expenditures 15-22'!G182,'Expenditures 15-22'!I182)+'Expenditures 15-22'!D267</f>
        <v>1920263</v>
      </c>
      <c r="H29" s="985"/>
    </row>
    <row r="30" spans="1:9" ht="12" customHeight="1" x14ac:dyDescent="0.2">
      <c r="A30" s="994" t="s">
        <v>100</v>
      </c>
      <c r="B30" s="997"/>
      <c r="C30" s="993">
        <v>2560</v>
      </c>
      <c r="D30" s="1802"/>
      <c r="E30" s="1804">
        <f>'Expenditures 15-22'!K63-SUM('Expenditures 15-22'!G63,'Expenditures 15-22'!I63)+'Expenditures 15-22'!D268-E10</f>
        <v>225949</v>
      </c>
      <c r="F30" s="1802"/>
      <c r="G30" s="1804">
        <f>'Expenditures 15-22'!K63-SUM('Expenditures 15-22'!G63,'Expenditures 15-22'!I63)+'Expenditures 15-22'!D268-E10</f>
        <v>225949</v>
      </c>
    </row>
    <row r="31" spans="1:9" ht="12" customHeight="1" x14ac:dyDescent="0.2">
      <c r="A31" s="994" t="s">
        <v>101</v>
      </c>
      <c r="B31" s="997"/>
      <c r="C31" s="993">
        <v>2570</v>
      </c>
      <c r="D31" s="1804">
        <f>'Expenditures 15-22'!K64-SUM('Expenditures 15-22'!G64,'Expenditures 15-22'!I64)+'Expenditures 15-22'!D269-E12</f>
        <v>132262</v>
      </c>
      <c r="E31" s="1804">
        <f>E12</f>
        <v>0</v>
      </c>
      <c r="F31" s="1804">
        <f>'Expenditures 15-22'!K64-SUM('Expenditures 15-22'!G64,'Expenditures 15-22'!I64)+'Expenditures 15-22'!D269-E12</f>
        <v>132262</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1112</v>
      </c>
      <c r="E36" s="1804">
        <f>E13</f>
        <v>0</v>
      </c>
      <c r="F36" s="1804">
        <f>'Expenditures 15-22'!K70-SUM('Expenditures 15-22'!G70,'Expenditures 15-22'!I70)+'Expenditures 15-22'!D275-E13</f>
        <v>1112</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3355</v>
      </c>
      <c r="F39" s="1802"/>
      <c r="G39" s="1804">
        <f>'Expenditures 15-22'!K75-SUM('Expenditures 15-22'!G75,'Expenditures 15-22'!I75)+'Expenditures 15-22'!K130-SUM('Expenditures 15-22'!G130,'Expenditures 15-22'!I130)+'Expenditures 15-22'!K185-SUM('Expenditures 15-22'!G185,'Expenditures 15-22'!I185)+'Expenditures 15-22'!D280</f>
        <v>3355</v>
      </c>
    </row>
    <row r="40" spans="1:7" ht="12" customHeight="1" x14ac:dyDescent="0.2">
      <c r="A40" s="990" t="s">
        <v>1820</v>
      </c>
      <c r="B40" s="991"/>
      <c r="C40" s="993"/>
      <c r="D40" s="1802"/>
      <c r="E40" s="1806">
        <f>-'Contracts Paid in CY 29'!G141</f>
        <v>-9349</v>
      </c>
      <c r="F40" s="1802"/>
      <c r="G40" s="1806">
        <f>-'Contracts Paid in CY 29'!G141</f>
        <v>-9349</v>
      </c>
    </row>
    <row r="41" spans="1:7" ht="12" customHeight="1" x14ac:dyDescent="0.2">
      <c r="A41" s="998" t="s">
        <v>156</v>
      </c>
      <c r="B41" s="999"/>
      <c r="C41" s="1000"/>
      <c r="D41" s="1806">
        <f>SUM(D19:D39)</f>
        <v>604677</v>
      </c>
      <c r="E41" s="1806">
        <f>SUM(E19:E40)</f>
        <v>22127054</v>
      </c>
      <c r="F41" s="1806">
        <f>SUM(F19:F39)</f>
        <v>3153066</v>
      </c>
      <c r="G41" s="1806">
        <f>SUM(G19:G40)</f>
        <v>19578665</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604677</v>
      </c>
      <c r="F43" s="1807" t="s">
        <v>473</v>
      </c>
      <c r="G43" s="1808">
        <f>F41</f>
        <v>3153066</v>
      </c>
    </row>
    <row r="44" spans="1:7" ht="12" customHeight="1" x14ac:dyDescent="0.2">
      <c r="A44" s="987"/>
      <c r="B44" s="162"/>
      <c r="C44" s="1001"/>
      <c r="D44" s="1807" t="s">
        <v>474</v>
      </c>
      <c r="E44" s="1808">
        <f>E41</f>
        <v>22127054</v>
      </c>
      <c r="F44" s="1807" t="s">
        <v>474</v>
      </c>
      <c r="G44" s="1808">
        <f>G41</f>
        <v>19578665</v>
      </c>
    </row>
    <row r="45" spans="1:7" ht="12" customHeight="1" x14ac:dyDescent="0.2">
      <c r="A45" s="987"/>
      <c r="B45" s="162"/>
      <c r="C45" s="162"/>
      <c r="D45" s="1809" t="s">
        <v>1006</v>
      </c>
      <c r="E45" s="1810">
        <f>(E43/E44)</f>
        <v>2.7327496918478168E-2</v>
      </c>
      <c r="F45" s="1809" t="s">
        <v>1006</v>
      </c>
      <c r="G45" s="1810">
        <f>(G43/G44)</f>
        <v>0.16104601616095887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1" t="s">
        <v>1379</v>
      </c>
      <c r="B1" s="2311"/>
      <c r="C1" s="2311"/>
      <c r="D1" s="2311"/>
      <c r="E1" s="2311"/>
      <c r="F1" s="2311"/>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12" t="s">
        <v>1546</v>
      </c>
      <c r="B5" s="2313"/>
      <c r="C5" s="2314"/>
      <c r="D5" s="2314"/>
      <c r="E5" s="2314"/>
      <c r="F5" s="2314"/>
    </row>
    <row r="6" spans="1:10" ht="12" customHeight="1" x14ac:dyDescent="0.25">
      <c r="A6" s="1850"/>
      <c r="B6" s="1851"/>
      <c r="C6" s="2315" t="str">
        <f>COVER!A17</f>
        <v>Will County SD 92</v>
      </c>
      <c r="D6" s="2315"/>
      <c r="E6" s="2315"/>
      <c r="F6" s="1852"/>
    </row>
    <row r="7" spans="1:10" ht="11.25" customHeight="1" thickBot="1" x14ac:dyDescent="0.3">
      <c r="A7" s="1850"/>
      <c r="B7" s="1851"/>
      <c r="C7" s="2316">
        <f>COVER!A13</f>
        <v>56099092002</v>
      </c>
      <c r="D7" s="2316"/>
      <c r="E7" s="2316"/>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2068</v>
      </c>
      <c r="D14" s="1865" t="s">
        <v>2068</v>
      </c>
      <c r="E14" s="1868" t="s">
        <v>2068</v>
      </c>
      <c r="F14" s="1867" t="s">
        <v>2078</v>
      </c>
      <c r="H14" s="1878">
        <f t="shared" si="0"/>
        <v>5</v>
      </c>
      <c r="I14" s="1878">
        <f t="shared" si="1"/>
        <v>5</v>
      </c>
      <c r="J14" s="1878">
        <f t="shared" si="2"/>
        <v>5</v>
      </c>
    </row>
    <row r="15" spans="1:10" ht="12" customHeight="1" x14ac:dyDescent="0.2">
      <c r="A15" s="1863" t="s">
        <v>1387</v>
      </c>
      <c r="B15" s="1864"/>
      <c r="C15" s="1865" t="s">
        <v>2068</v>
      </c>
      <c r="D15" s="1865" t="s">
        <v>2068</v>
      </c>
      <c r="E15" s="1868" t="s">
        <v>2068</v>
      </c>
      <c r="F15" s="1867" t="s">
        <v>2079</v>
      </c>
      <c r="H15" s="1878">
        <f t="shared" si="0"/>
        <v>5</v>
      </c>
      <c r="I15" s="1878">
        <f t="shared" si="1"/>
        <v>5</v>
      </c>
      <c r="J15" s="1878">
        <f t="shared" si="2"/>
        <v>5</v>
      </c>
    </row>
    <row r="16" spans="1:10" ht="12" customHeight="1" x14ac:dyDescent="0.2">
      <c r="A16" s="1863" t="s">
        <v>1388</v>
      </c>
      <c r="B16" s="1864"/>
      <c r="C16" s="1865" t="s">
        <v>2068</v>
      </c>
      <c r="D16" s="1865" t="s">
        <v>2068</v>
      </c>
      <c r="E16" s="1868" t="s">
        <v>2068</v>
      </c>
      <c r="F16" s="1867" t="s">
        <v>2080</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2068</v>
      </c>
      <c r="D19" s="1865" t="s">
        <v>2068</v>
      </c>
      <c r="E19" s="1868" t="s">
        <v>2068</v>
      </c>
      <c r="F19" s="1867" t="s">
        <v>2081</v>
      </c>
      <c r="H19" s="1878">
        <f t="shared" si="0"/>
        <v>5</v>
      </c>
      <c r="I19" s="1878">
        <f t="shared" si="1"/>
        <v>5</v>
      </c>
      <c r="J19" s="1878">
        <f t="shared" si="2"/>
        <v>5</v>
      </c>
    </row>
    <row r="20" spans="1:12" ht="12" customHeight="1" x14ac:dyDescent="0.2">
      <c r="A20" s="1863" t="s">
        <v>1528</v>
      </c>
      <c r="B20" s="1864"/>
      <c r="C20" s="1865" t="s">
        <v>2068</v>
      </c>
      <c r="D20" s="1865" t="s">
        <v>2068</v>
      </c>
      <c r="E20" s="1868" t="s">
        <v>2068</v>
      </c>
      <c r="F20" s="1867" t="s">
        <v>2082</v>
      </c>
      <c r="H20" s="1878">
        <f t="shared" si="0"/>
        <v>5</v>
      </c>
      <c r="I20" s="1878">
        <f t="shared" si="1"/>
        <v>5</v>
      </c>
      <c r="J20" s="1878">
        <f t="shared" si="2"/>
        <v>5</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297"/>
      <c r="B43" s="2298"/>
      <c r="C43" s="2298"/>
      <c r="D43" s="2298"/>
      <c r="E43" s="2298"/>
      <c r="F43" s="2299"/>
      <c r="H43" s="1879"/>
      <c r="I43" s="1879"/>
      <c r="J43" s="1879"/>
      <c r="K43" s="1879"/>
    </row>
    <row r="44" spans="1:11" s="1870" customFormat="1" ht="12" hidden="1" customHeight="1" x14ac:dyDescent="0.25">
      <c r="A44" s="2297"/>
      <c r="B44" s="2298"/>
      <c r="C44" s="2298"/>
      <c r="D44" s="2298"/>
      <c r="E44" s="2298"/>
      <c r="F44" s="229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37" sqref="B3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Will County SD 92</v>
      </c>
      <c r="J6" s="2325"/>
      <c r="Q6" s="1664"/>
    </row>
    <row r="7" spans="1:17" x14ac:dyDescent="0.2">
      <c r="A7" s="2326" t="s">
        <v>869</v>
      </c>
      <c r="B7" s="2327"/>
      <c r="C7" s="2327"/>
      <c r="D7" s="2327"/>
      <c r="E7" s="2328"/>
      <c r="F7" s="1017"/>
      <c r="G7" s="1009"/>
      <c r="H7" s="1016" t="s">
        <v>372</v>
      </c>
      <c r="I7" s="2329">
        <f>COVER!A13</f>
        <v>56099092002</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270330</v>
      </c>
      <c r="F12" s="1039"/>
      <c r="G12" s="1811">
        <f t="shared" ref="G12:G18" si="0">SUM(E12:F12)</f>
        <v>270330</v>
      </c>
      <c r="H12" s="1040">
        <v>344870</v>
      </c>
      <c r="I12" s="1039"/>
      <c r="J12" s="1811">
        <f t="shared" ref="J12:J18" si="1">SUM(H12:I12)</f>
        <v>344870</v>
      </c>
    </row>
    <row r="13" spans="1:17" ht="15" customHeight="1" x14ac:dyDescent="0.2">
      <c r="A13" s="1035">
        <v>2</v>
      </c>
      <c r="B13" s="1036" t="s">
        <v>42</v>
      </c>
      <c r="C13" s="1037"/>
      <c r="D13" s="1038">
        <v>2330</v>
      </c>
      <c r="E13" s="1811">
        <f>'Expenditures 15-22'!K51</f>
        <v>0</v>
      </c>
      <c r="F13" s="1039"/>
      <c r="G13" s="1811">
        <f t="shared" si="0"/>
        <v>0</v>
      </c>
      <c r="H13" s="1040">
        <v>179500</v>
      </c>
      <c r="I13" s="1039"/>
      <c r="J13" s="1811">
        <f t="shared" si="1"/>
        <v>179500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181756</v>
      </c>
      <c r="F15" s="1811">
        <f>'Expenditures 15-22'!K122</f>
        <v>0</v>
      </c>
      <c r="G15" s="1811">
        <f t="shared" si="0"/>
        <v>181756</v>
      </c>
      <c r="H15" s="1040">
        <v>184500</v>
      </c>
      <c r="I15" s="1040"/>
      <c r="J15" s="1811">
        <f t="shared" si="1"/>
        <v>184500</v>
      </c>
    </row>
    <row r="16" spans="1:17" ht="15" customHeight="1" x14ac:dyDescent="0.2">
      <c r="A16" s="1035">
        <v>5</v>
      </c>
      <c r="B16" s="1036" t="s">
        <v>101</v>
      </c>
      <c r="C16" s="1037"/>
      <c r="D16" s="1038">
        <v>2570</v>
      </c>
      <c r="E16" s="1811">
        <f>'Expenditures 15-22'!K64</f>
        <v>132262</v>
      </c>
      <c r="F16" s="1039"/>
      <c r="G16" s="1811">
        <f t="shared" si="0"/>
        <v>132262</v>
      </c>
      <c r="H16" s="1040">
        <v>145000</v>
      </c>
      <c r="I16" s="1039"/>
      <c r="J16" s="1811">
        <f t="shared" si="1"/>
        <v>145000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584348</v>
      </c>
      <c r="F19" s="1813">
        <f t="shared" si="2"/>
        <v>0</v>
      </c>
      <c r="G19" s="1813">
        <f t="shared" si="2"/>
        <v>584348</v>
      </c>
      <c r="H19" s="1813">
        <f t="shared" si="2"/>
        <v>853870</v>
      </c>
      <c r="I19" s="1813">
        <f t="shared" si="2"/>
        <v>0</v>
      </c>
      <c r="J19" s="1813">
        <f t="shared" si="2"/>
        <v>853870</v>
      </c>
    </row>
    <row r="20" spans="1:10" ht="13.5" thickTop="1" x14ac:dyDescent="0.2">
      <c r="A20" s="1035">
        <v>9</v>
      </c>
      <c r="B20" s="2336" t="s">
        <v>1978</v>
      </c>
      <c r="C20" s="2336"/>
      <c r="D20" s="2337"/>
      <c r="E20" s="1046"/>
      <c r="F20" s="1046"/>
      <c r="G20" s="1046"/>
      <c r="H20" s="1046"/>
      <c r="I20" s="1046"/>
      <c r="J20" s="1814">
        <f>IF(AND(G19&gt;0,J19&gt;0),(((J19-G19)/G19)),"Enter Budget Data")</f>
        <v>0.46123542820374158</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t="s">
        <v>2061</v>
      </c>
      <c r="C36" s="2323" t="s">
        <v>1980</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Will County SD 92</v>
      </c>
    </row>
    <row r="65" spans="2:2" x14ac:dyDescent="0.2">
      <c r="B65" s="1070">
        <f>COVER!A13</f>
        <v>56099092002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1984</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1985</v>
      </c>
      <c r="B4" s="2364"/>
      <c r="C4" s="2364"/>
      <c r="D4" s="2364"/>
      <c r="E4" s="2364"/>
      <c r="F4" s="2365"/>
      <c r="G4" s="1074"/>
      <c r="H4" s="1074"/>
    </row>
    <row r="5" spans="1:8" ht="14.25" customHeight="1" x14ac:dyDescent="0.2">
      <c r="A5" s="2366" t="s">
        <v>1981</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21282035</v>
      </c>
      <c r="C8" s="1815">
        <f>'Acct Summary 7-8'!D8</f>
        <v>2656195</v>
      </c>
      <c r="D8" s="1815">
        <f>'Acct Summary 7-8'!F8</f>
        <v>2026654</v>
      </c>
      <c r="E8" s="1815">
        <f>'Acct Summary 7-8'!I8</f>
        <v>40255</v>
      </c>
      <c r="F8" s="1815">
        <f>SUM(B8:E8)</f>
        <v>26005139</v>
      </c>
    </row>
    <row r="9" spans="1:8" s="1079" customFormat="1" ht="14.25" customHeight="1" thickBot="1" x14ac:dyDescent="0.25">
      <c r="A9" s="1078" t="s">
        <v>1369</v>
      </c>
      <c r="B9" s="1816">
        <f>'Acct Summary 7-8'!C17</f>
        <v>19113968</v>
      </c>
      <c r="C9" s="1816">
        <f>'Acct Summary 7-8'!D17</f>
        <v>2498761</v>
      </c>
      <c r="D9" s="1816">
        <f>'Acct Summary 7-8'!F17</f>
        <v>1914840</v>
      </c>
      <c r="E9" s="1815"/>
      <c r="F9" s="1815">
        <f>SUM(B9:E9)</f>
        <v>23527569</v>
      </c>
    </row>
    <row r="10" spans="1:8" s="1079" customFormat="1" ht="14.25" thickTop="1" thickBot="1" x14ac:dyDescent="0.25">
      <c r="A10" s="1080" t="s">
        <v>1370</v>
      </c>
      <c r="B10" s="1817">
        <f>(B8-B9)</f>
        <v>2168067</v>
      </c>
      <c r="C10" s="1817">
        <f>(C8-C9)</f>
        <v>157434</v>
      </c>
      <c r="D10" s="1817">
        <f>(D8-D9)</f>
        <v>111814</v>
      </c>
      <c r="E10" s="1816">
        <f>(E8-E9)</f>
        <v>40255</v>
      </c>
      <c r="F10" s="1818">
        <f>SUM(F8-F9)</f>
        <v>2477570</v>
      </c>
    </row>
    <row r="11" spans="1:8" s="1079" customFormat="1" ht="14.25" thickTop="1" thickBot="1" x14ac:dyDescent="0.25">
      <c r="A11" s="1081" t="s">
        <v>1982</v>
      </c>
      <c r="B11" s="1819">
        <f>'Acct Summary 7-8'!C81</f>
        <v>9921552</v>
      </c>
      <c r="C11" s="1819">
        <f>'Acct Summary 7-8'!D81</f>
        <v>1528570</v>
      </c>
      <c r="D11" s="1819">
        <f>'Acct Summary 7-8'!F81</f>
        <v>1507994</v>
      </c>
      <c r="E11" s="1819">
        <f>'Acct Summary 7-8'!I81</f>
        <v>1061503</v>
      </c>
      <c r="F11" s="1820">
        <f>SUM(B11:E11)</f>
        <v>14019619</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election activeCell="C80" sqref="C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56099092002</v>
      </c>
    </row>
    <row r="3" spans="1:2" x14ac:dyDescent="0.2">
      <c r="A3" t="s">
        <v>956</v>
      </c>
      <c r="B3" s="138" t="str">
        <f>COVER!A15</f>
        <v>WILL</v>
      </c>
    </row>
    <row r="4" spans="1:2" x14ac:dyDescent="0.2">
      <c r="A4" t="s">
        <v>1007</v>
      </c>
      <c r="B4" s="138" t="str">
        <f>COVER!A17</f>
        <v>Will County SD 92</v>
      </c>
    </row>
    <row r="5" spans="1:2" x14ac:dyDescent="0.2">
      <c r="A5" t="s">
        <v>704</v>
      </c>
      <c r="B5" s="138" t="str">
        <f>COVER!A38</f>
        <v>DR. TIM ARNOLD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9903613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9926113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4561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4561</v>
      </c>
      <c r="C91" s="2" t="s">
        <v>573</v>
      </c>
      <c r="D91" s="2" t="str">
        <f t="shared" si="0"/>
        <v>Error?</v>
      </c>
    </row>
    <row r="92" spans="1:4" x14ac:dyDescent="0.2">
      <c r="A92" s="5">
        <v>31</v>
      </c>
      <c r="B92" s="138">
        <f>'Assets-Liab 5-6'!C39</f>
        <v>9921552</v>
      </c>
      <c r="D92" s="2" t="str">
        <f t="shared" si="0"/>
        <v>Error?</v>
      </c>
    </row>
    <row r="93" spans="1:4" x14ac:dyDescent="0.2">
      <c r="A93" s="5">
        <v>32</v>
      </c>
      <c r="B93" s="138">
        <f>'Assets-Liab 5-6'!C41</f>
        <v>9926113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1528570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1528570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1528570</v>
      </c>
      <c r="D123" s="2" t="str">
        <f t="shared" si="0"/>
        <v>Error?</v>
      </c>
    </row>
    <row r="124" spans="1:4" x14ac:dyDescent="0.2">
      <c r="A124" s="5">
        <v>63</v>
      </c>
      <c r="B124" s="138">
        <f>'Assets-Liab 5-6'!D41</f>
        <v>1528570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554594</v>
      </c>
      <c r="D129" s="2" t="str">
        <f t="shared" si="1"/>
        <v>Error?</v>
      </c>
    </row>
    <row r="130" spans="1:4" x14ac:dyDescent="0.2">
      <c r="A130" s="5">
        <v>69</v>
      </c>
      <c r="B130" s="138">
        <f>'Assets-Liab 5-6'!E12</f>
        <v>0</v>
      </c>
      <c r="D130" s="2" t="str">
        <f t="shared" si="1"/>
        <v>Error?</v>
      </c>
    </row>
    <row r="131" spans="1:4" x14ac:dyDescent="0.2">
      <c r="A131" s="5">
        <v>70</v>
      </c>
      <c r="B131" s="138">
        <f>'Assets-Liab 5-6'!E13</f>
        <v>554594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554594</v>
      </c>
      <c r="D140" s="2" t="str">
        <f t="shared" si="1"/>
        <v>Error?</v>
      </c>
    </row>
    <row r="141" spans="1:4" x14ac:dyDescent="0.2">
      <c r="A141" s="5">
        <v>80</v>
      </c>
      <c r="B141" s="138">
        <f>'Assets-Liab 5-6'!E41</f>
        <v>554594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1507994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1507994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1507994</v>
      </c>
      <c r="D170" s="2" t="str">
        <f t="shared" si="1"/>
        <v>Error?</v>
      </c>
    </row>
    <row r="171" spans="1:4" x14ac:dyDescent="0.2">
      <c r="A171" s="5">
        <v>110</v>
      </c>
      <c r="B171" s="138">
        <f>'Assets-Liab 5-6'!F41</f>
        <v>1507994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777597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777922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777922</v>
      </c>
      <c r="D189" s="2" t="str">
        <f t="shared" si="1"/>
        <v>Error?</v>
      </c>
    </row>
    <row r="190" spans="1:4" x14ac:dyDescent="0.2">
      <c r="A190" s="5">
        <v>129</v>
      </c>
      <c r="B190" s="138">
        <f>'Assets-Liab 5-6'!G41</f>
        <v>777922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3261228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3261228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3261228</v>
      </c>
      <c r="D212" s="2" t="str">
        <f t="shared" si="2"/>
        <v>Error?</v>
      </c>
    </row>
    <row r="213" spans="1:4" x14ac:dyDescent="0.2">
      <c r="A213" s="12">
        <v>152</v>
      </c>
      <c r="B213" s="138">
        <f>'Assets-Liab 5-6'!H41</f>
        <v>3261228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1718079</v>
      </c>
      <c r="D273" s="2" t="str">
        <f t="shared" si="3"/>
        <v>Error?</v>
      </c>
    </row>
    <row r="274" spans="1:4" x14ac:dyDescent="0.2">
      <c r="A274" s="5">
        <v>213</v>
      </c>
      <c r="B274" s="138">
        <f>'Assets-Liab 5-6'!M17</f>
        <v>42873979</v>
      </c>
      <c r="D274" s="2" t="str">
        <f t="shared" si="3"/>
        <v>Error?</v>
      </c>
    </row>
    <row r="275" spans="1:4" x14ac:dyDescent="0.2">
      <c r="A275" s="5">
        <v>214</v>
      </c>
      <c r="B275" s="138">
        <f>'Assets-Liab 5-6'!M18</f>
        <v>0</v>
      </c>
      <c r="D275" s="2" t="str">
        <f t="shared" si="3"/>
        <v>Error?</v>
      </c>
    </row>
    <row r="276" spans="1:4" x14ac:dyDescent="0.2">
      <c r="A276" s="5">
        <v>215</v>
      </c>
      <c r="B276" s="138">
        <f>'Assets-Liab 5-6'!M19</f>
        <v>5449310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50041368</v>
      </c>
      <c r="C279" s="2" t="s">
        <v>573</v>
      </c>
      <c r="D279" s="2" t="str">
        <f t="shared" si="3"/>
        <v>Error?</v>
      </c>
    </row>
    <row r="280" spans="1:4" x14ac:dyDescent="0.2">
      <c r="A280" s="5">
        <v>219</v>
      </c>
      <c r="B280" s="138">
        <f>'Assets-Liab 5-6'!M40</f>
        <v>50041368</v>
      </c>
      <c r="D280" s="2" t="str">
        <f t="shared" si="3"/>
        <v>Error?</v>
      </c>
    </row>
    <row r="281" spans="1:4" x14ac:dyDescent="0.2">
      <c r="A281" s="5">
        <v>220</v>
      </c>
      <c r="B281" s="138">
        <f>'Assets-Liab 5-6'!M41</f>
        <v>50041368</v>
      </c>
      <c r="C281" s="2" t="s">
        <v>573</v>
      </c>
      <c r="D281" s="2" t="str">
        <f t="shared" si="3"/>
        <v>Error?</v>
      </c>
    </row>
    <row r="282" spans="1:4" x14ac:dyDescent="0.2">
      <c r="A282" s="5">
        <v>221</v>
      </c>
      <c r="B282" s="138">
        <f>'Assets-Liab 5-6'!N21</f>
        <v>554594</v>
      </c>
      <c r="D282" s="2" t="str">
        <f t="shared" si="3"/>
        <v>Error?</v>
      </c>
    </row>
    <row r="283" spans="1:4" x14ac:dyDescent="0.2">
      <c r="A283" s="5">
        <v>222</v>
      </c>
      <c r="B283" s="138">
        <f>'Assets-Liab 5-6'!N22</f>
        <v>4920406</v>
      </c>
      <c r="D283" s="2" t="str">
        <f t="shared" si="3"/>
        <v>Error?</v>
      </c>
    </row>
    <row r="284" spans="1:4" x14ac:dyDescent="0.2">
      <c r="A284" s="5">
        <v>223</v>
      </c>
      <c r="B284" s="138">
        <f>'Assets-Liab 5-6'!N23</f>
        <v>5475000</v>
      </c>
      <c r="C284" s="2" t="s">
        <v>573</v>
      </c>
      <c r="D284" s="2" t="str">
        <f t="shared" si="3"/>
        <v>Error?</v>
      </c>
    </row>
    <row r="285" spans="1:4" x14ac:dyDescent="0.2">
      <c r="A285" s="5">
        <v>224</v>
      </c>
      <c r="B285" s="138">
        <f>'Assets-Liab 5-6'!N36</f>
        <v>5475000</v>
      </c>
      <c r="D285" s="2" t="str">
        <f t="shared" si="3"/>
        <v>Error?</v>
      </c>
    </row>
    <row r="286" spans="1:4" x14ac:dyDescent="0.2">
      <c r="A286" s="10">
        <v>225</v>
      </c>
      <c r="D286" s="2" t="str">
        <f t="shared" si="3"/>
        <v>OK</v>
      </c>
    </row>
    <row r="287" spans="1:4" x14ac:dyDescent="0.2">
      <c r="A287" s="5">
        <v>226</v>
      </c>
      <c r="B287" s="138">
        <f>'Assets-Liab 5-6'!N37</f>
        <v>5475000</v>
      </c>
      <c r="C287" s="2" t="s">
        <v>573</v>
      </c>
      <c r="D287" s="2" t="str">
        <f t="shared" si="3"/>
        <v>Error?</v>
      </c>
    </row>
    <row r="288" spans="1:4" x14ac:dyDescent="0.2">
      <c r="A288" s="5">
        <v>227</v>
      </c>
      <c r="B288" s="138">
        <f>'Assets-Liab 5-6'!N41</f>
        <v>5475000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7328633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56543</v>
      </c>
      <c r="D719" s="2" t="str">
        <f t="shared" si="10"/>
        <v>Error?</v>
      </c>
    </row>
    <row r="720" spans="1:4" x14ac:dyDescent="0.2">
      <c r="A720" s="5">
        <v>659</v>
      </c>
      <c r="B720" s="138">
        <f>'Expenditures 15-22'!C33</f>
        <v>9789470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307671</v>
      </c>
      <c r="D723" s="2" t="str">
        <f t="shared" si="10"/>
        <v>Error?</v>
      </c>
    </row>
    <row r="724" spans="1:4" x14ac:dyDescent="0.2">
      <c r="A724" s="5">
        <v>663</v>
      </c>
      <c r="B724" s="138">
        <f>'Expenditures 15-22'!C39</f>
        <v>306629</v>
      </c>
      <c r="D724" s="2" t="str">
        <f t="shared" si="10"/>
        <v>Error?</v>
      </c>
    </row>
    <row r="725" spans="1:4" x14ac:dyDescent="0.2">
      <c r="A725" s="5">
        <v>664</v>
      </c>
      <c r="B725" s="138">
        <f>'Expenditures 15-22'!C40</f>
        <v>429782</v>
      </c>
      <c r="D725" s="2" t="str">
        <f t="shared" si="10"/>
        <v>Error?</v>
      </c>
    </row>
    <row r="726" spans="1:4" x14ac:dyDescent="0.2">
      <c r="A726" s="5">
        <v>665</v>
      </c>
      <c r="B726" s="138">
        <f>'Expenditures 15-22'!C41</f>
        <v>28209</v>
      </c>
      <c r="D726" s="2" t="str">
        <f t="shared" si="10"/>
        <v>Error?</v>
      </c>
    </row>
    <row r="727" spans="1:4" x14ac:dyDescent="0.2">
      <c r="A727" s="5">
        <v>666</v>
      </c>
      <c r="B727" s="138">
        <f>'Expenditures 15-22'!C42</f>
        <v>1072291</v>
      </c>
      <c r="C727" s="2" t="s">
        <v>573</v>
      </c>
      <c r="D727" s="2" t="str">
        <f t="shared" si="10"/>
        <v>Error?</v>
      </c>
    </row>
    <row r="728" spans="1:4" x14ac:dyDescent="0.2">
      <c r="A728" s="5">
        <v>667</v>
      </c>
      <c r="B728" s="138">
        <f>'Expenditures 15-22'!C44</f>
        <v>73977</v>
      </c>
      <c r="D728" s="2" t="str">
        <f t="shared" si="10"/>
        <v>Error?</v>
      </c>
    </row>
    <row r="729" spans="1:4" x14ac:dyDescent="0.2">
      <c r="A729" s="5">
        <v>668</v>
      </c>
      <c r="B729" s="138">
        <f>'Expenditures 15-22'!C45</f>
        <v>654832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728809</v>
      </c>
      <c r="C731" s="2" t="s">
        <v>573</v>
      </c>
      <c r="D731" s="2" t="str">
        <f t="shared" si="10"/>
        <v>Error?</v>
      </c>
    </row>
    <row r="732" spans="1:4" x14ac:dyDescent="0.2">
      <c r="A732" s="5">
        <v>671</v>
      </c>
      <c r="B732" s="138">
        <f>'Expenditures 15-22'!C49</f>
        <v>730</v>
      </c>
      <c r="D732" s="2" t="str">
        <f t="shared" si="10"/>
        <v>Error?</v>
      </c>
    </row>
    <row r="733" spans="1:4" x14ac:dyDescent="0.2">
      <c r="A733" s="5">
        <v>672</v>
      </c>
      <c r="B733" s="138">
        <f>'Expenditures 15-22'!C50</f>
        <v>207632</v>
      </c>
      <c r="D733" s="2" t="str">
        <f t="shared" si="10"/>
        <v>Error?</v>
      </c>
    </row>
    <row r="734" spans="1:4" x14ac:dyDescent="0.2">
      <c r="A734" s="5">
        <v>673</v>
      </c>
      <c r="B734" s="138">
        <f>'Expenditures 15-22'!C53</f>
        <v>208362</v>
      </c>
      <c r="C734" s="2" t="s">
        <v>573</v>
      </c>
      <c r="D734" s="2" t="str">
        <f t="shared" si="10"/>
        <v>Error?</v>
      </c>
    </row>
    <row r="735" spans="1:4" x14ac:dyDescent="0.2">
      <c r="A735" s="5">
        <v>674</v>
      </c>
      <c r="B735" s="138">
        <f>'Expenditures 15-22'!C55</f>
        <v>950855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950855</v>
      </c>
      <c r="C737" s="2" t="s">
        <v>573</v>
      </c>
      <c r="D737" s="2" t="str">
        <f t="shared" si="10"/>
        <v>Error?</v>
      </c>
    </row>
    <row r="738" spans="1:4" x14ac:dyDescent="0.2">
      <c r="A738" s="5">
        <v>677</v>
      </c>
      <c r="B738" s="138">
        <f>'Expenditures 15-22'!C59</f>
        <v>150437</v>
      </c>
      <c r="D738" s="2" t="str">
        <f t="shared" si="10"/>
        <v>Error?</v>
      </c>
    </row>
    <row r="739" spans="1:4" x14ac:dyDescent="0.2">
      <c r="A739" s="5">
        <v>678</v>
      </c>
      <c r="B739" s="138">
        <f>'Expenditures 15-22'!C60</f>
        <v>172005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184038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506480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1044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1044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3467841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13257311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1881021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531</v>
      </c>
      <c r="D777" s="2" t="str">
        <f t="shared" si="11"/>
        <v>Error?</v>
      </c>
    </row>
    <row r="778" spans="1:4" x14ac:dyDescent="0.2">
      <c r="A778" s="5">
        <v>717</v>
      </c>
      <c r="B778" s="138">
        <f>'Expenditures 15-22'!D33</f>
        <v>2489294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833</v>
      </c>
      <c r="D781" s="2" t="str">
        <f t="shared" si="11"/>
        <v>Error?</v>
      </c>
    </row>
    <row r="782" spans="1:4" x14ac:dyDescent="0.2">
      <c r="A782" s="5">
        <v>721</v>
      </c>
      <c r="B782" s="138">
        <f>'Expenditures 15-22'!D39</f>
        <v>4586</v>
      </c>
      <c r="D782" s="2" t="str">
        <f t="shared" si="11"/>
        <v>Error?</v>
      </c>
    </row>
    <row r="783" spans="1:4" x14ac:dyDescent="0.2">
      <c r="A783" s="5">
        <v>722</v>
      </c>
      <c r="B783" s="138">
        <f>'Expenditures 15-22'!D40</f>
        <v>6427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11846</v>
      </c>
      <c r="C785" s="2" t="s">
        <v>573</v>
      </c>
      <c r="D785" s="2" t="str">
        <f t="shared" si="11"/>
        <v>Error?</v>
      </c>
    </row>
    <row r="786" spans="1:4" x14ac:dyDescent="0.2">
      <c r="A786" s="5">
        <v>725</v>
      </c>
      <c r="B786" s="138">
        <f>'Expenditures 15-22'!D44</f>
        <v>33783</v>
      </c>
      <c r="D786" s="2" t="str">
        <f t="shared" si="11"/>
        <v>Error?</v>
      </c>
    </row>
    <row r="787" spans="1:4" x14ac:dyDescent="0.2">
      <c r="A787" s="5">
        <v>726</v>
      </c>
      <c r="B787" s="138">
        <f>'Expenditures 15-22'!D45</f>
        <v>53797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87580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47706</v>
      </c>
      <c r="D791" s="2" t="str">
        <f t="shared" si="11"/>
        <v>Error?</v>
      </c>
    </row>
    <row r="792" spans="1:4" x14ac:dyDescent="0.2">
      <c r="A792" s="5">
        <v>731</v>
      </c>
      <c r="B792" s="138">
        <f>'Expenditures 15-22'!D53</f>
        <v>47706</v>
      </c>
      <c r="C792" s="2" t="s">
        <v>573</v>
      </c>
      <c r="D792" s="2" t="str">
        <f t="shared" si="11"/>
        <v>Error?</v>
      </c>
    </row>
    <row r="793" spans="1:4" x14ac:dyDescent="0.2">
      <c r="A793" s="5">
        <v>732</v>
      </c>
      <c r="B793" s="138">
        <f>'Expenditures 15-22'!D55</f>
        <v>188303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188303</v>
      </c>
      <c r="C795" s="2" t="s">
        <v>573</v>
      </c>
      <c r="D795" s="2" t="str">
        <f t="shared" si="11"/>
        <v>Error?</v>
      </c>
    </row>
    <row r="796" spans="1:4" x14ac:dyDescent="0.2">
      <c r="A796" s="5">
        <v>735</v>
      </c>
      <c r="B796" s="138">
        <f>'Expenditures 15-22'!D59</f>
        <v>25619</v>
      </c>
      <c r="D796" s="2" t="str">
        <f t="shared" si="11"/>
        <v>Error?</v>
      </c>
    </row>
    <row r="797" spans="1:4" x14ac:dyDescent="0.2">
      <c r="A797" s="5">
        <v>736</v>
      </c>
      <c r="B797" s="138">
        <f>'Expenditures 15-22'!D60</f>
        <v>69100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94719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430188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2919482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27047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4533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52077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83290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16511</v>
      </c>
      <c r="D841" s="2" t="str">
        <f t="shared" si="12"/>
        <v>Error?</v>
      </c>
    </row>
    <row r="842" spans="1:4" x14ac:dyDescent="0.2">
      <c r="A842" s="5">
        <v>781</v>
      </c>
      <c r="B842" s="138">
        <f>'Expenditures 15-22'!E41</f>
        <v>917</v>
      </c>
      <c r="D842" s="2" t="str">
        <f t="shared" si="12"/>
        <v>Error?</v>
      </c>
    </row>
    <row r="843" spans="1:4" x14ac:dyDescent="0.2">
      <c r="A843" s="5">
        <v>782</v>
      </c>
      <c r="B843" s="138">
        <f>'Expenditures 15-22'!E42</f>
        <v>100718</v>
      </c>
      <c r="C843" s="2" t="s">
        <v>573</v>
      </c>
      <c r="D843" s="2" t="str">
        <f t="shared" si="12"/>
        <v>Error?</v>
      </c>
    </row>
    <row r="844" spans="1:4" x14ac:dyDescent="0.2">
      <c r="A844" s="5">
        <v>783</v>
      </c>
      <c r="B844" s="138">
        <f>'Expenditures 15-22'!E44</f>
        <v>158905</v>
      </c>
      <c r="D844" s="2" t="str">
        <f t="shared" si="12"/>
        <v>Error?</v>
      </c>
    </row>
    <row r="845" spans="1:4" x14ac:dyDescent="0.2">
      <c r="A845" s="5">
        <v>784</v>
      </c>
      <c r="B845" s="138">
        <f>'Expenditures 15-22'!E45</f>
        <v>127696</v>
      </c>
      <c r="D845" s="2" t="str">
        <f t="shared" si="12"/>
        <v>Error?</v>
      </c>
    </row>
    <row r="846" spans="1:4" x14ac:dyDescent="0.2">
      <c r="A846" s="5">
        <v>785</v>
      </c>
      <c r="B846" s="138">
        <f>'Expenditures 15-22'!E46</f>
        <v>14140</v>
      </c>
      <c r="D846" s="2" t="str">
        <f t="shared" si="12"/>
        <v>Error?</v>
      </c>
    </row>
    <row r="847" spans="1:4" x14ac:dyDescent="0.2">
      <c r="A847" s="5">
        <v>786</v>
      </c>
      <c r="B847" s="138">
        <f>'Expenditures 15-22'!E47</f>
        <v>300741</v>
      </c>
      <c r="C847" s="2" t="s">
        <v>573</v>
      </c>
      <c r="D847" s="2" t="str">
        <f t="shared" si="12"/>
        <v>Error?</v>
      </c>
    </row>
    <row r="848" spans="1:4" x14ac:dyDescent="0.2">
      <c r="A848" s="5">
        <v>787</v>
      </c>
      <c r="B848" s="138">
        <f>'Expenditures 15-22'!E49</f>
        <v>307259</v>
      </c>
      <c r="D848" s="2" t="str">
        <f t="shared" si="12"/>
        <v>Error?</v>
      </c>
    </row>
    <row r="849" spans="1:4" x14ac:dyDescent="0.2">
      <c r="A849" s="5">
        <v>788</v>
      </c>
      <c r="B849" s="138">
        <f>'Expenditures 15-22'!E50</f>
        <v>7015</v>
      </c>
      <c r="D849" s="2" t="str">
        <f t="shared" si="12"/>
        <v>Error?</v>
      </c>
    </row>
    <row r="850" spans="1:4" x14ac:dyDescent="0.2">
      <c r="A850" s="5">
        <v>789</v>
      </c>
      <c r="B850" s="138">
        <f>'Expenditures 15-22'!E53</f>
        <v>314274</v>
      </c>
      <c r="C850" s="2" t="s">
        <v>573</v>
      </c>
      <c r="D850" s="2" t="str">
        <f t="shared" si="12"/>
        <v>Error?</v>
      </c>
    </row>
    <row r="851" spans="1:4" x14ac:dyDescent="0.2">
      <c r="A851" s="5">
        <v>790</v>
      </c>
      <c r="B851" s="138">
        <f>'Expenditures 15-22'!E55</f>
        <v>4501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4501</v>
      </c>
      <c r="C853" s="2" t="s">
        <v>573</v>
      </c>
      <c r="D853" s="2" t="str">
        <f t="shared" si="12"/>
        <v>Error?</v>
      </c>
    </row>
    <row r="854" spans="1:4" x14ac:dyDescent="0.2">
      <c r="A854" s="5">
        <v>793</v>
      </c>
      <c r="B854" s="138">
        <f>'Expenditures 15-22'!E59</f>
        <v>2123</v>
      </c>
      <c r="D854" s="2" t="str">
        <f t="shared" si="12"/>
        <v>Error?</v>
      </c>
    </row>
    <row r="855" spans="1:4" x14ac:dyDescent="0.2">
      <c r="A855" s="5">
        <v>794</v>
      </c>
      <c r="B855" s="138">
        <f>'Expenditures 15-22'!E60</f>
        <v>13136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4699</v>
      </c>
      <c r="D858" s="2" t="str">
        <f t="shared" si="12"/>
        <v>Error?</v>
      </c>
    </row>
    <row r="859" spans="1:4" x14ac:dyDescent="0.2">
      <c r="A859" s="5">
        <v>798</v>
      </c>
      <c r="B859" s="138">
        <f>'Expenditures 15-22'!E64</f>
        <v>103196</v>
      </c>
      <c r="D859" s="2" t="str">
        <f t="shared" si="12"/>
        <v>Error?</v>
      </c>
    </row>
    <row r="860" spans="1:4" x14ac:dyDescent="0.2">
      <c r="A860" s="10">
        <v>799</v>
      </c>
      <c r="D860" s="2" t="str">
        <f t="shared" si="12"/>
        <v>OK</v>
      </c>
    </row>
    <row r="861" spans="1:4" x14ac:dyDescent="0.2">
      <c r="A861" s="5">
        <v>800</v>
      </c>
      <c r="B861" s="138">
        <f>'Expenditures 15-22'!E65</f>
        <v>123154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843388</v>
      </c>
      <c r="C871" s="2" t="s">
        <v>573</v>
      </c>
      <c r="D871" s="2" t="str">
        <f t="shared" si="12"/>
        <v>Error?</v>
      </c>
    </row>
    <row r="872" spans="1:4" x14ac:dyDescent="0.2">
      <c r="A872" s="5">
        <v>811</v>
      </c>
      <c r="B872" s="138">
        <f>'Expenditures 15-22'!E75</f>
        <v>3355</v>
      </c>
      <c r="D872" s="2" t="str">
        <f t="shared" si="12"/>
        <v>Error?</v>
      </c>
    </row>
    <row r="873" spans="1:4" x14ac:dyDescent="0.2">
      <c r="A873" s="5">
        <v>812</v>
      </c>
      <c r="B873" s="138">
        <f>'Expenditures 15-22'!E114</f>
        <v>898820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279872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29977</v>
      </c>
      <c r="D892" s="2" t="str">
        <f t="shared" si="12"/>
        <v>Error?</v>
      </c>
    </row>
    <row r="893" spans="1:4" x14ac:dyDescent="0.2">
      <c r="A893" s="5">
        <v>832</v>
      </c>
      <c r="B893" s="138">
        <f>'Expenditures 15-22'!F15</f>
        <v>1762</v>
      </c>
      <c r="D893" s="2" t="str">
        <f t="shared" si="12"/>
        <v>Error?</v>
      </c>
    </row>
    <row r="894" spans="1:4" x14ac:dyDescent="0.2">
      <c r="A894" s="5">
        <v>833</v>
      </c>
      <c r="B894" s="138">
        <f>'Expenditures 15-22'!F33</f>
        <v>350784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1610</v>
      </c>
      <c r="D900" s="2" t="str">
        <f t="shared" si="13"/>
        <v>Error?</v>
      </c>
    </row>
    <row r="901" spans="1:4" x14ac:dyDescent="0.2">
      <c r="A901" s="5">
        <v>840</v>
      </c>
      <c r="B901" s="138">
        <f>'Expenditures 15-22'!F42</f>
        <v>9459</v>
      </c>
      <c r="C901" s="2" t="s">
        <v>573</v>
      </c>
      <c r="D901" s="2" t="str">
        <f t="shared" si="13"/>
        <v>Error?</v>
      </c>
    </row>
    <row r="902" spans="1:4" x14ac:dyDescent="0.2">
      <c r="A902" s="5">
        <v>841</v>
      </c>
      <c r="B902" s="138">
        <f>'Expenditures 15-22'!F44</f>
        <v>10363</v>
      </c>
      <c r="D902" s="2" t="str">
        <f t="shared" si="13"/>
        <v>Error?</v>
      </c>
    </row>
    <row r="903" spans="1:4" x14ac:dyDescent="0.2">
      <c r="A903" s="5">
        <v>842</v>
      </c>
      <c r="B903" s="138">
        <f>'Expenditures 15-22'!F45</f>
        <v>146025</v>
      </c>
      <c r="D903" s="2" t="str">
        <f t="shared" si="13"/>
        <v>Error?</v>
      </c>
    </row>
    <row r="904" spans="1:4" x14ac:dyDescent="0.2">
      <c r="A904" s="5">
        <v>843</v>
      </c>
      <c r="B904" s="138">
        <f>'Expenditures 15-22'!F46</f>
        <v>606</v>
      </c>
      <c r="D904" s="2" t="str">
        <f t="shared" si="13"/>
        <v>Error?</v>
      </c>
    </row>
    <row r="905" spans="1:4" x14ac:dyDescent="0.2">
      <c r="A905" s="5">
        <v>844</v>
      </c>
      <c r="B905" s="138">
        <f>'Expenditures 15-22'!F47</f>
        <v>156994</v>
      </c>
      <c r="C905" s="2" t="s">
        <v>573</v>
      </c>
      <c r="D905" s="2" t="str">
        <f t="shared" si="13"/>
        <v>Error?</v>
      </c>
    </row>
    <row r="906" spans="1:4" x14ac:dyDescent="0.2">
      <c r="A906" s="5">
        <v>845</v>
      </c>
      <c r="B906" s="138">
        <f>'Expenditures 15-22'!F49</f>
        <v>10754</v>
      </c>
      <c r="D906" s="2" t="str">
        <f t="shared" si="13"/>
        <v>Error?</v>
      </c>
    </row>
    <row r="907" spans="1:4" x14ac:dyDescent="0.2">
      <c r="A907" s="5">
        <v>846</v>
      </c>
      <c r="B907" s="138">
        <f>'Expenditures 15-22'!F50</f>
        <v>2611</v>
      </c>
      <c r="D907" s="2" t="str">
        <f t="shared" si="13"/>
        <v>Error?</v>
      </c>
    </row>
    <row r="908" spans="1:4" x14ac:dyDescent="0.2">
      <c r="A908" s="5">
        <v>847</v>
      </c>
      <c r="B908" s="138">
        <f>'Expenditures 15-22'!F53</f>
        <v>13365</v>
      </c>
      <c r="C908" s="2" t="s">
        <v>573</v>
      </c>
      <c r="D908" s="2" t="str">
        <f t="shared" si="13"/>
        <v>Error?</v>
      </c>
    </row>
    <row r="909" spans="1:4" x14ac:dyDescent="0.2">
      <c r="A909" s="5">
        <v>848</v>
      </c>
      <c r="B909" s="138">
        <f>'Expenditures 15-22'!F55</f>
        <v>4895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148241</v>
      </c>
      <c r="D916" s="2" t="str">
        <f t="shared" si="13"/>
        <v>Error?</v>
      </c>
    </row>
    <row r="917" spans="1:4" x14ac:dyDescent="0.2">
      <c r="A917" s="5">
        <v>856</v>
      </c>
      <c r="B917" s="138">
        <f>'Expenditures 15-22'!F64</f>
        <v>29066</v>
      </c>
      <c r="D917" s="2" t="str">
        <f t="shared" si="13"/>
        <v>Error?</v>
      </c>
    </row>
    <row r="918" spans="1:4" x14ac:dyDescent="0.2">
      <c r="A918" s="10">
        <v>857</v>
      </c>
      <c r="D918" s="2" t="str">
        <f t="shared" si="13"/>
        <v>OK</v>
      </c>
    </row>
    <row r="919" spans="1:4" x14ac:dyDescent="0.2">
      <c r="A919" s="5">
        <v>858</v>
      </c>
      <c r="B919" s="138">
        <f>'Expenditures 15-22'!F65</f>
        <v>177945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362658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713442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55395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58750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426276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426276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2705</v>
      </c>
      <c r="D965" s="2" t="str">
        <f t="shared" si="14"/>
        <v>Error?</v>
      </c>
    </row>
    <row r="966" spans="1:4" x14ac:dyDescent="0.2">
      <c r="A966" s="5">
        <v>905</v>
      </c>
      <c r="B966" s="138">
        <f>'Expenditures 15-22'!G53</f>
        <v>2705</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428981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487731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1162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1559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1559</v>
      </c>
      <c r="C1021" s="2" t="s">
        <v>573</v>
      </c>
      <c r="D1021" s="2" t="str">
        <f t="shared" si="14"/>
        <v>Error?</v>
      </c>
    </row>
    <row r="1022" spans="1:4" x14ac:dyDescent="0.2">
      <c r="A1022" s="5">
        <v>961</v>
      </c>
      <c r="B1022" s="138">
        <f>'Expenditures 15-22'!H49</f>
        <v>21847</v>
      </c>
      <c r="D1022" s="2" t="str">
        <f t="shared" si="14"/>
        <v>Error?</v>
      </c>
    </row>
    <row r="1023" spans="1:4" x14ac:dyDescent="0.2">
      <c r="A1023" s="5">
        <v>962</v>
      </c>
      <c r="B1023" s="138">
        <f>'Expenditures 15-22'!H50</f>
        <v>2661</v>
      </c>
      <c r="D1023" s="2" t="str">
        <f t="shared" ref="D1023:D1086" si="15">IF(ISBLANK(B1023),"OK",IF(A1023-B1023=0,"OK","Error?"))</f>
        <v>Error?</v>
      </c>
    </row>
    <row r="1024" spans="1:4" x14ac:dyDescent="0.2">
      <c r="A1024" s="5">
        <v>963</v>
      </c>
      <c r="B1024" s="138">
        <f>'Expenditures 15-22'!H53</f>
        <v>24508</v>
      </c>
      <c r="C1024" s="2" t="s">
        <v>573</v>
      </c>
      <c r="D1024" s="2" t="str">
        <f t="shared" si="15"/>
        <v>Error?</v>
      </c>
    </row>
    <row r="1025" spans="1:4" x14ac:dyDescent="0.2">
      <c r="A1025" s="5">
        <v>964</v>
      </c>
      <c r="B1025" s="138">
        <f>'Expenditures 15-22'!H55</f>
        <v>4901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4901</v>
      </c>
      <c r="C1027" s="2" t="s">
        <v>573</v>
      </c>
      <c r="D1027" s="2" t="str">
        <f t="shared" si="15"/>
        <v>Error?</v>
      </c>
    </row>
    <row r="1028" spans="1:4" x14ac:dyDescent="0.2">
      <c r="A1028" s="5">
        <v>967</v>
      </c>
      <c r="B1028" s="138">
        <f>'Expenditures 15-22'!H59</f>
        <v>3577</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3941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7518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38486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675628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715276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9616374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4533</v>
      </c>
      <c r="C1105" s="2" t="s">
        <v>573</v>
      </c>
      <c r="D1105" s="2" t="str">
        <f t="shared" si="16"/>
        <v>Error?</v>
      </c>
    </row>
    <row r="1106" spans="1:4" x14ac:dyDescent="0.2">
      <c r="A1106" s="5">
        <v>1045</v>
      </c>
      <c r="B1106" s="138">
        <f>'Expenditures 15-22'!K14</f>
        <v>29977</v>
      </c>
      <c r="C1106" s="2" t="s">
        <v>573</v>
      </c>
      <c r="D1106" s="2" t="str">
        <f t="shared" si="16"/>
        <v>Error?</v>
      </c>
    </row>
    <row r="1107" spans="1:4" x14ac:dyDescent="0.2">
      <c r="A1107" s="5">
        <v>1046</v>
      </c>
      <c r="B1107" s="138">
        <f>'Expenditures 15-22'!K15</f>
        <v>58836</v>
      </c>
      <c r="C1107" s="2" t="s">
        <v>573</v>
      </c>
      <c r="D1107" s="2" t="str">
        <f t="shared" si="16"/>
        <v>Error?</v>
      </c>
    </row>
    <row r="1108" spans="1:4" x14ac:dyDescent="0.2">
      <c r="A1108" s="5">
        <v>1047</v>
      </c>
      <c r="B1108" s="138">
        <f>'Expenditures 15-22'!K33</f>
        <v>12790623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407738</v>
      </c>
      <c r="C1111" s="2" t="s">
        <v>573</v>
      </c>
      <c r="D1111" s="2" t="str">
        <f t="shared" si="16"/>
        <v>Error?</v>
      </c>
    </row>
    <row r="1112" spans="1:4" x14ac:dyDescent="0.2">
      <c r="A1112" s="5">
        <v>1051</v>
      </c>
      <c r="B1112" s="138">
        <f>'Expenditures 15-22'!K39</f>
        <v>311215</v>
      </c>
      <c r="C1112" s="2" t="s">
        <v>573</v>
      </c>
      <c r="D1112" s="2" t="str">
        <f t="shared" si="16"/>
        <v>Error?</v>
      </c>
    </row>
    <row r="1113" spans="1:4" x14ac:dyDescent="0.2">
      <c r="A1113" s="5">
        <v>1052</v>
      </c>
      <c r="B1113" s="138">
        <f>'Expenditures 15-22'!K40</f>
        <v>452720</v>
      </c>
      <c r="C1113" s="2" t="s">
        <v>573</v>
      </c>
      <c r="D1113" s="2" t="str">
        <f t="shared" si="16"/>
        <v>Error?</v>
      </c>
    </row>
    <row r="1114" spans="1:4" x14ac:dyDescent="0.2">
      <c r="A1114" s="5">
        <v>1053</v>
      </c>
      <c r="B1114" s="138">
        <f>'Expenditures 15-22'!K41</f>
        <v>30736</v>
      </c>
      <c r="C1114" s="2" t="s">
        <v>573</v>
      </c>
      <c r="D1114" s="2" t="str">
        <f t="shared" si="16"/>
        <v>Error?</v>
      </c>
    </row>
    <row r="1115" spans="1:4" x14ac:dyDescent="0.2">
      <c r="A1115" s="5">
        <v>1054</v>
      </c>
      <c r="B1115" s="138">
        <f>'Expenditures 15-22'!K42</f>
        <v>1202409</v>
      </c>
      <c r="C1115" s="2" t="s">
        <v>573</v>
      </c>
      <c r="D1115" s="2" t="str">
        <f t="shared" si="16"/>
        <v>Error?</v>
      </c>
    </row>
    <row r="1116" spans="1:4" x14ac:dyDescent="0.2">
      <c r="A1116" s="5">
        <v>1055</v>
      </c>
      <c r="B1116" s="138">
        <f>'Expenditures 15-22'!K44</f>
        <v>278587</v>
      </c>
      <c r="C1116" s="2" t="s">
        <v>573</v>
      </c>
      <c r="D1116" s="2" t="str">
        <f t="shared" si="16"/>
        <v>Error?</v>
      </c>
    </row>
    <row r="1117" spans="1:4" x14ac:dyDescent="0.2">
      <c r="A1117" s="5">
        <v>1056</v>
      </c>
      <c r="B1117" s="138">
        <f>'Expenditures 15-22'!K45</f>
        <v>1470857</v>
      </c>
      <c r="C1117" s="2" t="s">
        <v>573</v>
      </c>
      <c r="D1117" s="2" t="str">
        <f t="shared" si="16"/>
        <v>Error?</v>
      </c>
    </row>
    <row r="1118" spans="1:4" x14ac:dyDescent="0.2">
      <c r="A1118" s="5">
        <v>1057</v>
      </c>
      <c r="B1118" s="138">
        <f>'Expenditures 15-22'!K46</f>
        <v>14746</v>
      </c>
      <c r="C1118" s="2" t="s">
        <v>573</v>
      </c>
      <c r="D1118" s="2" t="str">
        <f t="shared" si="16"/>
        <v>Error?</v>
      </c>
    </row>
    <row r="1119" spans="1:4" x14ac:dyDescent="0.2">
      <c r="A1119" s="5">
        <v>1058</v>
      </c>
      <c r="B1119" s="138">
        <f>'Expenditures 15-22'!K47</f>
        <v>1764190</v>
      </c>
      <c r="C1119" s="2" t="s">
        <v>573</v>
      </c>
      <c r="D1119" s="2" t="str">
        <f t="shared" si="16"/>
        <v>Error?</v>
      </c>
    </row>
    <row r="1120" spans="1:4" x14ac:dyDescent="0.2">
      <c r="A1120" s="5">
        <v>1059</v>
      </c>
      <c r="B1120" s="138">
        <f>'Expenditures 15-22'!K49</f>
        <v>340590</v>
      </c>
      <c r="C1120" s="2" t="s">
        <v>573</v>
      </c>
      <c r="D1120" s="2" t="str">
        <f t="shared" si="16"/>
        <v>Error?</v>
      </c>
    </row>
    <row r="1121" spans="1:4" x14ac:dyDescent="0.2">
      <c r="A1121" s="5">
        <v>1060</v>
      </c>
      <c r="B1121" s="138">
        <f>'Expenditures 15-22'!K50</f>
        <v>270330</v>
      </c>
      <c r="C1121" s="2" t="s">
        <v>573</v>
      </c>
      <c r="D1121" s="2" t="str">
        <f t="shared" si="16"/>
        <v>Error?</v>
      </c>
    </row>
    <row r="1122" spans="1:4" x14ac:dyDescent="0.2">
      <c r="A1122" s="5">
        <v>1061</v>
      </c>
      <c r="B1122" s="138">
        <f>'Expenditures 15-22'!K53</f>
        <v>610920</v>
      </c>
      <c r="C1122" s="2" t="s">
        <v>573</v>
      </c>
      <c r="D1122" s="2" t="str">
        <f t="shared" si="16"/>
        <v>Error?</v>
      </c>
    </row>
    <row r="1123" spans="1:4" x14ac:dyDescent="0.2">
      <c r="A1123" s="5">
        <v>1062</v>
      </c>
      <c r="B1123" s="138">
        <f>'Expenditures 15-22'!K55</f>
        <v>1153455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1153455</v>
      </c>
      <c r="C1125" s="2" t="s">
        <v>573</v>
      </c>
      <c r="D1125" s="2" t="str">
        <f t="shared" si="16"/>
        <v>Error?</v>
      </c>
    </row>
    <row r="1126" spans="1:4" x14ac:dyDescent="0.2">
      <c r="A1126" s="5">
        <v>1065</v>
      </c>
      <c r="B1126" s="138">
        <f>'Expenditures 15-22'!K59</f>
        <v>181756</v>
      </c>
      <c r="C1126" s="2" t="s">
        <v>573</v>
      </c>
      <c r="D1126" s="2" t="str">
        <f t="shared" si="16"/>
        <v>Error?</v>
      </c>
    </row>
    <row r="1127" spans="1:4" x14ac:dyDescent="0.2">
      <c r="A1127" s="5">
        <v>1066</v>
      </c>
      <c r="B1127" s="138">
        <f>'Expenditures 15-22'!K60</f>
        <v>254879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343413</v>
      </c>
      <c r="C1130" s="2" t="s">
        <v>573</v>
      </c>
      <c r="D1130" s="2" t="str">
        <f t="shared" si="16"/>
        <v>Error?</v>
      </c>
    </row>
    <row r="1131" spans="1:4" x14ac:dyDescent="0.2">
      <c r="A1131" s="5">
        <v>1070</v>
      </c>
      <c r="B1131" s="138">
        <f>'Expenditures 15-22'!K64</f>
        <v>132262</v>
      </c>
      <c r="C1131" s="2" t="s">
        <v>573</v>
      </c>
      <c r="D1131" s="2" t="str">
        <f t="shared" si="16"/>
        <v>Error?</v>
      </c>
    </row>
    <row r="1132" spans="1:4" x14ac:dyDescent="0.2">
      <c r="A1132" s="10">
        <v>1071</v>
      </c>
      <c r="D1132" s="2" t="str">
        <f t="shared" si="16"/>
        <v>OK</v>
      </c>
    </row>
    <row r="1133" spans="1:4" x14ac:dyDescent="0.2">
      <c r="A1133" s="5">
        <v>1072</v>
      </c>
      <c r="B1133" s="138">
        <f>'Expenditures 15-22'!K65</f>
        <v>912310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1078</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1078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5644362</v>
      </c>
      <c r="C1143" s="2" t="s">
        <v>573</v>
      </c>
      <c r="D1143" s="2" t="str">
        <f t="shared" si="16"/>
        <v>Error?</v>
      </c>
    </row>
    <row r="1144" spans="1:4" x14ac:dyDescent="0.2">
      <c r="A1144" s="5">
        <v>1083</v>
      </c>
      <c r="B1144" s="138">
        <f>'Expenditures 15-22'!K75</f>
        <v>3355</v>
      </c>
      <c r="C1144" s="2" t="s">
        <v>573</v>
      </c>
      <c r="D1144" s="2" t="str">
        <f t="shared" si="16"/>
        <v>Error?</v>
      </c>
    </row>
    <row r="1145" spans="1:4" x14ac:dyDescent="0.2">
      <c r="A1145" s="5">
        <v>1084</v>
      </c>
      <c r="B1145" s="138">
        <f>'Expenditures 15-22'!K102</f>
        <v>675628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19113968</v>
      </c>
      <c r="C1152" s="2" t="s">
        <v>573</v>
      </c>
      <c r="D1152" s="2" t="str">
        <f t="shared" si="17"/>
        <v>Error?</v>
      </c>
    </row>
    <row r="1153" spans="1:4" x14ac:dyDescent="0.2">
      <c r="A1153" s="5">
        <v>1092</v>
      </c>
      <c r="B1153" s="138">
        <f>'Expenditures 15-22'!K115</f>
        <v>2168067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1177988</v>
      </c>
      <c r="D1221" s="2" t="str">
        <f t="shared" si="18"/>
        <v>Error?</v>
      </c>
    </row>
    <row r="1222" spans="1:4" x14ac:dyDescent="0.2">
      <c r="A1222" s="10">
        <v>1161</v>
      </c>
      <c r="D1222" s="2" t="str">
        <f t="shared" si="18"/>
        <v>OK</v>
      </c>
    </row>
    <row r="1223" spans="1:4" x14ac:dyDescent="0.2">
      <c r="A1223" s="5">
        <v>1162</v>
      </c>
      <c r="B1223" s="138">
        <f>'Expenditures 15-22'!C127</f>
        <v>1177988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1177988</v>
      </c>
      <c r="C1225" s="2" t="s">
        <v>573</v>
      </c>
      <c r="D1225" s="2" t="str">
        <f t="shared" si="18"/>
        <v>Error?</v>
      </c>
    </row>
    <row r="1226" spans="1:4" x14ac:dyDescent="0.2">
      <c r="A1226" s="5">
        <v>1165</v>
      </c>
      <c r="B1226" s="138">
        <f>'Expenditures 15-22'!C151</f>
        <v>1177988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198435</v>
      </c>
      <c r="D1229" s="2" t="str">
        <f t="shared" si="18"/>
        <v>Error?</v>
      </c>
    </row>
    <row r="1230" spans="1:4" x14ac:dyDescent="0.2">
      <c r="A1230" s="10">
        <v>1169</v>
      </c>
      <c r="D1230" s="2" t="str">
        <f t="shared" si="18"/>
        <v>OK</v>
      </c>
    </row>
    <row r="1231" spans="1:4" x14ac:dyDescent="0.2">
      <c r="A1231" s="5">
        <v>1170</v>
      </c>
      <c r="B1231" s="138">
        <f>'Expenditures 15-22'!D127</f>
        <v>198435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198435</v>
      </c>
      <c r="C1233" s="2" t="s">
        <v>573</v>
      </c>
      <c r="D1233" s="2" t="str">
        <f t="shared" si="18"/>
        <v>Error?</v>
      </c>
    </row>
    <row r="1234" spans="1:4" x14ac:dyDescent="0.2">
      <c r="A1234" s="5">
        <v>1173</v>
      </c>
      <c r="B1234" s="138">
        <f>'Expenditures 15-22'!D151</f>
        <v>198435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3775</v>
      </c>
      <c r="D1236" s="2" t="str">
        <f t="shared" si="18"/>
        <v>Error?</v>
      </c>
    </row>
    <row r="1237" spans="1:4" x14ac:dyDescent="0.2">
      <c r="A1237" s="5">
        <v>1176</v>
      </c>
      <c r="B1237" s="138">
        <f>'Expenditures 15-22'!E124</f>
        <v>475110</v>
      </c>
      <c r="D1237" s="2" t="str">
        <f t="shared" si="18"/>
        <v>Error?</v>
      </c>
    </row>
    <row r="1238" spans="1:4" x14ac:dyDescent="0.2">
      <c r="A1238" s="10">
        <v>1177</v>
      </c>
      <c r="D1238" s="2" t="str">
        <f t="shared" si="18"/>
        <v>OK</v>
      </c>
    </row>
    <row r="1239" spans="1:4" x14ac:dyDescent="0.2">
      <c r="A1239" s="5">
        <v>1178</v>
      </c>
      <c r="B1239" s="138">
        <f>'Expenditures 15-22'!E127</f>
        <v>478885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478885</v>
      </c>
      <c r="C1241" s="2" t="s">
        <v>573</v>
      </c>
      <c r="D1241" s="2" t="str">
        <f t="shared" si="18"/>
        <v>Error?</v>
      </c>
    </row>
    <row r="1242" spans="1:4" x14ac:dyDescent="0.2">
      <c r="A1242" s="5">
        <v>1181</v>
      </c>
      <c r="B1242" s="138">
        <f>'Expenditures 15-22'!E151</f>
        <v>478885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472339</v>
      </c>
      <c r="D1245" s="2" t="str">
        <f t="shared" si="18"/>
        <v>Error?</v>
      </c>
    </row>
    <row r="1246" spans="1:4" x14ac:dyDescent="0.2">
      <c r="A1246" s="10">
        <v>1185</v>
      </c>
      <c r="D1246" s="2" t="str">
        <f t="shared" si="18"/>
        <v>OK</v>
      </c>
    </row>
    <row r="1247" spans="1:4" x14ac:dyDescent="0.2">
      <c r="A1247" s="5">
        <v>1186</v>
      </c>
      <c r="B1247" s="138">
        <f>'Expenditures 15-22'!F127</f>
        <v>472339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472339</v>
      </c>
      <c r="C1249" s="2" t="s">
        <v>573</v>
      </c>
      <c r="D1249" s="2" t="str">
        <f t="shared" si="18"/>
        <v>Error?</v>
      </c>
    </row>
    <row r="1250" spans="1:4" x14ac:dyDescent="0.2">
      <c r="A1250" s="5">
        <v>1189</v>
      </c>
      <c r="B1250" s="138">
        <f>'Expenditures 15-22'!F151</f>
        <v>472339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161989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161989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161989</v>
      </c>
      <c r="C1258" s="2" t="s">
        <v>573</v>
      </c>
      <c r="D1258" s="2" t="str">
        <f t="shared" si="18"/>
        <v>Error?</v>
      </c>
    </row>
    <row r="1259" spans="1:4" x14ac:dyDescent="0.2">
      <c r="A1259" s="5">
        <v>1198</v>
      </c>
      <c r="B1259" s="138">
        <f>'Expenditures 15-22'!G151</f>
        <v>161989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2125</v>
      </c>
      <c r="D1262" s="2" t="str">
        <f t="shared" si="18"/>
        <v>Error?</v>
      </c>
    </row>
    <row r="1263" spans="1:4" x14ac:dyDescent="0.2">
      <c r="A1263" s="10">
        <v>1202</v>
      </c>
      <c r="D1263" s="2" t="str">
        <f t="shared" si="18"/>
        <v>OK</v>
      </c>
    </row>
    <row r="1264" spans="1:4" x14ac:dyDescent="0.2">
      <c r="A1264" s="5">
        <v>1203</v>
      </c>
      <c r="B1264" s="138">
        <f>'Expenditures 15-22'!H127</f>
        <v>2125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2125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2125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3775</v>
      </c>
      <c r="C1275" s="2" t="s">
        <v>573</v>
      </c>
      <c r="D1275" s="2" t="str">
        <f t="shared" si="18"/>
        <v>Error?</v>
      </c>
    </row>
    <row r="1276" spans="1:4" x14ac:dyDescent="0.2">
      <c r="A1276" s="5">
        <v>1215</v>
      </c>
      <c r="B1276" s="138">
        <f>'Expenditures 15-22'!K124</f>
        <v>2494986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2498761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2498761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2498761</v>
      </c>
      <c r="C1288" s="2" t="s">
        <v>573</v>
      </c>
      <c r="D1288" s="2" t="str">
        <f t="shared" si="19"/>
        <v>Error?</v>
      </c>
    </row>
    <row r="1289" spans="1:4" x14ac:dyDescent="0.2">
      <c r="A1289" s="5">
        <v>1228</v>
      </c>
      <c r="B1289" s="138">
        <f>'Expenditures 15-22'!K152</f>
        <v>157434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165100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595000</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760575</v>
      </c>
      <c r="C1317" s="2" t="s">
        <v>573</v>
      </c>
      <c r="D1317" s="2" t="str">
        <f t="shared" si="19"/>
        <v>Error?</v>
      </c>
    </row>
    <row r="1318" spans="1:4" x14ac:dyDescent="0.2">
      <c r="A1318" s="5">
        <v>1257</v>
      </c>
      <c r="B1318" s="138">
        <f>'Expenditures 15-22'!H174</f>
        <v>760575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165100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595000</v>
      </c>
      <c r="C1329" s="2" t="s">
        <v>573</v>
      </c>
      <c r="D1329" s="2" t="str">
        <f t="shared" si="19"/>
        <v>Error?</v>
      </c>
    </row>
    <row r="1330" spans="1:4" x14ac:dyDescent="0.2">
      <c r="A1330" s="5">
        <v>1269</v>
      </c>
      <c r="B1330" s="138">
        <f>'Expenditures 15-22'!K171</f>
        <v>475</v>
      </c>
      <c r="C1330" s="2" t="s">
        <v>573</v>
      </c>
      <c r="D1330" s="2" t="str">
        <f t="shared" si="19"/>
        <v>Error?</v>
      </c>
    </row>
    <row r="1331" spans="1:4" x14ac:dyDescent="0.2">
      <c r="A1331" s="5">
        <v>1270</v>
      </c>
      <c r="B1331" s="138">
        <f>'Expenditures 15-22'!K172</f>
        <v>760575</v>
      </c>
      <c r="C1331" s="2" t="s">
        <v>573</v>
      </c>
      <c r="D1331" s="2" t="str">
        <f t="shared" si="19"/>
        <v>Error?</v>
      </c>
    </row>
    <row r="1332" spans="1:4" x14ac:dyDescent="0.2">
      <c r="A1332" s="5">
        <v>1271</v>
      </c>
      <c r="B1332" s="138">
        <f>'Expenditures 15-22'!K174</f>
        <v>760575</v>
      </c>
      <c r="C1332" s="2" t="s">
        <v>573</v>
      </c>
      <c r="D1332" s="2" t="str">
        <f t="shared" si="19"/>
        <v>Error?</v>
      </c>
    </row>
    <row r="1333" spans="1:4" x14ac:dyDescent="0.2">
      <c r="A1333" s="5">
        <v>1272</v>
      </c>
      <c r="B1333" s="138">
        <f>'Expenditures 15-22'!K175</f>
        <v>21970</v>
      </c>
      <c r="C1333" s="2" t="s">
        <v>573</v>
      </c>
      <c r="D1333" s="2" t="str">
        <f t="shared" si="19"/>
        <v>Error?</v>
      </c>
    </row>
    <row r="1334" spans="1:4" x14ac:dyDescent="0.2">
      <c r="A1334" s="10">
        <v>1273</v>
      </c>
      <c r="D1334" s="2" t="str">
        <f t="shared" si="19"/>
        <v>OK</v>
      </c>
    </row>
    <row r="1335" spans="1:4" x14ac:dyDescent="0.2">
      <c r="A1335" s="5">
        <v>1274</v>
      </c>
      <c r="B1335" s="138">
        <f>'Expenditures 15-22'!C182</f>
        <v>41937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41937</v>
      </c>
      <c r="C1339" s="2" t="s">
        <v>573</v>
      </c>
      <c r="D1339" s="2" t="str">
        <f t="shared" si="19"/>
        <v>Error?</v>
      </c>
    </row>
    <row r="1340" spans="1:4" x14ac:dyDescent="0.2">
      <c r="A1340" s="5">
        <v>1279</v>
      </c>
      <c r="B1340" s="138">
        <f>'Expenditures 15-22'!C210</f>
        <v>41937</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1872903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1872903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1872903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1914840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1914840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1914840</v>
      </c>
      <c r="C1388" s="2" t="s">
        <v>573</v>
      </c>
      <c r="D1388" s="2" t="str">
        <f t="shared" si="20"/>
        <v>Error?</v>
      </c>
    </row>
    <row r="1389" spans="1:4" x14ac:dyDescent="0.2">
      <c r="A1389" s="5">
        <v>1328</v>
      </c>
      <c r="B1389" s="138">
        <f>'Expenditures 15-22'!K211</f>
        <v>111814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4456</v>
      </c>
      <c r="D1409" s="2" t="str">
        <f t="shared" si="21"/>
        <v>Error?</v>
      </c>
    </row>
    <row r="1410" spans="1:4" x14ac:dyDescent="0.2">
      <c r="A1410" s="5">
        <v>1349</v>
      </c>
      <c r="B1410" s="138">
        <f>'Expenditures 15-22'!D229</f>
        <v>305348</v>
      </c>
      <c r="C1410" s="2" t="s">
        <v>573</v>
      </c>
      <c r="D1410" s="2" t="str">
        <f t="shared" si="21"/>
        <v>Error?</v>
      </c>
    </row>
    <row r="1411" spans="1:4" x14ac:dyDescent="0.2">
      <c r="A1411" s="5">
        <v>1350</v>
      </c>
      <c r="B1411" s="138">
        <f>'Expenditures 15-22'!D232</f>
        <v>4901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46533</v>
      </c>
      <c r="D1413" s="2" t="str">
        <f t="shared" si="21"/>
        <v>Error?</v>
      </c>
    </row>
    <row r="1414" spans="1:4" x14ac:dyDescent="0.2">
      <c r="A1414" s="5">
        <v>1353</v>
      </c>
      <c r="B1414" s="138">
        <f>'Expenditures 15-22'!D235</f>
        <v>4446</v>
      </c>
      <c r="D1414" s="2" t="str">
        <f t="shared" si="21"/>
        <v>Error?</v>
      </c>
    </row>
    <row r="1415" spans="1:4" x14ac:dyDescent="0.2">
      <c r="A1415" s="5">
        <v>1354</v>
      </c>
      <c r="B1415" s="138">
        <f>'Expenditures 15-22'!D236</f>
        <v>6232</v>
      </c>
      <c r="D1415" s="2" t="str">
        <f t="shared" si="21"/>
        <v>Error?</v>
      </c>
    </row>
    <row r="1416" spans="1:4" x14ac:dyDescent="0.2">
      <c r="A1416" s="5">
        <v>1355</v>
      </c>
      <c r="B1416" s="138">
        <f>'Expenditures 15-22'!D237</f>
        <v>2158</v>
      </c>
      <c r="D1416" s="2" t="str">
        <f t="shared" si="21"/>
        <v>Error?</v>
      </c>
    </row>
    <row r="1417" spans="1:4" x14ac:dyDescent="0.2">
      <c r="A1417" s="5">
        <v>1356</v>
      </c>
      <c r="B1417" s="138">
        <f>'Expenditures 15-22'!D238</f>
        <v>64270</v>
      </c>
      <c r="C1417" s="2" t="s">
        <v>573</v>
      </c>
      <c r="D1417" s="2" t="str">
        <f t="shared" si="21"/>
        <v>Error?</v>
      </c>
    </row>
    <row r="1418" spans="1:4" x14ac:dyDescent="0.2">
      <c r="A1418" s="5">
        <v>1357</v>
      </c>
      <c r="B1418" s="138">
        <f>'Expenditures 15-22'!D240</f>
        <v>10431</v>
      </c>
      <c r="D1418" s="2" t="str">
        <f t="shared" si="21"/>
        <v>Error?</v>
      </c>
    </row>
    <row r="1419" spans="1:4" x14ac:dyDescent="0.2">
      <c r="A1419" s="5">
        <v>1358</v>
      </c>
      <c r="B1419" s="138">
        <f>'Expenditures 15-22'!D241</f>
        <v>64341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74772</v>
      </c>
      <c r="C1421" s="2" t="s">
        <v>573</v>
      </c>
      <c r="D1421" s="2" t="str">
        <f t="shared" si="21"/>
        <v>Error?</v>
      </c>
    </row>
    <row r="1422" spans="1:4" x14ac:dyDescent="0.2">
      <c r="A1422" s="5">
        <v>1361</v>
      </c>
      <c r="B1422" s="138">
        <f>'Expenditures 15-22'!D245</f>
        <v>146</v>
      </c>
      <c r="D1422" s="2" t="str">
        <f t="shared" si="21"/>
        <v>Error?</v>
      </c>
    </row>
    <row r="1423" spans="1:4" x14ac:dyDescent="0.2">
      <c r="A1423" s="5">
        <v>1362</v>
      </c>
      <c r="B1423" s="138">
        <f>'Expenditures 15-22'!D246</f>
        <v>9544</v>
      </c>
      <c r="D1423" s="2" t="str">
        <f t="shared" si="21"/>
        <v>Error?</v>
      </c>
    </row>
    <row r="1424" spans="1:4" x14ac:dyDescent="0.2">
      <c r="A1424" s="5">
        <v>1363</v>
      </c>
      <c r="B1424" s="138">
        <f>'Expenditures 15-22'!D257</f>
        <v>12190</v>
      </c>
      <c r="C1424" s="2" t="s">
        <v>573</v>
      </c>
      <c r="D1424" s="2" t="str">
        <f t="shared" si="21"/>
        <v>Error?</v>
      </c>
    </row>
    <row r="1425" spans="1:4" x14ac:dyDescent="0.2">
      <c r="A1425" s="5">
        <v>1364</v>
      </c>
      <c r="B1425" s="138">
        <f>'Expenditures 15-22'!D259</f>
        <v>67413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67413</v>
      </c>
      <c r="C1427" s="2" t="s">
        <v>573</v>
      </c>
      <c r="D1427" s="2" t="str">
        <f t="shared" si="21"/>
        <v>Error?</v>
      </c>
    </row>
    <row r="1428" spans="1:4" x14ac:dyDescent="0.2">
      <c r="A1428" s="5">
        <v>1367</v>
      </c>
      <c r="B1428" s="138">
        <f>'Expenditures 15-22'!D263</f>
        <v>2181</v>
      </c>
      <c r="D1428" s="2" t="str">
        <f t="shared" si="21"/>
        <v>Error?</v>
      </c>
    </row>
    <row r="1429" spans="1:4" x14ac:dyDescent="0.2">
      <c r="A1429" s="5">
        <v>1368</v>
      </c>
      <c r="B1429" s="138">
        <f>'Expenditures 15-22'!D264</f>
        <v>32487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222392</v>
      </c>
      <c r="D1431" s="2" t="str">
        <f t="shared" si="21"/>
        <v>Error?</v>
      </c>
    </row>
    <row r="1432" spans="1:4" x14ac:dyDescent="0.2">
      <c r="A1432" s="5">
        <v>1371</v>
      </c>
      <c r="B1432" s="138">
        <f>'Expenditures 15-22'!D267</f>
        <v>5423</v>
      </c>
      <c r="D1432" s="2" t="str">
        <f t="shared" si="21"/>
        <v>Error?</v>
      </c>
    </row>
    <row r="1433" spans="1:4" x14ac:dyDescent="0.2">
      <c r="A1433" s="5">
        <v>1372</v>
      </c>
      <c r="B1433" s="138">
        <f>'Expenditures 15-22'!D268</f>
        <v>33271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295754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514433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819781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4456</v>
      </c>
      <c r="C1473" s="2" t="s">
        <v>573</v>
      </c>
      <c r="D1473" s="2" t="str">
        <f t="shared" si="22"/>
        <v>Error?</v>
      </c>
    </row>
    <row r="1474" spans="1:4" x14ac:dyDescent="0.2">
      <c r="A1474" s="5">
        <v>1413</v>
      </c>
      <c r="B1474" s="138">
        <f>'Expenditures 15-22'!K229</f>
        <v>305348</v>
      </c>
      <c r="C1474" s="2" t="s">
        <v>573</v>
      </c>
      <c r="D1474" s="2" t="str">
        <f t="shared" si="22"/>
        <v>Error?</v>
      </c>
    </row>
    <row r="1475" spans="1:4" x14ac:dyDescent="0.2">
      <c r="A1475" s="5">
        <v>1414</v>
      </c>
      <c r="B1475" s="138">
        <f>'Expenditures 15-22'!K232</f>
        <v>4901</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46533</v>
      </c>
      <c r="C1477" s="2" t="s">
        <v>573</v>
      </c>
      <c r="D1477" s="2" t="str">
        <f t="shared" si="22"/>
        <v>Error?</v>
      </c>
    </row>
    <row r="1478" spans="1:4" x14ac:dyDescent="0.2">
      <c r="A1478" s="5">
        <v>1417</v>
      </c>
      <c r="B1478" s="138">
        <f>'Expenditures 15-22'!K235</f>
        <v>4446</v>
      </c>
      <c r="C1478" s="2" t="s">
        <v>573</v>
      </c>
      <c r="D1478" s="2" t="str">
        <f t="shared" si="22"/>
        <v>Error?</v>
      </c>
    </row>
    <row r="1479" spans="1:4" x14ac:dyDescent="0.2">
      <c r="A1479" s="5">
        <v>1418</v>
      </c>
      <c r="B1479" s="138">
        <f>'Expenditures 15-22'!K236</f>
        <v>6232</v>
      </c>
      <c r="C1479" s="2" t="s">
        <v>573</v>
      </c>
      <c r="D1479" s="2" t="str">
        <f t="shared" si="22"/>
        <v>Error?</v>
      </c>
    </row>
    <row r="1480" spans="1:4" x14ac:dyDescent="0.2">
      <c r="A1480" s="5">
        <v>1419</v>
      </c>
      <c r="B1480" s="138">
        <f>'Expenditures 15-22'!K237</f>
        <v>2158</v>
      </c>
      <c r="C1480" s="2" t="s">
        <v>573</v>
      </c>
      <c r="D1480" s="2" t="str">
        <f t="shared" si="22"/>
        <v>Error?</v>
      </c>
    </row>
    <row r="1481" spans="1:4" x14ac:dyDescent="0.2">
      <c r="A1481" s="5">
        <v>1420</v>
      </c>
      <c r="B1481" s="138">
        <f>'Expenditures 15-22'!K238</f>
        <v>64270</v>
      </c>
      <c r="C1481" s="2" t="s">
        <v>573</v>
      </c>
      <c r="D1481" s="2" t="str">
        <f t="shared" si="22"/>
        <v>Error?</v>
      </c>
    </row>
    <row r="1482" spans="1:4" x14ac:dyDescent="0.2">
      <c r="A1482" s="5">
        <v>1421</v>
      </c>
      <c r="B1482" s="138">
        <f>'Expenditures 15-22'!K240</f>
        <v>10431</v>
      </c>
      <c r="C1482" s="2" t="s">
        <v>573</v>
      </c>
      <c r="D1482" s="2" t="str">
        <f t="shared" si="22"/>
        <v>Error?</v>
      </c>
    </row>
    <row r="1483" spans="1:4" x14ac:dyDescent="0.2">
      <c r="A1483" s="5">
        <v>1422</v>
      </c>
      <c r="B1483" s="138">
        <f>'Expenditures 15-22'!K241</f>
        <v>64341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74772</v>
      </c>
      <c r="C1485" s="2" t="s">
        <v>573</v>
      </c>
      <c r="D1485" s="2" t="str">
        <f t="shared" si="22"/>
        <v>Error?</v>
      </c>
    </row>
    <row r="1486" spans="1:4" x14ac:dyDescent="0.2">
      <c r="A1486" s="5">
        <v>1425</v>
      </c>
      <c r="B1486" s="138">
        <f>'Expenditures 15-22'!K245</f>
        <v>146</v>
      </c>
      <c r="C1486" s="2" t="s">
        <v>573</v>
      </c>
      <c r="D1486" s="2" t="str">
        <f t="shared" si="22"/>
        <v>Error?</v>
      </c>
    </row>
    <row r="1487" spans="1:4" x14ac:dyDescent="0.2">
      <c r="A1487" s="5">
        <v>1426</v>
      </c>
      <c r="B1487" s="138">
        <f>'Expenditures 15-22'!K246</f>
        <v>9544</v>
      </c>
      <c r="C1487" s="2" t="s">
        <v>573</v>
      </c>
      <c r="D1487" s="2" t="str">
        <f t="shared" si="22"/>
        <v>Error?</v>
      </c>
    </row>
    <row r="1488" spans="1:4" x14ac:dyDescent="0.2">
      <c r="A1488" s="5">
        <v>1427</v>
      </c>
      <c r="B1488" s="138">
        <f>'Expenditures 15-22'!K257</f>
        <v>12190</v>
      </c>
      <c r="C1488" s="2" t="s">
        <v>573</v>
      </c>
      <c r="D1488" s="2" t="str">
        <f t="shared" si="22"/>
        <v>Error?</v>
      </c>
    </row>
    <row r="1489" spans="1:4" x14ac:dyDescent="0.2">
      <c r="A1489" s="5">
        <v>1428</v>
      </c>
      <c r="B1489" s="138">
        <f>'Expenditures 15-22'!K259</f>
        <v>67413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67413</v>
      </c>
      <c r="C1491" s="2" t="s">
        <v>573</v>
      </c>
      <c r="D1491" s="2" t="str">
        <f t="shared" si="22"/>
        <v>Error?</v>
      </c>
    </row>
    <row r="1492" spans="1:4" x14ac:dyDescent="0.2">
      <c r="A1492" s="5">
        <v>1431</v>
      </c>
      <c r="B1492" s="138">
        <f>'Expenditures 15-22'!K263</f>
        <v>2181</v>
      </c>
      <c r="C1492" s="2" t="s">
        <v>573</v>
      </c>
      <c r="D1492" s="2" t="str">
        <f t="shared" si="22"/>
        <v>Error?</v>
      </c>
    </row>
    <row r="1493" spans="1:4" x14ac:dyDescent="0.2">
      <c r="A1493" s="5">
        <v>1432</v>
      </c>
      <c r="B1493" s="138">
        <f>'Expenditures 15-22'!K264</f>
        <v>32487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222392</v>
      </c>
      <c r="C1495" s="2" t="s">
        <v>573</v>
      </c>
      <c r="D1495" s="2" t="str">
        <f t="shared" si="22"/>
        <v>Error?</v>
      </c>
    </row>
    <row r="1496" spans="1:4" x14ac:dyDescent="0.2">
      <c r="A1496" s="5">
        <v>1435</v>
      </c>
      <c r="B1496" s="138">
        <f>'Expenditures 15-22'!K267</f>
        <v>5423</v>
      </c>
      <c r="C1496" s="2" t="s">
        <v>573</v>
      </c>
      <c r="D1496" s="2" t="str">
        <f t="shared" si="22"/>
        <v>Error?</v>
      </c>
    </row>
    <row r="1497" spans="1:4" x14ac:dyDescent="0.2">
      <c r="A1497" s="5">
        <v>1436</v>
      </c>
      <c r="B1497" s="138">
        <f>'Expenditures 15-22'!K268</f>
        <v>33271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295754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34</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34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514433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819781</v>
      </c>
      <c r="C1517" s="2" t="s">
        <v>573</v>
      </c>
      <c r="D1517" s="2" t="str">
        <f t="shared" si="22"/>
        <v>Error?</v>
      </c>
    </row>
    <row r="1518" spans="1:4" x14ac:dyDescent="0.2">
      <c r="A1518" s="5">
        <v>1457</v>
      </c>
      <c r="B1518" s="138">
        <f>'Expenditures 15-22'!K296</f>
        <v>21471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1212657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1212657</v>
      </c>
      <c r="C1547" s="2" t="s">
        <v>573</v>
      </c>
      <c r="D1547" s="2" t="str">
        <f t="shared" si="23"/>
        <v>Error?</v>
      </c>
    </row>
    <row r="1548" spans="1:4" x14ac:dyDescent="0.2">
      <c r="A1548" s="5">
        <v>1487</v>
      </c>
      <c r="B1548" s="138">
        <f>'Expenditures 15-22'!G312</f>
        <v>1212657</v>
      </c>
      <c r="C1548" s="2" t="s">
        <v>573</v>
      </c>
      <c r="D1548" s="2" t="str">
        <f t="shared" si="23"/>
        <v>Error?</v>
      </c>
    </row>
    <row r="1549" spans="1:4" x14ac:dyDescent="0.2">
      <c r="A1549" s="5">
        <v>1488</v>
      </c>
      <c r="B1549" s="138">
        <f>'Expenditures 15-22'!H301</f>
        <v>7330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7330</v>
      </c>
      <c r="C1553" s="2" t="s">
        <v>573</v>
      </c>
      <c r="D1553" s="2" t="str">
        <f t="shared" si="23"/>
        <v>Error?</v>
      </c>
    </row>
    <row r="1554" spans="1:4" x14ac:dyDescent="0.2">
      <c r="A1554" s="5">
        <v>1493</v>
      </c>
      <c r="B1554" s="138">
        <f>'Expenditures 15-22'!H312</f>
        <v>7330</v>
      </c>
      <c r="C1554" s="2" t="s">
        <v>573</v>
      </c>
      <c r="D1554" s="2" t="str">
        <f t="shared" si="23"/>
        <v>Error?</v>
      </c>
    </row>
    <row r="1555" spans="1:4" x14ac:dyDescent="0.2">
      <c r="A1555" s="5">
        <v>1494</v>
      </c>
      <c r="B1555" s="138">
        <f>'Expenditures 15-22'!K301</f>
        <v>1219987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1219987</v>
      </c>
      <c r="C1559" s="2" t="s">
        <v>573</v>
      </c>
      <c r="D1559" s="2" t="str">
        <f t="shared" si="23"/>
        <v>Error?</v>
      </c>
    </row>
    <row r="1560" spans="1:4" x14ac:dyDescent="0.2">
      <c r="A1560" s="5">
        <v>1499</v>
      </c>
      <c r="B1560" s="138">
        <f>'Expenditures 15-22'!K312</f>
        <v>1219987</v>
      </c>
      <c r="C1560" s="2" t="s">
        <v>573</v>
      </c>
      <c r="D1560" s="2" t="str">
        <f t="shared" si="23"/>
        <v>Error?</v>
      </c>
    </row>
    <row r="1561" spans="1:4" x14ac:dyDescent="0.2">
      <c r="A1561" s="5">
        <v>1500</v>
      </c>
      <c r="B1561" s="138">
        <f>'Expenditures 15-22'!K313</f>
        <v>-1122675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10249855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9921552</v>
      </c>
      <c r="C1630" s="2" t="s">
        <v>573</v>
      </c>
      <c r="D1630" s="2" t="str">
        <f t="shared" si="24"/>
        <v>Error?</v>
      </c>
    </row>
    <row r="1631" spans="1:4" x14ac:dyDescent="0.2">
      <c r="A1631" s="5">
        <v>1570</v>
      </c>
      <c r="B1631" s="138">
        <f>'Acct Summary 7-8'!D79</f>
        <v>1371136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1528570</v>
      </c>
      <c r="C1644" s="2" t="s">
        <v>573</v>
      </c>
      <c r="D1644" s="2" t="str">
        <f t="shared" si="24"/>
        <v>Error?</v>
      </c>
    </row>
    <row r="1645" spans="1:4" x14ac:dyDescent="0.2">
      <c r="A1645" s="5">
        <v>1584</v>
      </c>
      <c r="B1645" s="138">
        <f>'Acct Summary 7-8'!E79</f>
        <v>532624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554594</v>
      </c>
      <c r="C1658" s="2" t="s">
        <v>573</v>
      </c>
      <c r="D1658" s="2" t="str">
        <f t="shared" si="24"/>
        <v>Error?</v>
      </c>
    </row>
    <row r="1659" spans="1:4" x14ac:dyDescent="0.2">
      <c r="A1659" s="5">
        <v>1598</v>
      </c>
      <c r="B1659" s="138">
        <f>'Acct Summary 7-8'!F79</f>
        <v>1396180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1507994</v>
      </c>
      <c r="C1672" s="2" t="s">
        <v>573</v>
      </c>
      <c r="D1672" s="2" t="str">
        <f t="shared" si="25"/>
        <v>Error?</v>
      </c>
    </row>
    <row r="1673" spans="1:4" x14ac:dyDescent="0.2">
      <c r="A1673" s="5">
        <v>1612</v>
      </c>
      <c r="B1673" s="138">
        <f>'Acct Summary 7-8'!G79</f>
        <v>756451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777922</v>
      </c>
      <c r="C1686" s="2" t="s">
        <v>573</v>
      </c>
      <c r="D1686" s="2" t="str">
        <f t="shared" si="25"/>
        <v>Error?</v>
      </c>
    </row>
    <row r="1687" spans="1:4" x14ac:dyDescent="0.2">
      <c r="A1687" s="5">
        <v>1626</v>
      </c>
      <c r="B1687" s="138">
        <f>'Acct Summary 7-8'!H79</f>
        <v>1883903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3261228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17392800</v>
      </c>
      <c r="C1744" s="2" t="s">
        <v>573</v>
      </c>
      <c r="D1744" s="2" t="str">
        <f t="shared" si="26"/>
        <v>Error?</v>
      </c>
    </row>
    <row r="1745" spans="1:5" x14ac:dyDescent="0.2">
      <c r="A1745" s="5">
        <v>1684</v>
      </c>
      <c r="B1745" s="138">
        <f>'Tax Sched 23'!B5</f>
        <v>2312539</v>
      </c>
      <c r="C1745" s="2" t="s">
        <v>573</v>
      </c>
      <c r="D1745" s="2" t="str">
        <f t="shared" si="26"/>
        <v>Error?</v>
      </c>
    </row>
    <row r="1746" spans="1:5" x14ac:dyDescent="0.2">
      <c r="A1746" s="5">
        <v>1685</v>
      </c>
      <c r="B1746" s="138">
        <f>'Tax Sched 23'!B6</f>
        <v>773255</v>
      </c>
      <c r="C1746" s="2" t="s">
        <v>573</v>
      </c>
      <c r="D1746" s="2" t="str">
        <f t="shared" si="26"/>
        <v>Error?</v>
      </c>
    </row>
    <row r="1747" spans="1:5" x14ac:dyDescent="0.2">
      <c r="A1747" s="5">
        <v>1686</v>
      </c>
      <c r="B1747" s="138">
        <f>'Tax Sched 23'!B7</f>
        <v>1066408</v>
      </c>
      <c r="C1747" s="2" t="s">
        <v>573</v>
      </c>
      <c r="D1747" s="2" t="str">
        <f t="shared" si="26"/>
        <v>Error?</v>
      </c>
    </row>
    <row r="1748" spans="1:5" x14ac:dyDescent="0.2">
      <c r="A1748" s="5">
        <v>1687</v>
      </c>
      <c r="B1748" s="138">
        <f>'Tax Sched 23'!B8</f>
        <v>407773</v>
      </c>
      <c r="C1748" s="2" t="s">
        <v>573</v>
      </c>
      <c r="D1748" s="2" t="str">
        <f t="shared" si="26"/>
        <v>Error?</v>
      </c>
    </row>
    <row r="1749" spans="1:5" x14ac:dyDescent="0.2">
      <c r="A1749" s="5">
        <v>1688</v>
      </c>
      <c r="B1749" s="138">
        <f>'Tax Sched 23'!B10</f>
        <v>17251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673573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23002356</v>
      </c>
      <c r="C1759" s="2" t="s">
        <v>573</v>
      </c>
      <c r="D1759" s="2" t="str">
        <f t="shared" si="26"/>
        <v>Error?</v>
      </c>
    </row>
    <row r="1760" spans="1:5" x14ac:dyDescent="0.2">
      <c r="A1760" s="5">
        <v>1699</v>
      </c>
      <c r="B1760" s="138">
        <f>'Tax Sched 23'!D4</f>
        <v>8299946</v>
      </c>
      <c r="C1760" s="2" t="s">
        <v>573</v>
      </c>
      <c r="D1760" s="2" t="str">
        <f t="shared" si="26"/>
        <v>Error?</v>
      </c>
    </row>
    <row r="1761" spans="1:5" x14ac:dyDescent="0.2">
      <c r="A1761" s="5">
        <v>1700</v>
      </c>
      <c r="B1761" s="138">
        <f>'Tax Sched 23'!D5</f>
        <v>1118932</v>
      </c>
      <c r="C1761" s="2" t="s">
        <v>573</v>
      </c>
      <c r="D1761" s="2" t="str">
        <f t="shared" si="26"/>
        <v>Error?</v>
      </c>
    </row>
    <row r="1762" spans="1:5" s="8" customFormat="1" x14ac:dyDescent="0.2">
      <c r="A1762" s="5">
        <v>1701</v>
      </c>
      <c r="B1762" s="138">
        <f>'Tax Sched 23'!D6</f>
        <v>374631</v>
      </c>
      <c r="C1762" s="2" t="s">
        <v>573</v>
      </c>
      <c r="D1762" s="2" t="str">
        <f t="shared" si="26"/>
        <v>Error?</v>
      </c>
      <c r="E1762" s="9"/>
    </row>
    <row r="1763" spans="1:5" x14ac:dyDescent="0.2">
      <c r="A1763" s="5">
        <v>1702</v>
      </c>
      <c r="B1763" s="138">
        <f>'Tax Sched 23'!D7</f>
        <v>811228</v>
      </c>
      <c r="C1763" s="2" t="s">
        <v>573</v>
      </c>
      <c r="D1763" s="2" t="str">
        <f t="shared" si="26"/>
        <v>Error?</v>
      </c>
    </row>
    <row r="1764" spans="1:5" x14ac:dyDescent="0.2">
      <c r="A1764" s="5">
        <v>1703</v>
      </c>
      <c r="B1764" s="138">
        <f>'Tax Sched 23'!D8</f>
        <v>198646</v>
      </c>
      <c r="C1764" s="2" t="s">
        <v>573</v>
      </c>
      <c r="D1764" s="2" t="str">
        <f t="shared" si="26"/>
        <v>Error?</v>
      </c>
    </row>
    <row r="1765" spans="1:5" x14ac:dyDescent="0.2">
      <c r="A1765" s="5">
        <v>1704</v>
      </c>
      <c r="B1765" s="138">
        <f>'Tax Sched 23'!D10</f>
        <v>7436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163591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11149332</v>
      </c>
      <c r="C1775" s="2" t="s">
        <v>573</v>
      </c>
      <c r="D1775" s="2" t="str">
        <f t="shared" si="26"/>
        <v>Error?</v>
      </c>
    </row>
    <row r="1776" spans="1:5" x14ac:dyDescent="0.2">
      <c r="A1776" s="5">
        <v>1715</v>
      </c>
      <c r="B1776" s="138">
        <f>'Tax Sched 23'!C4</f>
        <v>9092854</v>
      </c>
      <c r="D1776" s="2" t="str">
        <f t="shared" si="26"/>
        <v>Error?</v>
      </c>
    </row>
    <row r="1777" spans="1:4" x14ac:dyDescent="0.2">
      <c r="A1777" s="5">
        <v>1716</v>
      </c>
      <c r="B1777" s="138">
        <f>'Tax Sched 23'!C5</f>
        <v>1193607</v>
      </c>
      <c r="D1777" s="2" t="str">
        <f t="shared" si="26"/>
        <v>Error?</v>
      </c>
    </row>
    <row r="1778" spans="1:4" x14ac:dyDescent="0.2">
      <c r="A1778" s="5">
        <v>1717</v>
      </c>
      <c r="B1778" s="138">
        <f>'Tax Sched 23'!C6</f>
        <v>398624</v>
      </c>
      <c r="D1778" s="2" t="str">
        <f t="shared" si="26"/>
        <v>Error?</v>
      </c>
    </row>
    <row r="1779" spans="1:4" x14ac:dyDescent="0.2">
      <c r="A1779" s="5">
        <v>1718</v>
      </c>
      <c r="B1779" s="138">
        <f>'Tax Sched 23'!C7</f>
        <v>255180</v>
      </c>
      <c r="D1779" s="2" t="str">
        <f t="shared" si="26"/>
        <v>Error?</v>
      </c>
    </row>
    <row r="1780" spans="1:4" x14ac:dyDescent="0.2">
      <c r="A1780" s="5">
        <v>1719</v>
      </c>
      <c r="B1780" s="138">
        <f>'Tax Sched 23'!C8</f>
        <v>209127</v>
      </c>
      <c r="D1780" s="2" t="str">
        <f t="shared" si="26"/>
        <v>Error?</v>
      </c>
    </row>
    <row r="1781" spans="1:4" x14ac:dyDescent="0.2">
      <c r="A1781" s="5">
        <v>1720</v>
      </c>
      <c r="B1781" s="138">
        <f>'Tax Sched 23'!C10</f>
        <v>9815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509982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11853024</v>
      </c>
      <c r="C1791" s="2" t="s">
        <v>573</v>
      </c>
      <c r="D1791" s="2" t="str">
        <f t="shared" ref="D1791:D1854" si="27">IF(ISBLANK(B1791),"OK",IF(A1791-B1791=0,"OK","Error?"))</f>
        <v>Error?</v>
      </c>
    </row>
    <row r="1792" spans="1:4" x14ac:dyDescent="0.2">
      <c r="A1792" s="5">
        <v>1731</v>
      </c>
      <c r="B1792" s="138">
        <f>'Tax Sched 23'!F4</f>
        <v>8731645</v>
      </c>
      <c r="C1792" s="2" t="s">
        <v>573</v>
      </c>
      <c r="D1792" s="2" t="str">
        <f t="shared" si="27"/>
        <v>Error?</v>
      </c>
    </row>
    <row r="1793" spans="1:4" x14ac:dyDescent="0.2">
      <c r="A1793" s="5">
        <v>1732</v>
      </c>
      <c r="B1793" s="138">
        <f>'Tax Sched 23'!F5</f>
        <v>1146191</v>
      </c>
      <c r="C1793" s="2" t="s">
        <v>573</v>
      </c>
      <c r="D1793" s="2" t="str">
        <f t="shared" si="27"/>
        <v>Error?</v>
      </c>
    </row>
    <row r="1794" spans="1:4" x14ac:dyDescent="0.2">
      <c r="A1794" s="5">
        <v>1733</v>
      </c>
      <c r="B1794" s="138">
        <f>'Tax Sched 23'!F6</f>
        <v>382789</v>
      </c>
      <c r="C1794" s="2" t="s">
        <v>573</v>
      </c>
      <c r="D1794" s="2" t="str">
        <f t="shared" si="27"/>
        <v>Error?</v>
      </c>
    </row>
    <row r="1795" spans="1:4" x14ac:dyDescent="0.2">
      <c r="A1795" s="5">
        <v>1734</v>
      </c>
      <c r="B1795" s="138">
        <f>'Tax Sched 23'!F7</f>
        <v>245043</v>
      </c>
      <c r="C1795" s="2" t="s">
        <v>573</v>
      </c>
      <c r="D1795" s="2" t="str">
        <f t="shared" si="27"/>
        <v>Error?</v>
      </c>
    </row>
    <row r="1796" spans="1:4" x14ac:dyDescent="0.2">
      <c r="A1796" s="5">
        <v>1735</v>
      </c>
      <c r="B1796" s="138">
        <f>'Tax Sched 23'!F8</f>
        <v>200819</v>
      </c>
      <c r="C1796" s="2" t="s">
        <v>573</v>
      </c>
      <c r="D1796" s="2" t="str">
        <f t="shared" si="27"/>
        <v>Error?</v>
      </c>
    </row>
    <row r="1797" spans="1:4" x14ac:dyDescent="0.2">
      <c r="A1797" s="5">
        <v>1736</v>
      </c>
      <c r="B1797" s="138">
        <f>'Tax Sched 23'!F10</f>
        <v>9424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489723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11382166</v>
      </c>
      <c r="C1807" s="2" t="s">
        <v>573</v>
      </c>
      <c r="D1807" s="2" t="str">
        <f t="shared" si="27"/>
        <v>Error?</v>
      </c>
    </row>
    <row r="1808" spans="1:4" x14ac:dyDescent="0.2">
      <c r="A1808" s="5">
        <v>1747</v>
      </c>
      <c r="B1808" s="138">
        <f>'Tax Sched 23'!E4</f>
        <v>17824499</v>
      </c>
      <c r="D1808" s="2" t="str">
        <f t="shared" si="27"/>
        <v>Error?</v>
      </c>
    </row>
    <row r="1809" spans="1:4" x14ac:dyDescent="0.2">
      <c r="A1809" s="5">
        <v>1748</v>
      </c>
      <c r="B1809" s="138">
        <f>'Tax Sched 23'!E5</f>
        <v>2339798</v>
      </c>
      <c r="D1809" s="2" t="str">
        <f t="shared" si="27"/>
        <v>Error?</v>
      </c>
    </row>
    <row r="1810" spans="1:4" x14ac:dyDescent="0.2">
      <c r="A1810" s="5">
        <v>1749</v>
      </c>
      <c r="B1810" s="138">
        <f>'Tax Sched 23'!E6</f>
        <v>781413</v>
      </c>
      <c r="D1810" s="2" t="str">
        <f t="shared" si="27"/>
        <v>Error?</v>
      </c>
    </row>
    <row r="1811" spans="1:4" x14ac:dyDescent="0.2">
      <c r="A1811" s="5">
        <v>1750</v>
      </c>
      <c r="B1811" s="138">
        <f>'Tax Sched 23'!E7</f>
        <v>500223</v>
      </c>
      <c r="D1811" s="2" t="str">
        <f t="shared" si="27"/>
        <v>Error?</v>
      </c>
    </row>
    <row r="1812" spans="1:4" x14ac:dyDescent="0.2">
      <c r="A1812" s="5">
        <v>1751</v>
      </c>
      <c r="B1812" s="138">
        <f>'Tax Sched 23'!E8</f>
        <v>409946</v>
      </c>
      <c r="D1812" s="2" t="str">
        <f t="shared" si="27"/>
        <v>Error?</v>
      </c>
    </row>
    <row r="1813" spans="1:4" x14ac:dyDescent="0.2">
      <c r="A1813" s="5">
        <v>1752</v>
      </c>
      <c r="B1813" s="138">
        <f>'Tax Sched 23'!E10</f>
        <v>19239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999705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23235190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6070000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673573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673573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673573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1718079</v>
      </c>
      <c r="D2008" s="2" t="str">
        <f t="shared" si="30"/>
        <v>Error?</v>
      </c>
    </row>
    <row r="2009" spans="1:4" x14ac:dyDescent="0.2">
      <c r="A2009" s="5">
        <v>1948</v>
      </c>
      <c r="B2009" s="138">
        <f>'Cap Outlay Deprec 26'!C8</f>
        <v>38678509</v>
      </c>
      <c r="D2009" s="2" t="str">
        <f t="shared" si="30"/>
        <v>Error?</v>
      </c>
    </row>
    <row r="2010" spans="1:4" x14ac:dyDescent="0.2">
      <c r="A2010" s="5">
        <v>1949</v>
      </c>
      <c r="B2010" s="138">
        <f>'Cap Outlay Deprec 26'!C10</f>
        <v>2656073</v>
      </c>
      <c r="D2010" s="2" t="str">
        <f t="shared" si="30"/>
        <v>Error?</v>
      </c>
    </row>
    <row r="2011" spans="1:4" x14ac:dyDescent="0.2">
      <c r="A2011" s="5">
        <v>1950</v>
      </c>
      <c r="B2011" s="138">
        <f>'Cap Outlay Deprec 26'!C12</f>
        <v>4964728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48178989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1212657</v>
      </c>
      <c r="D2015" s="2" t="str">
        <f t="shared" si="30"/>
        <v>Error?</v>
      </c>
    </row>
    <row r="2016" spans="1:4" x14ac:dyDescent="0.2">
      <c r="A2016" s="5">
        <v>1955</v>
      </c>
      <c r="B2016" s="138">
        <f>'Cap Outlay Deprec 26'!D10</f>
        <v>326740</v>
      </c>
      <c r="D2016" s="2" t="str">
        <f t="shared" si="30"/>
        <v>Error?</v>
      </c>
    </row>
    <row r="2017" spans="1:4" x14ac:dyDescent="0.2">
      <c r="A2017" s="5">
        <v>1956</v>
      </c>
      <c r="B2017" s="138">
        <f>'Cap Outlay Deprec 26'!D12</f>
        <v>484582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2023979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161600</v>
      </c>
      <c r="C2025" s="2" t="s">
        <v>573</v>
      </c>
      <c r="D2025" s="2" t="str">
        <f t="shared" si="30"/>
        <v>Error?</v>
      </c>
    </row>
    <row r="2026" spans="1:4" x14ac:dyDescent="0.2">
      <c r="A2026" s="5">
        <v>1965</v>
      </c>
      <c r="B2026" s="138">
        <f>'Cap Outlay Deprec 26'!F5</f>
        <v>1718079</v>
      </c>
      <c r="C2026" s="2" t="s">
        <v>573</v>
      </c>
      <c r="D2026" s="2" t="str">
        <f t="shared" si="30"/>
        <v>Error?</v>
      </c>
    </row>
    <row r="2027" spans="1:4" x14ac:dyDescent="0.2">
      <c r="A2027" s="5">
        <v>1966</v>
      </c>
      <c r="B2027" s="138">
        <f>'Cap Outlay Deprec 26'!F8</f>
        <v>39891166</v>
      </c>
      <c r="C2027" s="2" t="s">
        <v>573</v>
      </c>
      <c r="D2027" s="2" t="str">
        <f t="shared" si="30"/>
        <v>Error?</v>
      </c>
    </row>
    <row r="2028" spans="1:4" x14ac:dyDescent="0.2">
      <c r="A2028" s="5">
        <v>1967</v>
      </c>
      <c r="B2028" s="138">
        <f>'Cap Outlay Deprec 26'!F10</f>
        <v>2982813</v>
      </c>
      <c r="C2028" s="2" t="s">
        <v>573</v>
      </c>
      <c r="D2028" s="2" t="str">
        <f t="shared" si="30"/>
        <v>Error?</v>
      </c>
    </row>
    <row r="2029" spans="1:4" x14ac:dyDescent="0.2">
      <c r="A2029" s="5">
        <v>1968</v>
      </c>
      <c r="B2029" s="138">
        <f>'Cap Outlay Deprec 26'!F12</f>
        <v>5449310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50041368</v>
      </c>
      <c r="C2031" s="2" t="s">
        <v>573</v>
      </c>
      <c r="D2031" s="2" t="str">
        <f t="shared" si="30"/>
        <v>Error?</v>
      </c>
    </row>
    <row r="2032" spans="1:4" x14ac:dyDescent="0.2">
      <c r="A2032" s="10">
        <v>1971</v>
      </c>
      <c r="D2032" s="2" t="str">
        <f t="shared" si="30"/>
        <v>OK</v>
      </c>
    </row>
    <row r="2033" spans="1:4" x14ac:dyDescent="0.2">
      <c r="A2033" s="5">
        <v>1972</v>
      </c>
      <c r="B2033" s="138">
        <f>'Cap Outlay Deprec 26'!H8</f>
        <v>11012111</v>
      </c>
      <c r="D2033" s="2" t="str">
        <f t="shared" si="30"/>
        <v>Error?</v>
      </c>
    </row>
    <row r="2034" spans="1:4" x14ac:dyDescent="0.2">
      <c r="A2034" s="5">
        <v>1973</v>
      </c>
      <c r="B2034" s="138">
        <f>'Cap Outlay Deprec 26'!H10</f>
        <v>852936</v>
      </c>
      <c r="D2034" s="2" t="str">
        <f t="shared" si="30"/>
        <v>Error?</v>
      </c>
    </row>
    <row r="2035" spans="1:4" x14ac:dyDescent="0.2">
      <c r="A2035" s="5">
        <v>1974</v>
      </c>
      <c r="B2035" s="138">
        <f>'Cap Outlay Deprec 26'!H12</f>
        <v>3891968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15757015</v>
      </c>
      <c r="C2037" s="2" t="s">
        <v>573</v>
      </c>
      <c r="D2037" s="2" t="str">
        <f t="shared" si="30"/>
        <v>Error?</v>
      </c>
    </row>
    <row r="2038" spans="1:4" x14ac:dyDescent="0.2">
      <c r="A2038" s="10">
        <v>1977</v>
      </c>
      <c r="D2038" s="2" t="str">
        <f t="shared" si="30"/>
        <v>OK</v>
      </c>
    </row>
    <row r="2039" spans="1:4" x14ac:dyDescent="0.2">
      <c r="A2039" s="5">
        <v>1978</v>
      </c>
      <c r="B2039" s="138">
        <f>'Cap Outlay Deprec 26'!I8</f>
        <v>1096779</v>
      </c>
      <c r="D2039" s="2" t="str">
        <f t="shared" si="30"/>
        <v>Error?</v>
      </c>
    </row>
    <row r="2040" spans="1:4" x14ac:dyDescent="0.2">
      <c r="A2040" s="5">
        <v>1979</v>
      </c>
      <c r="B2040" s="138">
        <f>'Cap Outlay Deprec 26'!I10</f>
        <v>151414</v>
      </c>
      <c r="D2040" s="2" t="str">
        <f t="shared" si="30"/>
        <v>Error?</v>
      </c>
    </row>
    <row r="2041" spans="1:4" x14ac:dyDescent="0.2">
      <c r="A2041" s="5">
        <v>1980</v>
      </c>
      <c r="B2041" s="138">
        <f>'Cap Outlay Deprec 26'!I12</f>
        <v>213595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1461788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12108890</v>
      </c>
      <c r="C2051" s="2" t="s">
        <v>573</v>
      </c>
      <c r="D2051" s="2" t="str">
        <f t="shared" si="31"/>
        <v>Error?</v>
      </c>
    </row>
    <row r="2052" spans="1:4" x14ac:dyDescent="0.2">
      <c r="A2052" s="5">
        <v>1991</v>
      </c>
      <c r="B2052" s="138">
        <f>'Cap Outlay Deprec 26'!K10</f>
        <v>1004350</v>
      </c>
      <c r="C2052" s="2" t="s">
        <v>573</v>
      </c>
      <c r="D2052" s="2" t="str">
        <f t="shared" si="31"/>
        <v>Error?</v>
      </c>
    </row>
    <row r="2053" spans="1:4" x14ac:dyDescent="0.2">
      <c r="A2053" s="5">
        <v>1992</v>
      </c>
      <c r="B2053" s="138">
        <f>'Cap Outlay Deprec 26'!K12</f>
        <v>4105563</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17218803</v>
      </c>
      <c r="C2055" s="2" t="s">
        <v>573</v>
      </c>
      <c r="D2055" s="2" t="str">
        <f t="shared" si="31"/>
        <v>Error?</v>
      </c>
    </row>
    <row r="2056" spans="1:4" x14ac:dyDescent="0.2">
      <c r="A2056" s="5">
        <v>1995</v>
      </c>
      <c r="B2056" s="138">
        <f>'Cap Outlay Deprec 26'!L5</f>
        <v>1718079</v>
      </c>
      <c r="C2056" s="2" t="s">
        <v>573</v>
      </c>
      <c r="D2056" s="2" t="str">
        <f t="shared" si="31"/>
        <v>Error?</v>
      </c>
    </row>
    <row r="2057" spans="1:4" x14ac:dyDescent="0.2">
      <c r="A2057" s="5">
        <v>1996</v>
      </c>
      <c r="B2057" s="138">
        <f>'Cap Outlay Deprec 26'!L8</f>
        <v>27782276</v>
      </c>
      <c r="C2057" s="2" t="s">
        <v>573</v>
      </c>
      <c r="D2057" s="2" t="str">
        <f t="shared" si="31"/>
        <v>Error?</v>
      </c>
    </row>
    <row r="2058" spans="1:4" x14ac:dyDescent="0.2">
      <c r="A2058" s="5">
        <v>1997</v>
      </c>
      <c r="B2058" s="138">
        <f>'Cap Outlay Deprec 26'!L10</f>
        <v>1978463</v>
      </c>
      <c r="C2058" s="2" t="s">
        <v>573</v>
      </c>
      <c r="D2058" s="2" t="str">
        <f t="shared" si="31"/>
        <v>Error?</v>
      </c>
    </row>
    <row r="2059" spans="1:4" x14ac:dyDescent="0.2">
      <c r="A2059" s="5">
        <v>1998</v>
      </c>
      <c r="B2059" s="138">
        <f>'Cap Outlay Deprec 26'!L12</f>
        <v>1343747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32822565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675628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675628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19026657</v>
      </c>
      <c r="C2551" s="2" t="s">
        <v>573</v>
      </c>
      <c r="D2551" s="2" t="str">
        <f t="shared" si="38"/>
        <v>Error?</v>
      </c>
    </row>
    <row r="2552" spans="1:4" x14ac:dyDescent="0.2">
      <c r="A2552" s="10">
        <v>2491</v>
      </c>
      <c r="D2552" s="2" t="str">
        <f t="shared" si="38"/>
        <v>OK</v>
      </c>
    </row>
    <row r="2553" spans="1:4" x14ac:dyDescent="0.2">
      <c r="A2553" s="5">
        <v>2492</v>
      </c>
      <c r="B2553" s="138">
        <f>'Acct Summary 7-8'!C6</f>
        <v>1425902</v>
      </c>
      <c r="C2553" s="2" t="s">
        <v>573</v>
      </c>
      <c r="D2553" s="2" t="str">
        <f t="shared" si="38"/>
        <v>Error?</v>
      </c>
    </row>
    <row r="2554" spans="1:4" x14ac:dyDescent="0.2">
      <c r="A2554" s="5">
        <v>2493</v>
      </c>
      <c r="B2554" s="138">
        <f>'Acct Summary 7-8'!C7</f>
        <v>829476</v>
      </c>
      <c r="C2554" s="2" t="s">
        <v>573</v>
      </c>
      <c r="D2554" s="2" t="str">
        <f t="shared" si="38"/>
        <v>Error?</v>
      </c>
    </row>
    <row r="2555" spans="1:4" x14ac:dyDescent="0.2">
      <c r="A2555" s="5">
        <v>2494</v>
      </c>
      <c r="B2555" s="138">
        <f>'Acct Summary 7-8'!C8</f>
        <v>21282035</v>
      </c>
      <c r="C2555" s="2" t="s">
        <v>573</v>
      </c>
      <c r="D2555" s="2" t="str">
        <f t="shared" si="38"/>
        <v>Error?</v>
      </c>
    </row>
    <row r="2556" spans="1:4" x14ac:dyDescent="0.2">
      <c r="A2556" s="5">
        <v>2495</v>
      </c>
      <c r="B2556" s="138">
        <f>'Acct Summary 7-8'!C12</f>
        <v>12790623</v>
      </c>
      <c r="C2556" s="2" t="s">
        <v>573</v>
      </c>
      <c r="D2556" s="2" t="str">
        <f t="shared" si="38"/>
        <v>Error?</v>
      </c>
    </row>
    <row r="2557" spans="1:4" x14ac:dyDescent="0.2">
      <c r="A2557" s="5">
        <v>2496</v>
      </c>
      <c r="B2557" s="138">
        <f>'Acct Summary 7-8'!C13</f>
        <v>5644362</v>
      </c>
      <c r="C2557" s="2" t="s">
        <v>573</v>
      </c>
      <c r="D2557" s="2" t="str">
        <f t="shared" si="38"/>
        <v>Error?</v>
      </c>
    </row>
    <row r="2558" spans="1:4" x14ac:dyDescent="0.2">
      <c r="A2558" s="5">
        <v>2497</v>
      </c>
      <c r="B2558" s="138">
        <f>'Acct Summary 7-8'!C14</f>
        <v>3355</v>
      </c>
      <c r="C2558" s="2" t="s">
        <v>573</v>
      </c>
      <c r="D2558" s="2" t="str">
        <f t="shared" si="38"/>
        <v>Error?</v>
      </c>
    </row>
    <row r="2559" spans="1:4" x14ac:dyDescent="0.2">
      <c r="A2559" s="5">
        <v>2498</v>
      </c>
      <c r="B2559" s="138">
        <f>'Acct Summary 7-8'!C15</f>
        <v>675628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19113968</v>
      </c>
      <c r="C2561" s="2" t="s">
        <v>573</v>
      </c>
      <c r="D2561" s="2" t="str">
        <f t="shared" si="39"/>
        <v>Error?</v>
      </c>
    </row>
    <row r="2562" spans="1:4" x14ac:dyDescent="0.2">
      <c r="A2562" s="5">
        <v>2501</v>
      </c>
      <c r="B2562" s="138">
        <f>'Acct Summary 7-8'!C20</f>
        <v>2168067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2491195</v>
      </c>
      <c r="C2564" s="2" t="s">
        <v>573</v>
      </c>
      <c r="D2564" s="2" t="str">
        <f t="shared" si="39"/>
        <v>Error?</v>
      </c>
    </row>
    <row r="2565" spans="1:4" x14ac:dyDescent="0.2">
      <c r="A2565" s="10">
        <v>2504</v>
      </c>
      <c r="D2565" s="2" t="str">
        <f t="shared" si="39"/>
        <v>OK</v>
      </c>
    </row>
    <row r="2566" spans="1:4" x14ac:dyDescent="0.2">
      <c r="A2566" s="5">
        <v>2505</v>
      </c>
      <c r="B2566" s="138">
        <f>'Acct Summary 7-8'!D6</f>
        <v>165000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2656195</v>
      </c>
      <c r="C2568" s="2" t="s">
        <v>573</v>
      </c>
      <c r="D2568" s="2" t="str">
        <f t="shared" si="39"/>
        <v>Error?</v>
      </c>
    </row>
    <row r="2569" spans="1:4" x14ac:dyDescent="0.2">
      <c r="A2569" s="5">
        <v>2508</v>
      </c>
      <c r="B2569" s="138">
        <f>'Acct Summary 7-8'!D13</f>
        <v>2498761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2498761</v>
      </c>
      <c r="C2573" s="2" t="s">
        <v>573</v>
      </c>
      <c r="D2573" s="2" t="str">
        <f t="shared" si="39"/>
        <v>Error?</v>
      </c>
    </row>
    <row r="2574" spans="1:4" x14ac:dyDescent="0.2">
      <c r="A2574" s="5">
        <v>2513</v>
      </c>
      <c r="B2574" s="138">
        <f>'Acct Summary 7-8'!D20</f>
        <v>157434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1107851</v>
      </c>
      <c r="C2591" s="2" t="s">
        <v>573</v>
      </c>
      <c r="D2591" s="2" t="str">
        <f t="shared" si="39"/>
        <v>Error?</v>
      </c>
    </row>
    <row r="2592" spans="1:4" x14ac:dyDescent="0.2">
      <c r="A2592" s="10">
        <v>2531</v>
      </c>
      <c r="D2592" s="2" t="str">
        <f t="shared" si="39"/>
        <v>OK</v>
      </c>
    </row>
    <row r="2593" spans="1:4" x14ac:dyDescent="0.2">
      <c r="A2593" s="5">
        <v>2532</v>
      </c>
      <c r="B2593" s="138">
        <f>'Acct Summary 7-8'!F6</f>
        <v>918803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2026654</v>
      </c>
      <c r="C2595" s="2" t="s">
        <v>573</v>
      </c>
      <c r="D2595" s="2" t="str">
        <f t="shared" si="39"/>
        <v>Error?</v>
      </c>
    </row>
    <row r="2596" spans="1:4" x14ac:dyDescent="0.2">
      <c r="A2596" s="5">
        <v>2535</v>
      </c>
      <c r="B2596" s="138">
        <f>'Acct Summary 7-8'!F13</f>
        <v>1914840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1914840</v>
      </c>
      <c r="C2600" s="2" t="s">
        <v>573</v>
      </c>
      <c r="D2600" s="2" t="str">
        <f t="shared" si="39"/>
        <v>Error?</v>
      </c>
    </row>
    <row r="2601" spans="1:4" x14ac:dyDescent="0.2">
      <c r="A2601" s="5">
        <v>2540</v>
      </c>
      <c r="B2601" s="138">
        <f>'Acct Summary 7-8'!F20</f>
        <v>111814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841252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841252</v>
      </c>
      <c r="C2606" s="2" t="s">
        <v>573</v>
      </c>
      <c r="D2606" s="2" t="str">
        <f t="shared" si="39"/>
        <v>Error?</v>
      </c>
    </row>
    <row r="2607" spans="1:4" x14ac:dyDescent="0.2">
      <c r="A2607" s="5">
        <v>2546</v>
      </c>
      <c r="B2607" s="138">
        <f>'Acct Summary 7-8'!G12</f>
        <v>305348</v>
      </c>
      <c r="C2607" s="2" t="s">
        <v>573</v>
      </c>
      <c r="D2607" s="2" t="str">
        <f t="shared" si="39"/>
        <v>Error?</v>
      </c>
    </row>
    <row r="2608" spans="1:4" x14ac:dyDescent="0.2">
      <c r="A2608" s="5">
        <v>2547</v>
      </c>
      <c r="B2608" s="138">
        <f>'Acct Summary 7-8'!G13</f>
        <v>514433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819781</v>
      </c>
      <c r="C2612" s="2" t="s">
        <v>573</v>
      </c>
      <c r="D2612" s="2" t="str">
        <f t="shared" si="39"/>
        <v>Error?</v>
      </c>
    </row>
    <row r="2613" spans="1:4" x14ac:dyDescent="0.2">
      <c r="A2613" s="5">
        <v>2552</v>
      </c>
      <c r="B2613" s="138">
        <f>'Acct Summary 7-8'!G20</f>
        <v>21471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782545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782545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760575</v>
      </c>
      <c r="C2634" s="2" t="s">
        <v>573</v>
      </c>
      <c r="D2634" s="2" t="str">
        <f t="shared" si="40"/>
        <v>Error?</v>
      </c>
    </row>
    <row r="2635" spans="1:4" x14ac:dyDescent="0.2">
      <c r="A2635" s="5">
        <v>2574</v>
      </c>
      <c r="B2635" s="138">
        <f>'Acct Summary 7-8'!E17</f>
        <v>760575</v>
      </c>
      <c r="C2635" s="2" t="s">
        <v>573</v>
      </c>
      <c r="D2635" s="2" t="str">
        <f t="shared" si="40"/>
        <v>Error?</v>
      </c>
    </row>
    <row r="2636" spans="1:4" x14ac:dyDescent="0.2">
      <c r="A2636" s="5">
        <v>2575</v>
      </c>
      <c r="B2636" s="138">
        <f>'Acct Summary 7-8'!E20</f>
        <v>21970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97312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97312</v>
      </c>
      <c r="C2658" s="2" t="s">
        <v>573</v>
      </c>
      <c r="D2658" s="2" t="str">
        <f t="shared" si="40"/>
        <v>Error?</v>
      </c>
    </row>
    <row r="2659" spans="1:4" x14ac:dyDescent="0.2">
      <c r="A2659" s="5">
        <v>2598</v>
      </c>
      <c r="B2659" s="138">
        <f>'Acct Summary 7-8'!H13</f>
        <v>1219987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1219987</v>
      </c>
      <c r="C2661" s="2" t="s">
        <v>573</v>
      </c>
      <c r="D2661" s="2" t="str">
        <f t="shared" si="40"/>
        <v>Error?</v>
      </c>
    </row>
    <row r="2662" spans="1:4" x14ac:dyDescent="0.2">
      <c r="A2662" s="5">
        <v>2601</v>
      </c>
      <c r="B2662" s="138">
        <f>'Acct Summary 7-8'!H20</f>
        <v>-1122675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2500</v>
      </c>
      <c r="D2725" s="2" t="str">
        <f t="shared" si="41"/>
        <v>Error?</v>
      </c>
    </row>
    <row r="2726" spans="1:4" x14ac:dyDescent="0.2">
      <c r="A2726" s="5">
        <v>2665</v>
      </c>
      <c r="B2726" s="138">
        <f>'Expenditures 15-22'!K247</f>
        <v>2500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1061503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1061503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129010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1061503</v>
      </c>
      <c r="D2912" s="2" t="str">
        <f t="shared" si="44"/>
        <v>Error?</v>
      </c>
    </row>
    <row r="2913" spans="1:4" x14ac:dyDescent="0.2">
      <c r="A2913" s="5">
        <v>2852</v>
      </c>
      <c r="B2913" s="138">
        <f>'Assets-Liab 5-6'!I41</f>
        <v>1061503</v>
      </c>
      <c r="C2913" s="2" t="s">
        <v>573</v>
      </c>
      <c r="D2913" s="2" t="str">
        <f t="shared" si="44"/>
        <v>Error?</v>
      </c>
    </row>
    <row r="2914" spans="1:4" x14ac:dyDescent="0.2">
      <c r="A2914" s="5">
        <v>2853</v>
      </c>
      <c r="B2914" s="138">
        <f>'Assets-Liab 5-6'!L33</f>
        <v>129010</v>
      </c>
      <c r="D2914" s="2" t="str">
        <f t="shared" si="44"/>
        <v>Error?</v>
      </c>
    </row>
    <row r="2915" spans="1:4" x14ac:dyDescent="0.2">
      <c r="A2915" s="10">
        <v>2854</v>
      </c>
      <c r="D2915" s="2" t="str">
        <f t="shared" si="44"/>
        <v>OK</v>
      </c>
    </row>
    <row r="2916" spans="1:4" x14ac:dyDescent="0.2">
      <c r="A2916" s="5">
        <v>2855</v>
      </c>
      <c r="B2916" s="138">
        <f>'Assets-Liab 5-6'!L34</f>
        <v>129010</v>
      </c>
      <c r="C2916" s="2" t="s">
        <v>573</v>
      </c>
      <c r="D2916" s="2" t="str">
        <f t="shared" si="44"/>
        <v>Error?</v>
      </c>
    </row>
    <row r="2917" spans="1:4" x14ac:dyDescent="0.2">
      <c r="A2917" s="5">
        <v>2856</v>
      </c>
      <c r="B2917" s="138">
        <f>'Assets-Liab 5-6'!L41</f>
        <v>129010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4457</v>
      </c>
      <c r="D2955" s="2" t="str">
        <f t="shared" si="45"/>
        <v>Error?</v>
      </c>
    </row>
    <row r="2956" spans="1:4" x14ac:dyDescent="0.2">
      <c r="A2956" s="5">
        <v>2895</v>
      </c>
      <c r="B2956" s="138">
        <f>'Expenditures 15-22'!H79</f>
        <v>671171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4457</v>
      </c>
      <c r="C2973" s="2" t="s">
        <v>573</v>
      </c>
      <c r="D2973" s="2" t="str">
        <f t="shared" si="45"/>
        <v>Error?</v>
      </c>
    </row>
    <row r="2974" spans="1:4" x14ac:dyDescent="0.2">
      <c r="A2974" s="5">
        <v>2913</v>
      </c>
      <c r="B2974" s="138">
        <f>'Expenditures 15-22'!K79</f>
        <v>671171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40255</v>
      </c>
      <c r="C3225" s="2" t="s">
        <v>573</v>
      </c>
      <c r="D3225" s="2" t="str">
        <f t="shared" si="49"/>
        <v>Error?</v>
      </c>
    </row>
    <row r="3226" spans="1:4" x14ac:dyDescent="0.2">
      <c r="A3226" s="5">
        <v>3165</v>
      </c>
      <c r="B3226" s="138">
        <f>'Acct Summary 7-8'!I8</f>
        <v>40255</v>
      </c>
      <c r="C3226" s="2" t="s">
        <v>573</v>
      </c>
      <c r="D3226" s="2" t="str">
        <f t="shared" si="49"/>
        <v>Error?</v>
      </c>
    </row>
    <row r="3227" spans="1:4" x14ac:dyDescent="0.2">
      <c r="A3227" s="5">
        <v>3166</v>
      </c>
      <c r="B3227" s="138">
        <f>'Acct Summary 7-8'!I20</f>
        <v>40255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3630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2500000</v>
      </c>
      <c r="C3231" s="2" t="s">
        <v>573</v>
      </c>
      <c r="D3231" s="2" t="str">
        <f t="shared" si="49"/>
        <v>Error?</v>
      </c>
    </row>
    <row r="3232" spans="1:4" x14ac:dyDescent="0.2">
      <c r="A3232" s="5">
        <v>3171</v>
      </c>
      <c r="B3232" s="138">
        <f>'Acct Summary 7-8'!C77</f>
        <v>-2496370</v>
      </c>
      <c r="C3232" s="2" t="s">
        <v>573</v>
      </c>
      <c r="D3232" s="2" t="str">
        <f t="shared" si="49"/>
        <v>Error?</v>
      </c>
    </row>
    <row r="3233" spans="1:4" x14ac:dyDescent="0.2">
      <c r="A3233" s="5">
        <v>3172</v>
      </c>
      <c r="B3233" s="138">
        <f>'Acct Summary 7-8'!C78</f>
        <v>-328303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157434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111814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21471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21970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2500000</v>
      </c>
      <c r="C3299" s="2" t="s">
        <v>573</v>
      </c>
      <c r="D3299" s="2" t="str">
        <f t="shared" si="50"/>
        <v>Error?</v>
      </c>
    </row>
    <row r="3300" spans="1:4" x14ac:dyDescent="0.2">
      <c r="A3300" s="5">
        <v>3239</v>
      </c>
      <c r="B3300" s="138">
        <f>'Acct Summary 7-8'!H78</f>
        <v>1377325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40255</v>
      </c>
      <c r="C3320" s="2" t="s">
        <v>573</v>
      </c>
      <c r="D3320" s="2" t="str">
        <f t="shared" si="50"/>
        <v>Error?</v>
      </c>
    </row>
    <row r="3321" spans="1:4" x14ac:dyDescent="0.2">
      <c r="A3321" s="5">
        <v>3260</v>
      </c>
      <c r="B3321" s="138">
        <f>'Acct Summary 7-8'!I79</f>
        <v>1021248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1061503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2249194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607742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20497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33731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3355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1162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2920361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135415</v>
      </c>
      <c r="D3387" s="2" t="str">
        <f t="shared" si="51"/>
        <v>Error?</v>
      </c>
    </row>
    <row r="3388" spans="1:4" x14ac:dyDescent="0.2">
      <c r="A3388" s="5">
        <v>3327</v>
      </c>
      <c r="B3388" s="138">
        <f>'Expenditures 15-22'!D217</f>
        <v>165477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135415</v>
      </c>
      <c r="C3390" s="2" t="s">
        <v>573</v>
      </c>
      <c r="D3390" s="2" t="str">
        <f t="shared" si="51"/>
        <v>Error?</v>
      </c>
    </row>
    <row r="3391" spans="1:4" x14ac:dyDescent="0.2">
      <c r="A3391" s="5">
        <v>3330</v>
      </c>
      <c r="B3391" s="138">
        <f>'Expenditures 15-22'!K217</f>
        <v>165477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22500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129010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358757</v>
      </c>
      <c r="C3446" s="2" t="s">
        <v>573</v>
      </c>
      <c r="D3446" s="2" t="str">
        <f t="shared" si="52"/>
        <v>Error?</v>
      </c>
    </row>
    <row r="3447" spans="1:4" x14ac:dyDescent="0.2">
      <c r="A3447" s="5">
        <v>3386</v>
      </c>
      <c r="B3447" s="138">
        <f>'Tax Sched 23'!D16</f>
        <v>174922</v>
      </c>
      <c r="C3447" s="2" t="s">
        <v>573</v>
      </c>
      <c r="D3447" s="2" t="str">
        <f t="shared" si="52"/>
        <v>Error?</v>
      </c>
    </row>
    <row r="3448" spans="1:4" x14ac:dyDescent="0.2">
      <c r="A3448" s="5">
        <v>3387</v>
      </c>
      <c r="B3448" s="138">
        <f>'Tax Sched 23'!C16</f>
        <v>183835</v>
      </c>
      <c r="D3448" s="2" t="str">
        <f t="shared" si="52"/>
        <v>Error?</v>
      </c>
    </row>
    <row r="3449" spans="1:4" x14ac:dyDescent="0.2">
      <c r="A3449" s="5">
        <v>3388</v>
      </c>
      <c r="B3449" s="138">
        <f>'Tax Sched 23'!F16</f>
        <v>176532</v>
      </c>
      <c r="C3449" s="2" t="s">
        <v>573</v>
      </c>
      <c r="D3449" s="2" t="str">
        <f t="shared" si="52"/>
        <v>Error?</v>
      </c>
    </row>
    <row r="3450" spans="1:4" x14ac:dyDescent="0.2">
      <c r="A3450" s="5">
        <v>3389</v>
      </c>
      <c r="B3450" s="138">
        <f>'Tax Sched 23'!E16</f>
        <v>360367</v>
      </c>
      <c r="D3450" s="2" t="str">
        <f t="shared" si="52"/>
        <v>Error?</v>
      </c>
    </row>
    <row r="3451" spans="1:4" x14ac:dyDescent="0.2">
      <c r="A3451" s="5">
        <v>3390</v>
      </c>
      <c r="B3451" s="138">
        <f>'Cap Outlay Deprec 26'!C15</f>
        <v>161600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161600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3630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109536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109536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109536</v>
      </c>
      <c r="D3567" s="2" t="str">
        <f t="shared" si="54"/>
        <v>Error?</v>
      </c>
    </row>
    <row r="3568" spans="1:4" x14ac:dyDescent="0.2">
      <c r="A3568" s="5">
        <v>3507</v>
      </c>
      <c r="B3568" s="138">
        <f>'Assets-Liab 5-6'!K41</f>
        <v>109536</v>
      </c>
      <c r="C3568" s="2" t="s">
        <v>573</v>
      </c>
      <c r="D3568" s="2" t="str">
        <f t="shared" si="54"/>
        <v>Error?</v>
      </c>
    </row>
    <row r="3569" spans="1:4" x14ac:dyDescent="0.2">
      <c r="A3569" s="5">
        <v>3508</v>
      </c>
      <c r="B3569" s="138">
        <f>'Acct Summary 7-8'!K4</f>
        <v>2444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2444</v>
      </c>
      <c r="C3571" s="2" t="s">
        <v>573</v>
      </c>
      <c r="D3571" s="2" t="str">
        <f t="shared" si="54"/>
        <v>Error?</v>
      </c>
    </row>
    <row r="3572" spans="1:4" x14ac:dyDescent="0.2">
      <c r="A3572" s="5">
        <v>3511</v>
      </c>
      <c r="B3572" s="138">
        <f>'Acct Summary 7-8'!K13</f>
        <v>3649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3649</v>
      </c>
      <c r="C3575" s="2" t="s">
        <v>573</v>
      </c>
      <c r="D3575" s="2" t="str">
        <f t="shared" si="54"/>
        <v>Error?</v>
      </c>
    </row>
    <row r="3576" spans="1:4" x14ac:dyDescent="0.2">
      <c r="A3576" s="5">
        <v>3515</v>
      </c>
      <c r="B3576" s="138">
        <f>'Acct Summary 7-8'!K20</f>
        <v>-1205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-1205</v>
      </c>
      <c r="C3588" s="2" t="s">
        <v>573</v>
      </c>
      <c r="D3588" s="2" t="str">
        <f t="shared" si="55"/>
        <v>Error?</v>
      </c>
    </row>
    <row r="3589" spans="1:4" x14ac:dyDescent="0.2">
      <c r="A3589" s="5">
        <v>3528</v>
      </c>
      <c r="B3589" s="138">
        <f>'Acct Summary 7-8'!K79</f>
        <v>110741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109536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3649</v>
      </c>
      <c r="D3618" s="2" t="str">
        <f t="shared" si="55"/>
        <v>Error?</v>
      </c>
    </row>
    <row r="3619" spans="1:4" x14ac:dyDescent="0.2">
      <c r="A3619" s="5">
        <v>3558</v>
      </c>
      <c r="B3619" s="138">
        <f>'Expenditures 15-22'!C350</f>
        <v>3649</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3649</v>
      </c>
      <c r="C3621" s="2" t="s">
        <v>573</v>
      </c>
      <c r="D3621" s="2" t="str">
        <f t="shared" si="55"/>
        <v>Error?</v>
      </c>
    </row>
    <row r="3622" spans="1:4" x14ac:dyDescent="0.2">
      <c r="A3622" s="5">
        <v>3561</v>
      </c>
      <c r="B3622" s="138">
        <f>'Expenditures 15-22'!C367</f>
        <v>3649</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3649</v>
      </c>
      <c r="C3669" s="2" t="s">
        <v>573</v>
      </c>
      <c r="D3669" s="2" t="str">
        <f t="shared" si="56"/>
        <v>Error?</v>
      </c>
    </row>
    <row r="3670" spans="1:4" x14ac:dyDescent="0.2">
      <c r="A3670" s="5">
        <v>3609</v>
      </c>
      <c r="B3670" s="138">
        <f>'Expenditures 15-22'!K350</f>
        <v>3649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3649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3649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-1205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148241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7494988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28777023</v>
      </c>
      <c r="C4122" s="2" t="s">
        <v>573</v>
      </c>
      <c r="D4122" s="2" t="str">
        <f t="shared" si="63"/>
        <v>Error?</v>
      </c>
    </row>
    <row r="4123" spans="1:4" x14ac:dyDescent="0.2">
      <c r="A4123" s="5">
        <v>4062</v>
      </c>
      <c r="B4123" s="138">
        <f>'Acct Summary 7-8'!D10</f>
        <v>2656195</v>
      </c>
      <c r="C4123" s="2" t="s">
        <v>573</v>
      </c>
      <c r="D4123" s="2" t="str">
        <f t="shared" si="63"/>
        <v>Error?</v>
      </c>
    </row>
    <row r="4124" spans="1:4" x14ac:dyDescent="0.2">
      <c r="A4124" s="5">
        <v>4063</v>
      </c>
      <c r="B4124" s="138">
        <f>'Acct Summary 7-8'!E10</f>
        <v>782545</v>
      </c>
      <c r="C4124" s="2" t="s">
        <v>573</v>
      </c>
      <c r="D4124" s="2" t="str">
        <f t="shared" si="63"/>
        <v>Error?</v>
      </c>
    </row>
    <row r="4125" spans="1:4" x14ac:dyDescent="0.2">
      <c r="A4125" s="5">
        <v>4064</v>
      </c>
      <c r="B4125" s="138">
        <f>'Acct Summary 7-8'!F10</f>
        <v>2026654</v>
      </c>
      <c r="C4125" s="2" t="s">
        <v>573</v>
      </c>
      <c r="D4125" s="2" t="str">
        <f t="shared" si="63"/>
        <v>Error?</v>
      </c>
    </row>
    <row r="4126" spans="1:4" x14ac:dyDescent="0.2">
      <c r="A4126" s="5">
        <v>4065</v>
      </c>
      <c r="B4126" s="138">
        <f>'Acct Summary 7-8'!G10</f>
        <v>841252</v>
      </c>
      <c r="C4126" s="2" t="s">
        <v>573</v>
      </c>
      <c r="D4126" s="2" t="str">
        <f t="shared" si="63"/>
        <v>Error?</v>
      </c>
    </row>
    <row r="4127" spans="1:4" x14ac:dyDescent="0.2">
      <c r="A4127" s="5">
        <v>4066</v>
      </c>
      <c r="B4127" s="138">
        <f>'Acct Summary 7-8'!H10</f>
        <v>97312</v>
      </c>
      <c r="C4127" s="2" t="s">
        <v>573</v>
      </c>
      <c r="D4127" s="2" t="str">
        <f t="shared" si="63"/>
        <v>Error?</v>
      </c>
    </row>
    <row r="4128" spans="1:4" x14ac:dyDescent="0.2">
      <c r="A4128" s="5">
        <v>4067</v>
      </c>
      <c r="B4128" s="138">
        <f>'Acct Summary 7-8'!I10</f>
        <v>40255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2444</v>
      </c>
      <c r="C4130" s="2" t="s">
        <v>573</v>
      </c>
      <c r="D4130" s="2" t="str">
        <f t="shared" si="63"/>
        <v>Error?</v>
      </c>
    </row>
    <row r="4131" spans="1:4" x14ac:dyDescent="0.2">
      <c r="A4131" s="5">
        <v>4070</v>
      </c>
      <c r="B4131" s="138">
        <f>'Acct Summary 7-8'!C18</f>
        <v>7494988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26608956</v>
      </c>
      <c r="C4136" s="2" t="s">
        <v>573</v>
      </c>
      <c r="D4136" s="2" t="str">
        <f t="shared" si="63"/>
        <v>Error?</v>
      </c>
    </row>
    <row r="4137" spans="1:4" x14ac:dyDescent="0.2">
      <c r="A4137" s="5">
        <v>4076</v>
      </c>
      <c r="B4137" s="138">
        <f>'Acct Summary 7-8'!D19</f>
        <v>2498761</v>
      </c>
      <c r="C4137" s="2" t="s">
        <v>573</v>
      </c>
      <c r="D4137" s="2" t="str">
        <f t="shared" si="63"/>
        <v>Error?</v>
      </c>
    </row>
    <row r="4138" spans="1:4" x14ac:dyDescent="0.2">
      <c r="A4138" s="5">
        <v>4077</v>
      </c>
      <c r="B4138" s="138">
        <f>'Acct Summary 7-8'!E19</f>
        <v>760575</v>
      </c>
      <c r="C4138" s="2" t="s">
        <v>573</v>
      </c>
      <c r="D4138" s="2" t="str">
        <f t="shared" si="63"/>
        <v>Error?</v>
      </c>
    </row>
    <row r="4139" spans="1:4" x14ac:dyDescent="0.2">
      <c r="A4139" s="5">
        <v>4078</v>
      </c>
      <c r="B4139" s="138">
        <f>'Acct Summary 7-8'!F19</f>
        <v>1914840</v>
      </c>
      <c r="C4139" s="2" t="s">
        <v>573</v>
      </c>
      <c r="D4139" s="2" t="str">
        <f t="shared" si="63"/>
        <v>Error?</v>
      </c>
    </row>
    <row r="4140" spans="1:4" x14ac:dyDescent="0.2">
      <c r="A4140" s="5">
        <v>4079</v>
      </c>
      <c r="B4140" s="138">
        <f>'Acct Summary 7-8'!G19</f>
        <v>819781</v>
      </c>
      <c r="C4140" s="2" t="s">
        <v>573</v>
      </c>
      <c r="D4140" s="2" t="str">
        <f t="shared" si="63"/>
        <v>Error?</v>
      </c>
    </row>
    <row r="4141" spans="1:4" x14ac:dyDescent="0.2">
      <c r="A4141" s="5">
        <v>4080</v>
      </c>
      <c r="B4141" s="138">
        <f>'Acct Summary 7-8'!H19</f>
        <v>1219987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3649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5475000</v>
      </c>
      <c r="C4171" s="2" t="s">
        <v>573</v>
      </c>
      <c r="D4171" s="2" t="str">
        <f t="shared" si="64"/>
        <v>Error?</v>
      </c>
    </row>
    <row r="4172" spans="1:4" x14ac:dyDescent="0.2">
      <c r="A4172" s="5">
        <v>4111</v>
      </c>
      <c r="B4172" s="138">
        <f>'Short-Term Long-Term Debt 24'!J49</f>
        <v>4920406</v>
      </c>
      <c r="C4172" s="2" t="s">
        <v>573</v>
      </c>
      <c r="D4172" s="2" t="str">
        <f t="shared" si="64"/>
        <v>Error?</v>
      </c>
    </row>
    <row r="4173" spans="1:4" x14ac:dyDescent="0.2">
      <c r="A4173" s="5">
        <v>4112</v>
      </c>
      <c r="B4173" s="138">
        <f>'Short-Term Long-Term Debt 24'!H49</f>
        <v>595000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2408.7999999999997</v>
      </c>
      <c r="C4265" s="2" t="s">
        <v>573</v>
      </c>
      <c r="D4265" s="2" t="str">
        <f t="shared" si="65"/>
        <v>Error?</v>
      </c>
      <c r="E4265" s="128"/>
    </row>
    <row r="4266" spans="1:5" x14ac:dyDescent="0.2">
      <c r="A4266" s="12">
        <v>4205</v>
      </c>
      <c r="B4266" s="138">
        <f>('FP Info 3'!F10)*100000</f>
        <v>316.2</v>
      </c>
      <c r="C4266" s="2" t="s">
        <v>573</v>
      </c>
      <c r="D4266" s="2" t="str">
        <f t="shared" si="65"/>
        <v>Error?</v>
      </c>
      <c r="E4266" s="128"/>
    </row>
    <row r="4267" spans="1:5" x14ac:dyDescent="0.2">
      <c r="A4267" s="12">
        <v>4206</v>
      </c>
      <c r="B4267" s="138">
        <f>('FP Info 3'!H10)*100000</f>
        <v>67.599999999999994</v>
      </c>
      <c r="C4267" s="2" t="s">
        <v>573</v>
      </c>
      <c r="D4267" s="2" t="str">
        <f t="shared" si="65"/>
        <v>Error?</v>
      </c>
      <c r="E4267" s="128"/>
    </row>
    <row r="4268" spans="1:5" x14ac:dyDescent="0.2">
      <c r="A4268" s="12">
        <v>4207</v>
      </c>
      <c r="B4268" s="138">
        <f>('FP Info 3'!J10)*100000</f>
        <v>2793</v>
      </c>
      <c r="C4268" s="2" t="s">
        <v>573</v>
      </c>
      <c r="D4268" s="2" t="str">
        <f t="shared" si="65"/>
        <v>Error?</v>
      </c>
    </row>
    <row r="4269" spans="1:5" x14ac:dyDescent="0.2">
      <c r="A4269" s="12">
        <v>4208</v>
      </c>
      <c r="B4269" s="138">
        <f>'FP Info 3'!J16</f>
        <v>14019619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25624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86912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14796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37305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2.5999999999999996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1112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739974219</v>
      </c>
      <c r="D4995" s="2" t="str">
        <f t="shared" si="77"/>
        <v>Error?</v>
      </c>
    </row>
    <row r="4996" spans="1:4" x14ac:dyDescent="0.2">
      <c r="A4996" s="12">
        <v>4935</v>
      </c>
      <c r="B4996" s="138">
        <f>'FP Info 3'!H31</f>
        <v>51058221.111000001</v>
      </c>
      <c r="D4996" s="2" t="str">
        <f t="shared" si="77"/>
        <v>Error?</v>
      </c>
    </row>
    <row r="4997" spans="1:4" x14ac:dyDescent="0.2">
      <c r="A4997" s="12">
        <v>4936</v>
      </c>
      <c r="B4997" s="138">
        <f>'FP Info 3'!H37</f>
        <v>5475000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17392800</v>
      </c>
      <c r="D5061" s="2" t="str">
        <f t="shared" si="78"/>
        <v>Error?</v>
      </c>
    </row>
    <row r="5062" spans="1:4" x14ac:dyDescent="0.2">
      <c r="A5062" s="10">
        <v>5001</v>
      </c>
      <c r="D5062" s="2" t="str">
        <f t="shared" si="78"/>
        <v>OK</v>
      </c>
    </row>
    <row r="5063" spans="1:4" x14ac:dyDescent="0.2">
      <c r="A5063" s="5">
        <v>5002</v>
      </c>
      <c r="B5063" s="138">
        <f>'Revenues 9-14'!C7</f>
        <v>673573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18066373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313754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313754</v>
      </c>
      <c r="C5071" s="2" t="s">
        <v>573</v>
      </c>
      <c r="D5071" s="2" t="str">
        <f t="shared" si="78"/>
        <v>Error?</v>
      </c>
    </row>
    <row r="5072" spans="1:4" x14ac:dyDescent="0.2">
      <c r="A5072" s="5">
        <v>5011</v>
      </c>
      <c r="B5072" s="138">
        <f>'Revenues 9-14'!C20</f>
        <v>50115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50115</v>
      </c>
      <c r="C5087" s="2" t="s">
        <v>573</v>
      </c>
      <c r="D5087" s="2" t="str">
        <f t="shared" si="78"/>
        <v>Error?</v>
      </c>
    </row>
    <row r="5088" spans="1:4" x14ac:dyDescent="0.2">
      <c r="A5088" s="5">
        <v>5027</v>
      </c>
      <c r="B5088" s="138">
        <f>'Revenues 9-14'!C65</f>
        <v>178743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178743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83945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2259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212092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151470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151470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17716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35178</v>
      </c>
      <c r="D5118" s="2" t="str">
        <f t="shared" si="78"/>
        <v>Error?</v>
      </c>
    </row>
    <row r="5119" spans="1:4" x14ac:dyDescent="0.2">
      <c r="A5119" s="5">
        <v>5058</v>
      </c>
      <c r="B5119" s="138">
        <f>'Revenues 9-14'!C107</f>
        <v>1176</v>
      </c>
      <c r="D5119" s="2" t="str">
        <f t="shared" ref="D5119:D5182" si="79">IF(ISBLANK(B5119),"OK",IF(A5119-B5119=0,"OK","Error?"))</f>
        <v>Error?</v>
      </c>
    </row>
    <row r="5120" spans="1:4" x14ac:dyDescent="0.2">
      <c r="A5120" s="5">
        <v>5059</v>
      </c>
      <c r="B5120" s="138">
        <f>'Revenues 9-14'!C108</f>
        <v>54110</v>
      </c>
      <c r="C5120" s="2" t="s">
        <v>573</v>
      </c>
      <c r="D5120" s="2" t="str">
        <f t="shared" si="79"/>
        <v>Error?</v>
      </c>
    </row>
    <row r="5121" spans="1:4" x14ac:dyDescent="0.2">
      <c r="A5121" s="5">
        <v>5060</v>
      </c>
      <c r="B5121" s="138">
        <f>'Revenues 9-14'!C109</f>
        <v>19026657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1275487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1275487</v>
      </c>
      <c r="C5132" s="2" t="s">
        <v>573</v>
      </c>
      <c r="D5132" s="2" t="str">
        <f t="shared" si="79"/>
        <v>Error?</v>
      </c>
    </row>
    <row r="5133" spans="1:4" x14ac:dyDescent="0.2">
      <c r="A5133" s="5">
        <v>5072</v>
      </c>
      <c r="B5133" s="138">
        <f>'Revenues 9-14'!C125</f>
        <v>147298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147298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2005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150415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1425902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131305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131305</v>
      </c>
      <c r="C5246" s="2" t="s">
        <v>573</v>
      </c>
      <c r="D5246" s="2" t="str">
        <f t="shared" si="80"/>
        <v>Error?</v>
      </c>
    </row>
    <row r="5247" spans="1:4" x14ac:dyDescent="0.2">
      <c r="A5247" s="5">
        <v>5186</v>
      </c>
      <c r="B5247" s="138">
        <f>'Revenues 9-14'!C200</f>
        <v>156992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14796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156992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19676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356866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376542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829476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829476</v>
      </c>
      <c r="C5326" s="2" t="s">
        <v>573</v>
      </c>
      <c r="D5326" s="2" t="str">
        <f t="shared" si="82"/>
        <v>Error?</v>
      </c>
    </row>
    <row r="5327" spans="1:5" x14ac:dyDescent="0.2">
      <c r="A5327" s="5">
        <v>5266</v>
      </c>
      <c r="B5327" s="138">
        <f>'Revenues 9-14'!C268</f>
        <v>21282035</v>
      </c>
      <c r="C5327" s="2" t="s">
        <v>573</v>
      </c>
      <c r="D5327" s="2" t="str">
        <f t="shared" si="82"/>
        <v>Error?</v>
      </c>
    </row>
    <row r="5328" spans="1:5" x14ac:dyDescent="0.2">
      <c r="A5328" s="5">
        <v>5267</v>
      </c>
      <c r="B5328" s="138">
        <f>'Revenues 9-14'!D5</f>
        <v>2312539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2312539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126000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126000</v>
      </c>
      <c r="C5339" s="2" t="s">
        <v>573</v>
      </c>
      <c r="D5339" s="2" t="str">
        <f t="shared" si="82"/>
        <v>Error?</v>
      </c>
    </row>
    <row r="5340" spans="1:4" x14ac:dyDescent="0.2">
      <c r="A5340" s="5">
        <v>5279</v>
      </c>
      <c r="B5340" s="138">
        <f>'Revenues 9-14'!D65</f>
        <v>22782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22782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1993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27881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29874</v>
      </c>
      <c r="C5355" s="2" t="s">
        <v>573</v>
      </c>
      <c r="D5355" s="2" t="str">
        <f t="shared" si="82"/>
        <v>Error?</v>
      </c>
    </row>
    <row r="5356" spans="1:4" x14ac:dyDescent="0.2">
      <c r="A5356" s="5">
        <v>5295</v>
      </c>
      <c r="B5356" s="138">
        <f>'Revenues 9-14'!D109</f>
        <v>2491195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165000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165000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165000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2656195</v>
      </c>
      <c r="C5508" s="2" t="s">
        <v>573</v>
      </c>
      <c r="D5508" s="2" t="str">
        <f t="shared" si="85"/>
        <v>Error?</v>
      </c>
    </row>
    <row r="5509" spans="1:4" x14ac:dyDescent="0.2">
      <c r="A5509" s="5">
        <v>5448</v>
      </c>
      <c r="B5509" s="138">
        <f>'Revenues 9-14'!E5</f>
        <v>773255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773255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9290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9290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782545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782545</v>
      </c>
      <c r="C5552" s="2" t="s">
        <v>573</v>
      </c>
      <c r="D5552" s="2" t="str">
        <f t="shared" si="85"/>
        <v>Error?</v>
      </c>
    </row>
    <row r="5553" spans="1:4" x14ac:dyDescent="0.2">
      <c r="A5553" s="5">
        <v>5492</v>
      </c>
      <c r="B5553" s="138">
        <f>'Revenues 9-14'!F5</f>
        <v>1066408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1066408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36839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36839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4604</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4604</v>
      </c>
      <c r="C5587" s="2" t="s">
        <v>573</v>
      </c>
      <c r="D5587" s="2" t="str">
        <f t="shared" si="86"/>
        <v>Error?</v>
      </c>
    </row>
    <row r="5588" spans="1:4" x14ac:dyDescent="0.2">
      <c r="A5588" s="5">
        <v>5527</v>
      </c>
      <c r="B5588" s="138">
        <f>'Revenues 9-14'!F109</f>
        <v>1107851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395301</v>
      </c>
      <c r="D5615" s="2" t="str">
        <f t="shared" si="86"/>
        <v>Error?</v>
      </c>
    </row>
    <row r="5616" spans="1:4" x14ac:dyDescent="0.2">
      <c r="A5616" s="10">
        <v>5555</v>
      </c>
      <c r="D5616" s="2" t="str">
        <f t="shared" si="86"/>
        <v>OK</v>
      </c>
    </row>
    <row r="5617" spans="1:5" x14ac:dyDescent="0.2">
      <c r="A5617" s="5">
        <v>5556</v>
      </c>
      <c r="B5617" s="138">
        <f>'Revenues 9-14'!F153</f>
        <v>523502</v>
      </c>
      <c r="D5617" s="2" t="str">
        <f t="shared" si="86"/>
        <v>Error?</v>
      </c>
    </row>
    <row r="5618" spans="1:5" x14ac:dyDescent="0.2">
      <c r="A5618" s="5">
        <v>5557</v>
      </c>
      <c r="B5618" s="138">
        <f>'Revenues 9-14'!F155</f>
        <v>918803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918803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918803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2026654</v>
      </c>
      <c r="C5720" s="2" t="s">
        <v>573</v>
      </c>
      <c r="D5720" s="2" t="str">
        <f t="shared" si="88"/>
        <v>Error?</v>
      </c>
    </row>
    <row r="5721" spans="1:4" x14ac:dyDescent="0.2">
      <c r="A5721" s="5">
        <v>5660</v>
      </c>
      <c r="B5721" s="138">
        <f>'Revenues 9-14'!G5</f>
        <v>407773</v>
      </c>
      <c r="D5721" s="2" t="str">
        <f t="shared" si="88"/>
        <v>Error?</v>
      </c>
    </row>
    <row r="5722" spans="1:4" x14ac:dyDescent="0.2">
      <c r="A5722" s="5">
        <v>5661</v>
      </c>
      <c r="B5722" s="138">
        <f>'Revenues 9-14'!G7</f>
        <v>0</v>
      </c>
      <c r="D5722" s="2" t="str">
        <f t="shared" si="88"/>
        <v>Error?</v>
      </c>
    </row>
    <row r="5723" spans="1:4" x14ac:dyDescent="0.2">
      <c r="A5723" s="5">
        <v>5662</v>
      </c>
      <c r="B5723" s="138">
        <f>'Revenues 9-14'!G8</f>
        <v>358757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766530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60000</v>
      </c>
      <c r="C5730" s="2" t="s">
        <v>573</v>
      </c>
      <c r="D5730" s="2" t="str">
        <f t="shared" si="88"/>
        <v>Error?</v>
      </c>
    </row>
    <row r="5731" spans="1:4" x14ac:dyDescent="0.2">
      <c r="A5731" s="5">
        <v>5670</v>
      </c>
      <c r="B5731" s="138">
        <f>'Revenues 9-14'!G65</f>
        <v>14722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14722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841252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29916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29916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67396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97312</v>
      </c>
      <c r="C5915" s="2" t="s">
        <v>573</v>
      </c>
      <c r="D5915" s="2" t="str">
        <f t="shared" si="91"/>
        <v>Error?</v>
      </c>
    </row>
    <row r="5916" spans="1:4" x14ac:dyDescent="0.2">
      <c r="A5916" s="5">
        <v>5855</v>
      </c>
      <c r="B5916" s="138">
        <f>'Revenues 9-14'!I5</f>
        <v>17251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17251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23004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23004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40255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2444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2444</v>
      </c>
      <c r="C6023" s="2" t="s">
        <v>573</v>
      </c>
      <c r="D6023" s="2" t="str">
        <f t="shared" si="93"/>
        <v>Error?</v>
      </c>
    </row>
    <row r="6024" spans="1:5" x14ac:dyDescent="0.2">
      <c r="A6024" s="5">
        <v>5963</v>
      </c>
      <c r="B6024" s="138">
        <f>'Revenues 9-14'!G109</f>
        <v>841252</v>
      </c>
      <c r="C6024" s="2" t="s">
        <v>573</v>
      </c>
      <c r="D6024" s="2" t="str">
        <f t="shared" si="93"/>
        <v>Error?</v>
      </c>
    </row>
    <row r="6025" spans="1:5" x14ac:dyDescent="0.2">
      <c r="A6025" s="5">
        <v>5964</v>
      </c>
      <c r="B6025" s="138">
        <f>'Revenues 9-14'!H109</f>
        <v>97312</v>
      </c>
      <c r="C6025" s="2" t="s">
        <v>573</v>
      </c>
      <c r="D6025" s="2" t="str">
        <f t="shared" si="93"/>
        <v>Error?</v>
      </c>
    </row>
    <row r="6026" spans="1:5" x14ac:dyDescent="0.2">
      <c r="A6026" s="5">
        <v>5965</v>
      </c>
      <c r="B6026" s="138">
        <f>'Revenues 9-14'!I109</f>
        <v>40255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2444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125888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27676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1389.3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325</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-328303</v>
      </c>
      <c r="D6267" s="2" t="str">
        <f t="shared" si="96"/>
        <v>Error?</v>
      </c>
      <c r="E6267" s="2" t="s">
        <v>190</v>
      </c>
    </row>
    <row r="6268" spans="1:5" x14ac:dyDescent="0.2">
      <c r="A6268">
        <v>6207</v>
      </c>
      <c r="B6268" s="138">
        <f>'Acct Summary 7-8'!D82</f>
        <v>157434</v>
      </c>
      <c r="D6268" s="2" t="str">
        <f t="shared" si="96"/>
        <v>Error?</v>
      </c>
      <c r="E6268" s="2" t="s">
        <v>190</v>
      </c>
    </row>
    <row r="6269" spans="1:5" x14ac:dyDescent="0.2">
      <c r="A6269">
        <v>6208</v>
      </c>
      <c r="B6269" s="138">
        <f>'Acct Summary 7-8'!E82</f>
        <v>21970</v>
      </c>
      <c r="D6269" s="2" t="str">
        <f t="shared" si="96"/>
        <v>Error?</v>
      </c>
      <c r="E6269" s="2" t="s">
        <v>190</v>
      </c>
    </row>
    <row r="6270" spans="1:5" x14ac:dyDescent="0.2">
      <c r="A6270">
        <v>6209</v>
      </c>
      <c r="B6270" s="138">
        <f>'Acct Summary 7-8'!F82</f>
        <v>111814</v>
      </c>
      <c r="D6270" s="2" t="str">
        <f t="shared" si="96"/>
        <v>Error?</v>
      </c>
      <c r="E6270" s="2" t="s">
        <v>190</v>
      </c>
    </row>
    <row r="6271" spans="1:5" x14ac:dyDescent="0.2">
      <c r="A6271">
        <v>6210</v>
      </c>
      <c r="B6271" s="138">
        <f>'Acct Summary 7-8'!G82</f>
        <v>21471</v>
      </c>
      <c r="D6271" s="2" t="str">
        <f t="shared" ref="D6271:D6334" si="97">IF(ISBLANK(B6271),"OK",IF(A6271-B6271=0,"OK","Error?"))</f>
        <v>Error?</v>
      </c>
      <c r="E6271" s="2" t="s">
        <v>190</v>
      </c>
    </row>
    <row r="6272" spans="1:5" x14ac:dyDescent="0.2">
      <c r="A6272">
        <v>6211</v>
      </c>
      <c r="B6272" s="138">
        <f>'Acct Summary 7-8'!H82</f>
        <v>1377325</v>
      </c>
      <c r="D6272" s="2" t="str">
        <f t="shared" si="97"/>
        <v>Error?</v>
      </c>
      <c r="E6272" s="2" t="s">
        <v>190</v>
      </c>
    </row>
    <row r="6273" spans="1:5" x14ac:dyDescent="0.2">
      <c r="A6273">
        <v>6212</v>
      </c>
      <c r="B6273" s="138">
        <f>'Acct Summary 7-8'!I82</f>
        <v>40255</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-1205</v>
      </c>
      <c r="D6275" s="2" t="str">
        <f t="shared" si="97"/>
        <v>Error?</v>
      </c>
      <c r="E6275" s="2" t="s">
        <v>190</v>
      </c>
    </row>
    <row r="6276" spans="1:5" x14ac:dyDescent="0.2">
      <c r="A6276">
        <v>6215</v>
      </c>
      <c r="B6276" s="138">
        <f>'Acct Summary 7-8'!C83</f>
        <v>-3.3089883518223763E-2</v>
      </c>
      <c r="D6276" s="2" t="str">
        <f t="shared" si="97"/>
        <v>Error?</v>
      </c>
      <c r="E6276" s="2" t="s">
        <v>190</v>
      </c>
    </row>
    <row r="6277" spans="1:5" x14ac:dyDescent="0.2">
      <c r="A6277">
        <v>6216</v>
      </c>
      <c r="B6277" s="138">
        <f>'Acct Summary 7-8'!D83</f>
        <v>0.10299430186383352</v>
      </c>
      <c r="D6277" s="2" t="str">
        <f t="shared" si="97"/>
        <v>Error?</v>
      </c>
      <c r="E6277" s="2" t="s">
        <v>190</v>
      </c>
    </row>
    <row r="6278" spans="1:5" x14ac:dyDescent="0.2">
      <c r="A6278">
        <v>6217</v>
      </c>
      <c r="B6278" s="138">
        <f>'Acct Summary 7-8'!E83</f>
        <v>3.9614564888909722E-2</v>
      </c>
      <c r="D6278" s="2" t="str">
        <f t="shared" si="97"/>
        <v>Error?</v>
      </c>
      <c r="E6278" s="2" t="s">
        <v>190</v>
      </c>
    </row>
    <row r="6279" spans="1:5" x14ac:dyDescent="0.2">
      <c r="A6279">
        <v>6218</v>
      </c>
      <c r="B6279" s="138">
        <f>'Acct Summary 7-8'!F83</f>
        <v>7.4147509870728934E-2</v>
      </c>
      <c r="D6279" s="2" t="str">
        <f t="shared" si="97"/>
        <v>Error?</v>
      </c>
      <c r="E6279" s="2" t="s">
        <v>190</v>
      </c>
    </row>
    <row r="6280" spans="1:5" x14ac:dyDescent="0.2">
      <c r="A6280">
        <v>6219</v>
      </c>
      <c r="B6280" s="138">
        <f>'Acct Summary 7-8'!G83</f>
        <v>2.7600453515905194E-2</v>
      </c>
      <c r="D6280" s="2" t="str">
        <f t="shared" si="97"/>
        <v>Error?</v>
      </c>
      <c r="E6280" s="2" t="s">
        <v>190</v>
      </c>
    </row>
    <row r="6281" spans="1:5" x14ac:dyDescent="0.2">
      <c r="A6281">
        <v>6220</v>
      </c>
      <c r="B6281" s="138">
        <f>'Acct Summary 7-8'!H83</f>
        <v>0.42233324379650855</v>
      </c>
      <c r="D6281" s="2" t="str">
        <f t="shared" si="97"/>
        <v>Error?</v>
      </c>
      <c r="E6281" s="2" t="s">
        <v>190</v>
      </c>
    </row>
    <row r="6282" spans="1:5" x14ac:dyDescent="0.2">
      <c r="A6282">
        <v>6221</v>
      </c>
      <c r="B6282" s="138">
        <f>'Acct Summary 7-8'!I83</f>
        <v>3.7922643647733449E-2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-1.1000949459538417E-2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155100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44406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160423</v>
      </c>
      <c r="D6848" s="2" t="str">
        <f t="shared" si="106"/>
        <v>Error?</v>
      </c>
    </row>
    <row r="6849" spans="1:4" x14ac:dyDescent="0.2">
      <c r="A6849">
        <v>6788</v>
      </c>
      <c r="B6849" s="138">
        <f>'Expenditures 15-22'!I8</f>
        <v>4680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49086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8095</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8095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62231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62231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2494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2494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72820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121906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7000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7000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7000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7000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5323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128906</v>
      </c>
      <c r="D7624" s="2" t="str">
        <f t="shared" si="124"/>
        <v>Error?</v>
      </c>
      <c r="E7624" s="2" t="s">
        <v>19</v>
      </c>
    </row>
    <row r="7625" spans="1:5" x14ac:dyDescent="0.2">
      <c r="A7625">
        <f t="shared" si="123"/>
        <v>7564</v>
      </c>
      <c r="B7625" s="138">
        <f>'Cap Outlay Deprec 26'!I17</f>
        <v>12890.6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1474678.6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67396</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2500000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673573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t="str">
        <f>'Expenditures 15-22'!D282</f>
        <v xml:space="preserve"> </v>
      </c>
      <c r="D7783" s="2" t="e">
        <f t="shared" si="127"/>
        <v>#VALUE!</v>
      </c>
      <c r="E7783" s="4" t="s">
        <v>1852</v>
      </c>
    </row>
    <row r="7784" spans="1:5" x14ac:dyDescent="0.2">
      <c r="A7784">
        <v>7723</v>
      </c>
      <c r="B7784" s="138" t="str">
        <f>'Expenditures 15-22'!K282</f>
        <v xml:space="preserve"> </v>
      </c>
      <c r="D7784" s="2" t="e">
        <f t="shared" si="127"/>
        <v>#VALUE!</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43334</v>
      </c>
      <c r="D7797" s="2" t="str">
        <f t="shared" si="127"/>
        <v>Error?</v>
      </c>
      <c r="E7797" s="4" t="s">
        <v>1901</v>
      </c>
    </row>
    <row r="7798" spans="1:5" x14ac:dyDescent="0.2">
      <c r="A7798">
        <v>7737</v>
      </c>
      <c r="B7798" s="138">
        <f>'Contracts Paid in CY 29'!F141</f>
        <v>33985</v>
      </c>
      <c r="D7798" s="2" t="str">
        <f t="shared" si="127"/>
        <v>Error?</v>
      </c>
      <c r="E7798" s="4" t="s">
        <v>1901</v>
      </c>
    </row>
    <row r="7799" spans="1:5" x14ac:dyDescent="0.2">
      <c r="A7799">
        <v>7738</v>
      </c>
      <c r="B7799" s="138">
        <f>'Contracts Paid in CY 29'!G141</f>
        <v>9349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5" sqref="G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1986</v>
      </c>
      <c r="B4" s="2428"/>
      <c r="C4" s="2428"/>
      <c r="D4" s="2428"/>
      <c r="E4" s="2428"/>
      <c r="F4" s="2428"/>
      <c r="G4" s="2428"/>
      <c r="H4" s="2428"/>
      <c r="I4" s="2428"/>
      <c r="J4" s="2428"/>
      <c r="K4" s="2428"/>
      <c r="L4" s="242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1" t="str">
        <f>COVER!A17</f>
        <v>Will County SD 92</v>
      </c>
      <c r="B7" s="2392"/>
      <c r="C7" s="2392"/>
      <c r="D7" s="2429"/>
      <c r="E7" s="2430">
        <f>COVER!A13</f>
        <v>56099092002</v>
      </c>
      <c r="F7" s="2431"/>
      <c r="G7" s="2398" t="str">
        <f>COVER!T23</f>
        <v>066-004945</v>
      </c>
      <c r="H7" s="2399"/>
      <c r="I7" s="2399"/>
      <c r="J7" s="2399"/>
      <c r="K7" s="2399"/>
      <c r="L7" s="240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1"/>
      <c r="B9" s="2402"/>
      <c r="C9" s="2402"/>
      <c r="D9" s="2402"/>
      <c r="E9" s="2402"/>
      <c r="F9" s="2403"/>
      <c r="G9" s="2404" t="str">
        <f>COVER!T13</f>
        <v>GASSENSMITH &amp; MICHALESKO, LTD</v>
      </c>
      <c r="H9" s="2405"/>
      <c r="I9" s="2405"/>
      <c r="J9" s="2405"/>
      <c r="K9" s="2405"/>
      <c r="L9" s="2406"/>
    </row>
    <row r="10" spans="1:29" ht="13.5" customHeight="1" x14ac:dyDescent="0.2">
      <c r="A10" s="2388" t="str">
        <f>COVER!A38</f>
        <v>DR. TIM ARNOLD</v>
      </c>
      <c r="B10" s="2389"/>
      <c r="C10" s="2389"/>
      <c r="D10" s="2389"/>
      <c r="E10" s="2389"/>
      <c r="F10" s="2390"/>
      <c r="G10" s="2404" t="str">
        <f>COVER!T17</f>
        <v>323 SPRINGFIELD</v>
      </c>
      <c r="H10" s="2417"/>
      <c r="I10" s="2417"/>
      <c r="J10" s="2417"/>
      <c r="K10" s="2417"/>
      <c r="L10" s="2418"/>
    </row>
    <row r="11" spans="1:29" ht="13.5" customHeight="1" x14ac:dyDescent="0.2">
      <c r="A11" s="1184" t="s">
        <v>1519</v>
      </c>
      <c r="B11" s="1185"/>
      <c r="C11" s="1186"/>
      <c r="D11" s="1191"/>
      <c r="E11" s="1186"/>
      <c r="F11" s="1190"/>
      <c r="G11" s="2404" t="str">
        <f>COVER!T19</f>
        <v>JOLIET</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f>COVER!T25</f>
        <v>0</v>
      </c>
      <c r="J13" s="2426"/>
      <c r="K13" s="2426"/>
      <c r="L13" s="2427"/>
    </row>
    <row r="14" spans="1:29" ht="13.5" customHeight="1" x14ac:dyDescent="0.2">
      <c r="A14" s="2404" t="str">
        <f>COVER!A19</f>
        <v>708 N STATE ST</v>
      </c>
      <c r="B14" s="2417"/>
      <c r="C14" s="2417"/>
      <c r="D14" s="2417"/>
      <c r="E14" s="2417"/>
      <c r="F14" s="2418"/>
      <c r="G14" s="1195" t="s">
        <v>1185</v>
      </c>
      <c r="H14" s="1193"/>
      <c r="I14" s="1193"/>
      <c r="J14" s="1193"/>
      <c r="K14" s="1193"/>
      <c r="L14" s="1194"/>
    </row>
    <row r="15" spans="1:29" ht="13.5" customHeight="1" x14ac:dyDescent="0.2">
      <c r="A15" s="2404" t="str">
        <f>COVER!A21</f>
        <v>LOCKPORT</v>
      </c>
      <c r="B15" s="2417"/>
      <c r="C15" s="2417"/>
      <c r="D15" s="2417"/>
      <c r="E15" s="2417"/>
      <c r="F15" s="2418"/>
      <c r="G15" s="2414" t="str">
        <f>COVER!T15</f>
        <v>JOHN MICHALESKO</v>
      </c>
      <c r="H15" s="2415"/>
      <c r="I15" s="2415"/>
      <c r="J15" s="2415"/>
      <c r="K15" s="2415"/>
      <c r="L15" s="2416"/>
    </row>
    <row r="16" spans="1:29" ht="12.2" customHeight="1" x14ac:dyDescent="0.2">
      <c r="A16" s="2394">
        <f>COVER!A25</f>
        <v>60441</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5" t="s">
        <v>1184</v>
      </c>
      <c r="H17" s="1193"/>
      <c r="I17" s="1193"/>
      <c r="J17" s="1193"/>
      <c r="K17" s="1197" t="s">
        <v>1183</v>
      </c>
      <c r="L17" s="1190"/>
      <c r="M17" s="1183"/>
    </row>
    <row r="18" spans="1:13" ht="12.2" customHeight="1" x14ac:dyDescent="0.2">
      <c r="A18" s="2388"/>
      <c r="B18" s="2389"/>
      <c r="C18" s="2389"/>
      <c r="D18" s="2389"/>
      <c r="E18" s="2389"/>
      <c r="F18" s="2390"/>
      <c r="G18" s="2391" t="str">
        <f>COVER!T21</f>
        <v>815-744-6200</v>
      </c>
      <c r="H18" s="2392"/>
      <c r="I18" s="2392"/>
      <c r="J18" s="2392"/>
      <c r="K18" s="2391" t="str">
        <f>COVER!X21</f>
        <v>815-744-3822</v>
      </c>
      <c r="L18" s="239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I54" sqref="I5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Will County SD 92</v>
      </c>
      <c r="B1" s="2428"/>
      <c r="C1" s="2428"/>
      <c r="D1" s="2428"/>
    </row>
    <row r="2" spans="1:11" s="1212" customFormat="1" ht="12.75" x14ac:dyDescent="0.2">
      <c r="A2" s="2433">
        <f>'Single Audit Cover'!E7</f>
        <v>56099092002</v>
      </c>
      <c r="B2" s="2434"/>
      <c r="C2" s="2434"/>
      <c r="D2" s="2434"/>
    </row>
    <row r="3" spans="1:11" s="1212" customFormat="1" ht="12.75" x14ac:dyDescent="0.2">
      <c r="A3" s="2432" t="s">
        <v>1513</v>
      </c>
      <c r="B3" s="2428"/>
      <c r="C3" s="2428"/>
      <c r="D3" s="242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6"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Will County SD 92</v>
      </c>
      <c r="B1" s="2436"/>
      <c r="C1" s="2436"/>
      <c r="D1" s="2436"/>
      <c r="E1" s="2436"/>
    </row>
    <row r="2" spans="1:5" x14ac:dyDescent="0.2">
      <c r="A2" s="2437">
        <f>'Single Audit Cover'!E7</f>
        <v>56099092002</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829476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27676</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-86912</v>
      </c>
    </row>
    <row r="19" spans="1:4" ht="13.5" thickBot="1" x14ac:dyDescent="0.25">
      <c r="A19" s="1262" t="s">
        <v>1235</v>
      </c>
      <c r="D19" s="1263">
        <f>SUM(D10:D17)</f>
        <v>770240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770240</v>
      </c>
    </row>
    <row r="33" spans="1:4" x14ac:dyDescent="0.2">
      <c r="D33" s="1266"/>
    </row>
    <row r="34" spans="1:4" x14ac:dyDescent="0.2">
      <c r="A34" s="317" t="s">
        <v>1232</v>
      </c>
    </row>
    <row r="35" spans="1:4" x14ac:dyDescent="0.2">
      <c r="A35" s="317" t="s">
        <v>1231</v>
      </c>
      <c r="B35" s="1255" t="s">
        <v>1230</v>
      </c>
      <c r="D35" s="1267">
        <f>+' SEFA'!F43</f>
        <v>770240</v>
      </c>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770240</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68"/>
  <sheetViews>
    <sheetView showGridLines="0" topLeftCell="A16" zoomScaleNormal="100" workbookViewId="0">
      <selection activeCell="I40" sqref="I40"/>
    </sheetView>
  </sheetViews>
  <sheetFormatPr defaultColWidth="33.5703125" defaultRowHeight="12.75" x14ac:dyDescent="0.2"/>
  <cols>
    <col min="1" max="1" width="0.140625" style="317" customWidth="1"/>
    <col min="2" max="2" width="51.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1:14" ht="11.85" customHeight="1" x14ac:dyDescent="0.2">
      <c r="B1" s="2397" t="str">
        <f>'Single Audit Cover'!A7</f>
        <v>Will County SD 92</v>
      </c>
      <c r="C1" s="2440"/>
      <c r="D1" s="2440"/>
      <c r="E1" s="2440"/>
      <c r="F1" s="2440"/>
      <c r="G1" s="2440"/>
      <c r="H1" s="2440"/>
      <c r="I1" s="2440"/>
      <c r="J1" s="2440"/>
      <c r="K1" s="2440"/>
      <c r="L1" s="2440"/>
      <c r="M1" s="2440"/>
    </row>
    <row r="2" spans="1:14" ht="15" x14ac:dyDescent="0.2">
      <c r="B2" s="2441">
        <f>'Single Audit Cover'!E7</f>
        <v>56099092002</v>
      </c>
      <c r="C2" s="2441"/>
      <c r="D2" s="2441"/>
      <c r="E2" s="2441"/>
      <c r="F2" s="2441"/>
      <c r="G2" s="2441"/>
      <c r="H2" s="2441"/>
      <c r="I2" s="2441"/>
      <c r="J2" s="2441"/>
      <c r="K2" s="2441"/>
      <c r="L2" s="2441"/>
      <c r="M2" s="2441"/>
      <c r="N2" s="1299"/>
    </row>
    <row r="3" spans="1:14" ht="15" x14ac:dyDescent="0.2">
      <c r="B3" s="2442" t="s">
        <v>1219</v>
      </c>
      <c r="C3" s="2442"/>
      <c r="D3" s="2442"/>
      <c r="E3" s="2442"/>
      <c r="F3" s="2442"/>
      <c r="G3" s="2442"/>
      <c r="H3" s="2442"/>
      <c r="I3" s="2442"/>
      <c r="J3" s="2442"/>
      <c r="K3" s="2442"/>
      <c r="L3" s="2442"/>
      <c r="M3" s="2442"/>
      <c r="N3" s="1299"/>
    </row>
    <row r="4" spans="1:14" ht="15" x14ac:dyDescent="0.2">
      <c r="B4" s="2443" t="str">
        <f>'Single Audit Cover'!A4</f>
        <v>Year Ending June 30, 2019</v>
      </c>
      <c r="C4" s="2443"/>
      <c r="D4" s="2443"/>
      <c r="E4" s="2443"/>
      <c r="F4" s="2443"/>
      <c r="G4" s="2443"/>
      <c r="H4" s="2443"/>
      <c r="I4" s="2443"/>
      <c r="J4" s="2443"/>
      <c r="K4" s="2443"/>
      <c r="L4" s="2443"/>
      <c r="M4" s="2443"/>
      <c r="N4" s="1299"/>
    </row>
    <row r="6" spans="1:14" x14ac:dyDescent="0.2">
      <c r="B6" s="1300"/>
      <c r="C6" s="1301"/>
      <c r="D6" s="1302" t="s">
        <v>1265</v>
      </c>
      <c r="E6" s="1303" t="s">
        <v>527</v>
      </c>
      <c r="F6" s="1304"/>
      <c r="G6" s="1305" t="s">
        <v>1731</v>
      </c>
      <c r="H6" s="1303"/>
      <c r="I6" s="1303"/>
      <c r="J6" s="1303"/>
      <c r="K6" s="1306"/>
      <c r="L6" s="1307"/>
      <c r="M6" s="1308"/>
    </row>
    <row r="7" spans="1:14" x14ac:dyDescent="0.2">
      <c r="B7" s="1309" t="s">
        <v>1581</v>
      </c>
      <c r="C7" s="1310"/>
      <c r="D7" s="1311"/>
      <c r="E7" s="1312"/>
      <c r="F7" s="1313"/>
      <c r="G7" s="1312"/>
      <c r="H7" s="1314" t="s">
        <v>1262</v>
      </c>
      <c r="I7" s="1312"/>
      <c r="J7" s="1315" t="s">
        <v>1262</v>
      </c>
      <c r="K7" s="1316"/>
      <c r="L7" s="1317" t="s">
        <v>1260</v>
      </c>
      <c r="M7" s="1318"/>
    </row>
    <row r="8" spans="1: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1: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1: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1:14" ht="20.100000000000001" customHeight="1" x14ac:dyDescent="0.2">
      <c r="B11" s="1334" t="s">
        <v>2083</v>
      </c>
      <c r="C11" s="1335"/>
      <c r="D11" s="1336"/>
      <c r="E11" s="1337"/>
      <c r="F11" s="1337"/>
      <c r="G11" s="1337"/>
      <c r="H11" s="1337"/>
      <c r="I11" s="1337"/>
      <c r="J11" s="1337"/>
      <c r="K11" s="1337"/>
      <c r="L11" s="1337"/>
      <c r="M11" s="1337"/>
    </row>
    <row r="12" spans="1:14" ht="20.100000000000001" customHeight="1" x14ac:dyDescent="0.2">
      <c r="B12" s="1938" t="s">
        <v>2084</v>
      </c>
      <c r="C12" s="1335"/>
      <c r="D12" s="1336"/>
      <c r="E12" s="1337"/>
      <c r="F12" s="1337"/>
      <c r="G12" s="1337"/>
      <c r="H12" s="1337"/>
      <c r="I12" s="1337"/>
      <c r="J12" s="1337"/>
      <c r="K12" s="1337"/>
      <c r="L12" s="1337"/>
      <c r="M12" s="1337"/>
    </row>
    <row r="13" spans="1:14" ht="20.100000000000001" customHeight="1" x14ac:dyDescent="0.2">
      <c r="B13" s="1334" t="s">
        <v>2085</v>
      </c>
      <c r="C13" s="1335"/>
      <c r="D13" s="1336"/>
      <c r="E13" s="1337"/>
      <c r="F13" s="1337"/>
      <c r="G13" s="1337"/>
      <c r="H13" s="1337"/>
      <c r="I13" s="1337"/>
      <c r="J13" s="1337"/>
      <c r="K13" s="1337"/>
      <c r="L13" s="1337"/>
      <c r="M13" s="1337"/>
    </row>
    <row r="14" spans="1:14" ht="20.100000000000001" customHeight="1" x14ac:dyDescent="0.2">
      <c r="B14" s="1334" t="s">
        <v>1058</v>
      </c>
      <c r="C14" s="1335">
        <v>10.555</v>
      </c>
      <c r="D14" s="1336" t="s">
        <v>2091</v>
      </c>
      <c r="E14" s="1939">
        <v>0</v>
      </c>
      <c r="F14" s="1939">
        <v>110962</v>
      </c>
      <c r="G14" s="1939">
        <v>0</v>
      </c>
      <c r="H14" s="1939">
        <v>0</v>
      </c>
      <c r="I14" s="1939">
        <v>110962</v>
      </c>
      <c r="J14" s="1939">
        <v>0</v>
      </c>
      <c r="K14" s="1939">
        <v>0</v>
      </c>
      <c r="L14" s="1939">
        <f>+G14+I14+K14</f>
        <v>110962</v>
      </c>
      <c r="M14" s="1337" t="s">
        <v>2118</v>
      </c>
    </row>
    <row r="15" spans="1:14" ht="20.100000000000001" customHeight="1" x14ac:dyDescent="0.2">
      <c r="B15" s="1334" t="s">
        <v>1058</v>
      </c>
      <c r="C15" s="1335">
        <v>10.555</v>
      </c>
      <c r="D15" s="1336" t="s">
        <v>2092</v>
      </c>
      <c r="E15" s="1939">
        <v>118005</v>
      </c>
      <c r="F15" s="1939">
        <v>20343</v>
      </c>
      <c r="G15" s="1939">
        <v>118005</v>
      </c>
      <c r="H15" s="1939">
        <v>0</v>
      </c>
      <c r="I15" s="1939">
        <v>20343</v>
      </c>
      <c r="J15" s="1939">
        <v>0</v>
      </c>
      <c r="K15" s="1939">
        <v>0</v>
      </c>
      <c r="L15" s="1939">
        <f>+G15+I15+K15</f>
        <v>138348</v>
      </c>
      <c r="M15" s="1337" t="s">
        <v>2118</v>
      </c>
    </row>
    <row r="16" spans="1:14" ht="20.100000000000001" customHeight="1" x14ac:dyDescent="0.2">
      <c r="A16" s="1275"/>
      <c r="B16" s="1941" t="s">
        <v>2086</v>
      </c>
      <c r="C16" s="1942"/>
      <c r="D16" s="1943"/>
      <c r="E16" s="1944"/>
      <c r="F16" s="1944"/>
      <c r="G16" s="1944"/>
      <c r="H16" s="1944">
        <v>0</v>
      </c>
      <c r="I16" s="1944"/>
      <c r="J16" s="1944">
        <v>0</v>
      </c>
      <c r="K16" s="1944">
        <v>0</v>
      </c>
      <c r="L16" s="1944"/>
      <c r="M16" s="1945"/>
    </row>
    <row r="17" spans="1:13" ht="20.100000000000001" customHeight="1" x14ac:dyDescent="0.2">
      <c r="A17" s="1275"/>
      <c r="B17" s="1941" t="s">
        <v>2087</v>
      </c>
      <c r="C17" s="1942">
        <v>10.555</v>
      </c>
      <c r="D17" s="1943" t="s">
        <v>2093</v>
      </c>
      <c r="E17" s="1944">
        <v>0</v>
      </c>
      <c r="F17" s="1944">
        <v>16426</v>
      </c>
      <c r="G17" s="1944">
        <v>0</v>
      </c>
      <c r="H17" s="1944">
        <v>0</v>
      </c>
      <c r="I17" s="1944">
        <v>16426</v>
      </c>
      <c r="J17" s="1944">
        <v>0</v>
      </c>
      <c r="K17" s="1944">
        <v>0</v>
      </c>
      <c r="L17" s="1944">
        <f>+G17+I17+K17</f>
        <v>16426</v>
      </c>
      <c r="M17" s="1945" t="s">
        <v>2118</v>
      </c>
    </row>
    <row r="18" spans="1:13" ht="20.100000000000001" customHeight="1" x14ac:dyDescent="0.2">
      <c r="A18" s="1275"/>
      <c r="B18" s="1941" t="s">
        <v>2087</v>
      </c>
      <c r="C18" s="1942">
        <v>10.555</v>
      </c>
      <c r="D18" s="1943" t="s">
        <v>2094</v>
      </c>
      <c r="E18" s="1944">
        <v>17450</v>
      </c>
      <c r="F18" s="1944">
        <v>0</v>
      </c>
      <c r="G18" s="1944">
        <v>17450</v>
      </c>
      <c r="H18" s="1944">
        <v>0</v>
      </c>
      <c r="I18" s="1944">
        <v>0</v>
      </c>
      <c r="J18" s="1944">
        <v>0</v>
      </c>
      <c r="K18" s="1944">
        <v>0</v>
      </c>
      <c r="L18" s="1944">
        <f>+G18+I18+K18</f>
        <v>17450</v>
      </c>
      <c r="M18" s="1945" t="s">
        <v>2118</v>
      </c>
    </row>
    <row r="19" spans="1:13" ht="20.100000000000001" customHeight="1" x14ac:dyDescent="0.2">
      <c r="A19" s="1275"/>
      <c r="B19" s="1941" t="s">
        <v>2088</v>
      </c>
      <c r="C19" s="1942">
        <v>10.555</v>
      </c>
      <c r="D19" s="1943" t="s">
        <v>2093</v>
      </c>
      <c r="E19" s="1944">
        <v>0</v>
      </c>
      <c r="F19" s="1944">
        <v>11250</v>
      </c>
      <c r="G19" s="1944">
        <v>0</v>
      </c>
      <c r="H19" s="1944">
        <v>0</v>
      </c>
      <c r="I19" s="1944">
        <v>11250</v>
      </c>
      <c r="J19" s="1944">
        <v>0</v>
      </c>
      <c r="K19" s="1944">
        <v>0</v>
      </c>
      <c r="L19" s="1944">
        <f>+G19+I19+K19</f>
        <v>11250</v>
      </c>
      <c r="M19" s="1945" t="s">
        <v>2118</v>
      </c>
    </row>
    <row r="20" spans="1:13" ht="20.100000000000001" customHeight="1" x14ac:dyDescent="0.2">
      <c r="A20" s="1275"/>
      <c r="B20" s="1941" t="s">
        <v>2088</v>
      </c>
      <c r="C20" s="1942">
        <v>10.555</v>
      </c>
      <c r="D20" s="1943" t="s">
        <v>2094</v>
      </c>
      <c r="E20" s="1944">
        <v>16495</v>
      </c>
      <c r="F20" s="1944">
        <v>0</v>
      </c>
      <c r="G20" s="1944">
        <v>16495</v>
      </c>
      <c r="H20" s="1944">
        <v>0</v>
      </c>
      <c r="I20" s="1944">
        <v>0</v>
      </c>
      <c r="J20" s="1944">
        <v>0</v>
      </c>
      <c r="K20" s="1944">
        <v>0</v>
      </c>
      <c r="L20" s="1944">
        <f>+G20+I20+K20</f>
        <v>16495</v>
      </c>
      <c r="M20" s="1945" t="s">
        <v>2118</v>
      </c>
    </row>
    <row r="21" spans="1:13" ht="20.100000000000001" customHeight="1" x14ac:dyDescent="0.2">
      <c r="A21" s="1275"/>
      <c r="B21" s="1941" t="s">
        <v>2089</v>
      </c>
      <c r="C21" s="1942"/>
      <c r="D21" s="1943"/>
      <c r="E21" s="1944">
        <f>SUBTOTAL(109,E14:E20)</f>
        <v>151950</v>
      </c>
      <c r="F21" s="1944">
        <f>SUBTOTAL(109,F14:F20)</f>
        <v>158981</v>
      </c>
      <c r="G21" s="1944">
        <f>SUBTOTAL(109,G14:G20)</f>
        <v>151950</v>
      </c>
      <c r="H21" s="1944">
        <v>0</v>
      </c>
      <c r="I21" s="1944">
        <f>SUBTOTAL(109,I14:I20)</f>
        <v>158981</v>
      </c>
      <c r="J21" s="1944">
        <v>0</v>
      </c>
      <c r="K21" s="1944">
        <v>0</v>
      </c>
      <c r="L21" s="1944">
        <f>SUBTOTAL(109,L14:L20)</f>
        <v>310931</v>
      </c>
      <c r="M21" s="1945" t="s">
        <v>2118</v>
      </c>
    </row>
    <row r="22" spans="1:13" ht="20.100000000000001" customHeight="1" x14ac:dyDescent="0.2">
      <c r="B22" s="1334" t="s">
        <v>2090</v>
      </c>
      <c r="C22" s="1335"/>
      <c r="D22" s="1336"/>
      <c r="E22" s="1939"/>
      <c r="F22" s="1939"/>
      <c r="G22" s="1939"/>
      <c r="H22" s="1939"/>
      <c r="I22" s="1939"/>
      <c r="J22" s="1939"/>
      <c r="K22" s="1939"/>
      <c r="L22" s="1939"/>
      <c r="M22" s="1337"/>
    </row>
    <row r="23" spans="1:13" ht="20.100000000000001" customHeight="1" x14ac:dyDescent="0.2">
      <c r="B23" s="1938" t="s">
        <v>2084</v>
      </c>
      <c r="C23" s="1335"/>
      <c r="D23" s="1336"/>
      <c r="E23" s="1939"/>
      <c r="F23" s="1939"/>
      <c r="G23" s="1939"/>
      <c r="H23" s="1939"/>
      <c r="I23" s="1939"/>
      <c r="J23" s="1939"/>
      <c r="K23" s="1939"/>
      <c r="L23" s="1939"/>
      <c r="M23" s="1337"/>
    </row>
    <row r="24" spans="1:13" ht="20.100000000000001" customHeight="1" x14ac:dyDescent="0.2">
      <c r="B24" s="1334" t="s">
        <v>2095</v>
      </c>
      <c r="C24" s="1335"/>
      <c r="D24" s="1336"/>
      <c r="E24" s="1939"/>
      <c r="F24" s="1939"/>
      <c r="G24" s="1939"/>
      <c r="H24" s="1939"/>
      <c r="I24" s="1939"/>
      <c r="J24" s="1939"/>
      <c r="K24" s="1939"/>
      <c r="L24" s="1939"/>
      <c r="M24" s="1337"/>
    </row>
    <row r="25" spans="1:13" ht="20.100000000000001" customHeight="1" x14ac:dyDescent="0.2">
      <c r="B25" s="1334" t="s">
        <v>2096</v>
      </c>
      <c r="C25" s="1335" t="s">
        <v>2101</v>
      </c>
      <c r="D25" s="1336" t="s">
        <v>2103</v>
      </c>
      <c r="E25" s="1939">
        <v>0</v>
      </c>
      <c r="F25" s="1939">
        <v>19209</v>
      </c>
      <c r="G25" s="1939">
        <v>0</v>
      </c>
      <c r="H25" s="1939">
        <v>0</v>
      </c>
      <c r="I25" s="1939">
        <v>19209</v>
      </c>
      <c r="J25" s="1939">
        <v>0</v>
      </c>
      <c r="K25" s="1939">
        <v>0</v>
      </c>
      <c r="L25" s="1939">
        <f>+G25+I25+K25</f>
        <v>19209</v>
      </c>
      <c r="M25" s="1939">
        <v>20409</v>
      </c>
    </row>
    <row r="26" spans="1:13" ht="20.100000000000001" customHeight="1" x14ac:dyDescent="0.2">
      <c r="B26" s="1334" t="s">
        <v>2097</v>
      </c>
      <c r="C26" s="1335" t="s">
        <v>2101</v>
      </c>
      <c r="D26" s="1336" t="s">
        <v>2104</v>
      </c>
      <c r="E26" s="1939">
        <v>19894</v>
      </c>
      <c r="F26" s="1939">
        <v>467</v>
      </c>
      <c r="G26" s="1939">
        <v>20361</v>
      </c>
      <c r="H26" s="1939">
        <v>0</v>
      </c>
      <c r="I26" s="1939">
        <v>0</v>
      </c>
      <c r="J26" s="1939">
        <v>0</v>
      </c>
      <c r="K26" s="1939">
        <v>0</v>
      </c>
      <c r="L26" s="1939">
        <f>+G26+I26+K26</f>
        <v>20361</v>
      </c>
      <c r="M26" s="1939">
        <v>22323</v>
      </c>
    </row>
    <row r="27" spans="1:13" ht="20.100000000000001" customHeight="1" x14ac:dyDescent="0.2">
      <c r="B27" s="1334" t="s">
        <v>2098</v>
      </c>
      <c r="C27" s="1335" t="s">
        <v>2102</v>
      </c>
      <c r="D27" s="1336" t="s">
        <v>2105</v>
      </c>
      <c r="E27" s="1939">
        <v>0</v>
      </c>
      <c r="F27" s="1939">
        <f>356866-F28</f>
        <v>356516</v>
      </c>
      <c r="G27" s="1939">
        <v>0</v>
      </c>
      <c r="H27" s="1939">
        <v>0</v>
      </c>
      <c r="I27" s="1939">
        <v>356866</v>
      </c>
      <c r="J27" s="1939">
        <v>0</v>
      </c>
      <c r="K27" s="1939">
        <v>0</v>
      </c>
      <c r="L27" s="1939">
        <f>+G27+I27+K27</f>
        <v>356866</v>
      </c>
      <c r="M27" s="1939">
        <v>364683</v>
      </c>
    </row>
    <row r="28" spans="1:13" ht="20.100000000000001" customHeight="1" x14ac:dyDescent="0.2">
      <c r="B28" s="1334" t="s">
        <v>2099</v>
      </c>
      <c r="C28" s="1338" t="s">
        <v>2102</v>
      </c>
      <c r="D28" s="1339" t="s">
        <v>2106</v>
      </c>
      <c r="E28" s="1940">
        <v>378682</v>
      </c>
      <c r="F28" s="1940">
        <v>350</v>
      </c>
      <c r="G28" s="1940">
        <v>379032</v>
      </c>
      <c r="H28" s="1940">
        <v>0</v>
      </c>
      <c r="I28" s="1940">
        <v>0</v>
      </c>
      <c r="J28" s="1940">
        <v>0</v>
      </c>
      <c r="K28" s="1940">
        <v>0</v>
      </c>
      <c r="L28" s="1939">
        <f>+G28+I28+K28</f>
        <v>379032</v>
      </c>
      <c r="M28" s="1940">
        <v>380614</v>
      </c>
    </row>
    <row r="29" spans="1:13" ht="20.100000000000001" customHeight="1" x14ac:dyDescent="0.2">
      <c r="B29" s="1334" t="s">
        <v>2100</v>
      </c>
      <c r="C29" s="1338"/>
      <c r="D29" s="1339"/>
      <c r="E29" s="1944">
        <f>SUBTOTAL(109,E25:E28)</f>
        <v>398576</v>
      </c>
      <c r="F29" s="1944">
        <f>SUBTOTAL(109,F25:F28)</f>
        <v>376542</v>
      </c>
      <c r="G29" s="1944">
        <f>SUBTOTAL(109,G25:G28)</f>
        <v>399393</v>
      </c>
      <c r="H29" s="1940">
        <v>0</v>
      </c>
      <c r="I29" s="1944">
        <f>SUBTOTAL(109,I25:I28)</f>
        <v>376075</v>
      </c>
      <c r="J29" s="1940">
        <v>0</v>
      </c>
      <c r="K29" s="1940">
        <v>0</v>
      </c>
      <c r="L29" s="1944">
        <f>SUBTOTAL(109,L25:L28)</f>
        <v>775468</v>
      </c>
      <c r="M29" s="1940" t="s">
        <v>2118</v>
      </c>
    </row>
    <row r="30" spans="1:13" ht="20.100000000000001" customHeight="1" x14ac:dyDescent="0.2">
      <c r="B30" s="1334" t="s">
        <v>918</v>
      </c>
      <c r="C30" s="1338" t="s">
        <v>2109</v>
      </c>
      <c r="D30" s="1339" t="s">
        <v>2112</v>
      </c>
      <c r="E30" s="1940">
        <v>0</v>
      </c>
      <c r="F30" s="1940">
        <f>156992-F31</f>
        <v>134569</v>
      </c>
      <c r="G30" s="1940">
        <v>0</v>
      </c>
      <c r="H30" s="1940">
        <v>0</v>
      </c>
      <c r="I30" s="1940">
        <v>144895</v>
      </c>
      <c r="J30" s="1940">
        <v>0</v>
      </c>
      <c r="K30" s="1940">
        <v>0</v>
      </c>
      <c r="L30" s="1939">
        <f t="shared" ref="L30:L42" si="0">+G30+I30+K30</f>
        <v>144895</v>
      </c>
      <c r="M30" s="1940">
        <v>164951</v>
      </c>
    </row>
    <row r="31" spans="1:13" ht="20.100000000000001" customHeight="1" x14ac:dyDescent="0.2">
      <c r="B31" s="1334" t="s">
        <v>918</v>
      </c>
      <c r="C31" s="1338" t="s">
        <v>2109</v>
      </c>
      <c r="D31" s="1339" t="s">
        <v>2113</v>
      </c>
      <c r="E31" s="1940">
        <v>142878</v>
      </c>
      <c r="F31" s="1940">
        <v>22423</v>
      </c>
      <c r="G31" s="1940">
        <v>148483</v>
      </c>
      <c r="H31" s="1940">
        <v>0</v>
      </c>
      <c r="I31" s="1940">
        <v>16818</v>
      </c>
      <c r="J31" s="1940">
        <v>0</v>
      </c>
      <c r="K31" s="1940">
        <v>0</v>
      </c>
      <c r="L31" s="1939">
        <f t="shared" si="0"/>
        <v>165301</v>
      </c>
      <c r="M31" s="1940">
        <v>179147</v>
      </c>
    </row>
    <row r="32" spans="1:13" ht="20.100000000000001" customHeight="1" x14ac:dyDescent="0.2">
      <c r="B32" s="1334" t="s">
        <v>758</v>
      </c>
      <c r="C32" s="1338" t="s">
        <v>2110</v>
      </c>
      <c r="D32" s="1339" t="s">
        <v>2114</v>
      </c>
      <c r="E32" s="1940">
        <v>0</v>
      </c>
      <c r="F32" s="1940">
        <v>35944</v>
      </c>
      <c r="G32" s="1940">
        <v>0</v>
      </c>
      <c r="H32" s="1940">
        <v>0</v>
      </c>
      <c r="I32" s="1940">
        <v>35944</v>
      </c>
      <c r="J32" s="1940">
        <v>0</v>
      </c>
      <c r="K32" s="1940">
        <v>0</v>
      </c>
      <c r="L32" s="1939">
        <f t="shared" si="0"/>
        <v>35944</v>
      </c>
      <c r="M32" s="1940">
        <v>36615</v>
      </c>
    </row>
    <row r="33" spans="2:14" ht="20.100000000000001" customHeight="1" x14ac:dyDescent="0.2">
      <c r="B33" s="1334" t="s">
        <v>758</v>
      </c>
      <c r="C33" s="1338" t="s">
        <v>2110</v>
      </c>
      <c r="D33" s="1339" t="s">
        <v>2115</v>
      </c>
      <c r="E33" s="1940">
        <v>36724</v>
      </c>
      <c r="F33" s="1940">
        <v>1361</v>
      </c>
      <c r="G33" s="1940">
        <v>37323</v>
      </c>
      <c r="H33" s="1940">
        <v>0</v>
      </c>
      <c r="I33" s="1940">
        <v>762</v>
      </c>
      <c r="J33" s="1940">
        <v>0</v>
      </c>
      <c r="K33" s="1940">
        <v>0</v>
      </c>
      <c r="L33" s="1939">
        <f t="shared" si="0"/>
        <v>38085</v>
      </c>
      <c r="M33" s="1940">
        <v>39608</v>
      </c>
    </row>
    <row r="34" spans="2:14" ht="20.100000000000001" customHeight="1" x14ac:dyDescent="0.2">
      <c r="B34" s="1334" t="s">
        <v>2107</v>
      </c>
      <c r="C34" s="1338" t="s">
        <v>2111</v>
      </c>
      <c r="D34" s="1339" t="s">
        <v>2116</v>
      </c>
      <c r="E34" s="1940">
        <v>0</v>
      </c>
      <c r="F34" s="1940">
        <v>11278</v>
      </c>
      <c r="G34" s="1940">
        <v>0</v>
      </c>
      <c r="H34" s="1940">
        <v>0</v>
      </c>
      <c r="I34" s="1940">
        <v>11278</v>
      </c>
      <c r="J34" s="1940">
        <v>0</v>
      </c>
      <c r="K34" s="1940">
        <v>0</v>
      </c>
      <c r="L34" s="1939">
        <f t="shared" si="0"/>
        <v>11278</v>
      </c>
      <c r="M34" s="1940">
        <v>19160</v>
      </c>
    </row>
    <row r="35" spans="2:14" ht="20.100000000000001" customHeight="1" x14ac:dyDescent="0.2">
      <c r="B35" s="1334" t="s">
        <v>2107</v>
      </c>
      <c r="C35" s="1338" t="s">
        <v>2111</v>
      </c>
      <c r="D35" s="1339" t="s">
        <v>2117</v>
      </c>
      <c r="E35" s="1940">
        <v>6482</v>
      </c>
      <c r="F35" s="1940">
        <v>3518</v>
      </c>
      <c r="G35" s="1940">
        <v>9562</v>
      </c>
      <c r="H35" s="1940">
        <v>0</v>
      </c>
      <c r="I35" s="1940">
        <v>438</v>
      </c>
      <c r="J35" s="1940">
        <v>0</v>
      </c>
      <c r="K35" s="1940">
        <v>0</v>
      </c>
      <c r="L35" s="1939">
        <f t="shared" si="0"/>
        <v>10000</v>
      </c>
      <c r="M35" s="1940">
        <v>10000</v>
      </c>
    </row>
    <row r="36" spans="2:14" ht="20.100000000000001" customHeight="1" x14ac:dyDescent="0.2">
      <c r="B36" s="1334" t="s">
        <v>2108</v>
      </c>
      <c r="C36" s="1338"/>
      <c r="D36" s="1339"/>
      <c r="E36" s="1944">
        <f>SUBTOTAL(109,E30:E35)</f>
        <v>186084</v>
      </c>
      <c r="F36" s="1944">
        <f>SUBTOTAL(109,F30:F35)</f>
        <v>209093</v>
      </c>
      <c r="G36" s="1944">
        <f>SUBTOTAL(109,G30:G35)</f>
        <v>195368</v>
      </c>
      <c r="H36" s="1940">
        <v>0</v>
      </c>
      <c r="I36" s="1944">
        <f>SUBTOTAL(109,I30:I35)</f>
        <v>210135</v>
      </c>
      <c r="J36" s="1940">
        <v>0</v>
      </c>
      <c r="K36" s="1940">
        <v>0</v>
      </c>
      <c r="L36" s="1944">
        <f>SUBTOTAL(109,L30:L35)</f>
        <v>405503</v>
      </c>
      <c r="M36" s="1340" t="s">
        <v>2118</v>
      </c>
    </row>
    <row r="37" spans="2:14" ht="20.100000000000001" customHeight="1" x14ac:dyDescent="0.2">
      <c r="B37" s="1334" t="s">
        <v>2119</v>
      </c>
      <c r="C37" s="1338"/>
      <c r="D37" s="1339"/>
      <c r="E37" s="1940"/>
      <c r="F37" s="1940"/>
      <c r="G37" s="1940"/>
      <c r="H37" s="1940"/>
      <c r="I37" s="1940"/>
      <c r="J37" s="1940"/>
      <c r="K37" s="1940"/>
      <c r="L37" s="1939">
        <f t="shared" si="0"/>
        <v>0</v>
      </c>
      <c r="M37" s="1340"/>
    </row>
    <row r="38" spans="2:14" ht="20.100000000000001" customHeight="1" x14ac:dyDescent="0.2">
      <c r="B38" s="1938" t="s">
        <v>2120</v>
      </c>
      <c r="C38" s="1338"/>
      <c r="D38" s="1339"/>
      <c r="E38" s="1940"/>
      <c r="F38" s="1940"/>
      <c r="G38" s="1940"/>
      <c r="H38" s="1940"/>
      <c r="I38" s="1940"/>
      <c r="J38" s="1940"/>
      <c r="K38" s="1940"/>
      <c r="L38" s="1939">
        <f t="shared" si="0"/>
        <v>0</v>
      </c>
      <c r="M38" s="1340"/>
    </row>
    <row r="39" spans="2:14" ht="20.100000000000001" customHeight="1" x14ac:dyDescent="0.2">
      <c r="B39" s="1334" t="s">
        <v>2121</v>
      </c>
      <c r="C39" s="1338">
        <v>93.778000000000006</v>
      </c>
      <c r="D39" s="1339" t="s">
        <v>2124</v>
      </c>
      <c r="E39" s="1940">
        <v>0</v>
      </c>
      <c r="F39" s="1940">
        <v>25624</v>
      </c>
      <c r="G39" s="1940">
        <v>0</v>
      </c>
      <c r="H39" s="1940">
        <v>0</v>
      </c>
      <c r="I39" s="1940">
        <v>25624</v>
      </c>
      <c r="J39" s="1940">
        <v>0</v>
      </c>
      <c r="K39" s="1940">
        <v>0</v>
      </c>
      <c r="L39" s="1939">
        <f t="shared" si="0"/>
        <v>25624</v>
      </c>
      <c r="M39" s="1340" t="s">
        <v>2118</v>
      </c>
    </row>
    <row r="40" spans="2:14" ht="20.100000000000001" customHeight="1" x14ac:dyDescent="0.2">
      <c r="B40" s="1334" t="s">
        <v>2121</v>
      </c>
      <c r="C40" s="1338">
        <v>93.778000000000006</v>
      </c>
      <c r="D40" s="1339" t="s">
        <v>2125</v>
      </c>
      <c r="E40" s="1940">
        <v>30681</v>
      </c>
      <c r="F40" s="1940">
        <v>0</v>
      </c>
      <c r="G40" s="1940">
        <v>30681</v>
      </c>
      <c r="H40" s="1940">
        <v>0</v>
      </c>
      <c r="I40" s="1940">
        <v>0</v>
      </c>
      <c r="J40" s="1940">
        <v>0</v>
      </c>
      <c r="K40" s="1940">
        <v>0</v>
      </c>
      <c r="L40" s="1939">
        <f t="shared" si="0"/>
        <v>30681</v>
      </c>
      <c r="M40" s="1340" t="s">
        <v>2118</v>
      </c>
    </row>
    <row r="41" spans="2:14" ht="20.100000000000001" customHeight="1" x14ac:dyDescent="0.2">
      <c r="B41" s="1334" t="s">
        <v>2122</v>
      </c>
      <c r="C41" s="1338"/>
      <c r="D41" s="1339"/>
      <c r="E41" s="1944">
        <f>SUBTOTAL(109,E39:E40)</f>
        <v>30681</v>
      </c>
      <c r="F41" s="1944">
        <f>SUBTOTAL(109,F39:F40)</f>
        <v>25624</v>
      </c>
      <c r="G41" s="1944">
        <f>SUBTOTAL(109,G39:G40)</f>
        <v>30681</v>
      </c>
      <c r="H41" s="1940">
        <v>0</v>
      </c>
      <c r="I41" s="1944">
        <f>SUBTOTAL(109,I39:I40)</f>
        <v>25624</v>
      </c>
      <c r="J41" s="1940">
        <v>0</v>
      </c>
      <c r="K41" s="1940">
        <v>0</v>
      </c>
      <c r="L41" s="1944">
        <f>SUBTOTAL(109,L39:L40)</f>
        <v>56305</v>
      </c>
      <c r="M41" s="1340" t="s">
        <v>2118</v>
      </c>
    </row>
    <row r="42" spans="2:14" ht="20.100000000000001" customHeight="1" x14ac:dyDescent="0.2">
      <c r="B42" s="1334"/>
      <c r="C42" s="1338"/>
      <c r="D42" s="1339"/>
      <c r="E42" s="1940"/>
      <c r="F42" s="1940"/>
      <c r="G42" s="1940"/>
      <c r="H42" s="1940"/>
      <c r="I42" s="1940"/>
      <c r="J42" s="1940"/>
      <c r="K42" s="1940"/>
      <c r="L42" s="1939">
        <f t="shared" si="0"/>
        <v>0</v>
      </c>
      <c r="M42" s="1340"/>
    </row>
    <row r="43" spans="2:14" ht="20.100000000000001" customHeight="1" x14ac:dyDescent="0.2">
      <c r="B43" s="1334" t="s">
        <v>2123</v>
      </c>
      <c r="C43" s="1338"/>
      <c r="D43" s="1339"/>
      <c r="E43" s="1944">
        <f>SUBTOTAL(109,E11:E42)</f>
        <v>767291</v>
      </c>
      <c r="F43" s="1944">
        <f>SUBTOTAL(109,F11:F42)</f>
        <v>770240</v>
      </c>
      <c r="G43" s="1944">
        <f>SUBTOTAL(109,G11:G42)</f>
        <v>777392</v>
      </c>
      <c r="H43" s="1940">
        <v>0</v>
      </c>
      <c r="I43" s="1944">
        <f>SUBTOTAL(109,I11:I42)</f>
        <v>770815</v>
      </c>
      <c r="J43" s="1940">
        <v>0</v>
      </c>
      <c r="K43" s="1940">
        <v>0</v>
      </c>
      <c r="L43" s="1944">
        <f>SUBTOTAL(109,L11:L42)</f>
        <v>1548207</v>
      </c>
      <c r="M43" s="1340" t="s">
        <v>2118</v>
      </c>
      <c r="N43" s="1341"/>
    </row>
    <row r="44" spans="2:14" ht="12.75" customHeight="1" x14ac:dyDescent="0.2">
      <c r="B44" s="1342"/>
      <c r="C44" s="1343"/>
      <c r="D44" s="1344"/>
      <c r="E44" s="1345"/>
      <c r="F44" s="1345"/>
      <c r="G44" s="1345"/>
      <c r="H44" s="1345"/>
      <c r="I44" s="1345"/>
      <c r="J44" s="1345"/>
      <c r="K44" s="1345"/>
      <c r="L44" s="1345"/>
      <c r="M44" s="1345"/>
      <c r="N44" s="1341"/>
    </row>
    <row r="45" spans="2:14" x14ac:dyDescent="0.2">
      <c r="B45" s="1254"/>
      <c r="C45" s="1346"/>
      <c r="D45" s="1347"/>
      <c r="E45" s="1254"/>
      <c r="F45" s="1254"/>
      <c r="G45" s="1247"/>
      <c r="H45" s="1247"/>
      <c r="I45" s="1247"/>
      <c r="J45" s="1247"/>
      <c r="K45" s="1247"/>
      <c r="L45" s="1247"/>
      <c r="M45" s="1254"/>
      <c r="N45" s="1341"/>
    </row>
    <row r="46" spans="2:14" ht="13.5" customHeight="1" x14ac:dyDescent="0.2">
      <c r="B46" s="1279" t="s">
        <v>1734</v>
      </c>
      <c r="C46" s="1346"/>
      <c r="D46" s="1347"/>
      <c r="E46" s="1254"/>
      <c r="F46" s="1254"/>
      <c r="G46" s="1247"/>
      <c r="H46" s="1247"/>
      <c r="I46" s="1247"/>
      <c r="J46" s="1247"/>
      <c r="K46" s="1247"/>
      <c r="L46" s="1247"/>
      <c r="M46" s="1254"/>
      <c r="N46" s="1341"/>
    </row>
    <row r="47" spans="2:14" ht="8.25" customHeight="1" x14ac:dyDescent="0.2">
      <c r="B47" s="1279"/>
      <c r="C47" s="1346"/>
      <c r="D47" s="1347"/>
      <c r="E47" s="1254"/>
      <c r="F47" s="1254"/>
      <c r="G47" s="1247"/>
      <c r="H47" s="1247"/>
      <c r="I47" s="1247"/>
      <c r="J47" s="1247"/>
      <c r="K47" s="1247"/>
      <c r="L47" s="1247"/>
      <c r="M47" s="1254"/>
      <c r="N47" s="1341"/>
    </row>
    <row r="48" spans="2:14" x14ac:dyDescent="0.2">
      <c r="B48" s="1348" t="s">
        <v>1837</v>
      </c>
      <c r="C48" s="1349"/>
      <c r="D48" s="1350"/>
      <c r="E48" s="1351"/>
      <c r="F48" s="1351"/>
      <c r="G48" s="1351"/>
      <c r="H48" s="1351"/>
      <c r="I48" s="317"/>
      <c r="J48" s="317"/>
    </row>
    <row r="49" spans="2:13" x14ac:dyDescent="0.2">
      <c r="B49" s="1274"/>
      <c r="C49" s="1352"/>
      <c r="D49" s="1353"/>
      <c r="E49" s="1275"/>
      <c r="F49" s="1275"/>
      <c r="G49" s="317"/>
      <c r="H49" s="317"/>
      <c r="I49" s="317"/>
      <c r="J49" s="317"/>
    </row>
    <row r="50" spans="2:13" ht="13.5" customHeight="1" x14ac:dyDescent="0.2">
      <c r="B50" s="1273" t="s">
        <v>1246</v>
      </c>
      <c r="G50" s="317"/>
      <c r="H50" s="317"/>
      <c r="I50" s="317"/>
      <c r="J50" s="317"/>
    </row>
    <row r="51" spans="2:13" ht="13.5" customHeight="1" x14ac:dyDescent="0.2">
      <c r="B51" s="1356"/>
      <c r="C51" s="1357"/>
      <c r="D51" s="1358"/>
      <c r="E51" s="1294"/>
      <c r="F51" s="1294"/>
      <c r="G51" s="1294"/>
      <c r="H51" s="1294"/>
      <c r="I51" s="1294"/>
      <c r="J51" s="1294"/>
      <c r="K51" s="1359"/>
      <c r="L51" s="1359"/>
      <c r="M51" s="1294"/>
    </row>
    <row r="52" spans="2:13" ht="9.6" customHeight="1" x14ac:dyDescent="0.2">
      <c r="B52" s="1360"/>
      <c r="G52" s="317"/>
      <c r="H52" s="317"/>
      <c r="I52" s="317"/>
      <c r="J52" s="317"/>
    </row>
    <row r="53" spans="2:13" ht="11.25" customHeight="1" x14ac:dyDescent="0.2">
      <c r="B53" s="1361" t="s">
        <v>1735</v>
      </c>
      <c r="C53" s="1362"/>
      <c r="D53" s="1362"/>
      <c r="E53" s="1362"/>
      <c r="F53" s="1362"/>
      <c r="G53" s="1362"/>
      <c r="H53" s="1362"/>
      <c r="I53" s="1363"/>
      <c r="J53" s="1363"/>
      <c r="K53" s="1363"/>
      <c r="L53" s="1363"/>
      <c r="M53" s="1363"/>
    </row>
    <row r="54" spans="2:13" ht="11.25" customHeight="1" x14ac:dyDescent="0.2">
      <c r="B54" s="1364" t="s">
        <v>1584</v>
      </c>
      <c r="C54" s="1363"/>
      <c r="D54" s="1363"/>
      <c r="E54" s="1363"/>
      <c r="F54" s="1363"/>
      <c r="G54" s="1363"/>
      <c r="H54" s="1363"/>
      <c r="I54" s="1363"/>
      <c r="J54" s="1363"/>
      <c r="K54" s="1363"/>
      <c r="L54" s="1363"/>
      <c r="M54" s="1363"/>
    </row>
    <row r="55" spans="2:13" ht="3.95" customHeight="1" x14ac:dyDescent="0.2">
      <c r="B55" s="1364"/>
      <c r="C55" s="1363"/>
      <c r="D55" s="1363"/>
      <c r="E55" s="1363"/>
      <c r="F55" s="1363"/>
      <c r="G55" s="1363"/>
      <c r="H55" s="1363"/>
      <c r="I55" s="1363"/>
      <c r="J55" s="1363"/>
      <c r="K55" s="1363"/>
      <c r="L55" s="1363"/>
      <c r="M55" s="1363"/>
    </row>
    <row r="56" spans="2:13" ht="11.25" customHeight="1" x14ac:dyDescent="0.2">
      <c r="B56" s="1361" t="s">
        <v>1736</v>
      </c>
      <c r="C56" s="1363"/>
      <c r="D56" s="1363"/>
      <c r="E56" s="1363"/>
      <c r="F56" s="1363"/>
      <c r="G56" s="1363"/>
      <c r="H56" s="1363"/>
      <c r="I56" s="1363"/>
      <c r="J56" s="1363"/>
      <c r="K56" s="1363"/>
      <c r="L56" s="1363"/>
      <c r="M56" s="1363"/>
    </row>
    <row r="57" spans="2:13" ht="11.25" customHeight="1" x14ac:dyDescent="0.2">
      <c r="B57" s="1297" t="s">
        <v>1585</v>
      </c>
      <c r="C57" s="1365"/>
      <c r="D57" s="1366"/>
      <c r="E57" s="1297"/>
      <c r="F57" s="1297"/>
      <c r="G57" s="1297"/>
      <c r="H57" s="1297"/>
      <c r="I57" s="1297"/>
      <c r="J57" s="1297"/>
      <c r="K57" s="1367"/>
      <c r="L57" s="1367"/>
      <c r="M57" s="1297"/>
    </row>
    <row r="58" spans="2:13" ht="3.95" customHeight="1" x14ac:dyDescent="0.2">
      <c r="B58" s="1297"/>
      <c r="C58" s="1365"/>
      <c r="D58" s="1366"/>
      <c r="E58" s="1297"/>
      <c r="F58" s="1297"/>
      <c r="G58" s="1297"/>
      <c r="H58" s="1297"/>
      <c r="I58" s="1297"/>
      <c r="J58" s="1297"/>
      <c r="K58" s="1367"/>
      <c r="L58" s="1367"/>
      <c r="M58" s="1297"/>
    </row>
    <row r="59" spans="2:13" ht="11.25" customHeight="1" x14ac:dyDescent="0.2">
      <c r="B59" s="1368" t="s">
        <v>1737</v>
      </c>
      <c r="C59" s="1365"/>
      <c r="D59" s="1366"/>
      <c r="E59" s="1297"/>
      <c r="F59" s="1297"/>
      <c r="G59" s="1297"/>
      <c r="H59" s="1297"/>
      <c r="I59" s="1297"/>
      <c r="J59" s="1297"/>
      <c r="K59" s="1367"/>
      <c r="L59" s="1367"/>
      <c r="M59" s="1297"/>
    </row>
    <row r="60" spans="2:13" ht="3.95" customHeight="1" x14ac:dyDescent="0.2">
      <c r="B60" s="1368"/>
      <c r="C60" s="1365"/>
      <c r="D60" s="1366"/>
      <c r="E60" s="1297"/>
      <c r="F60" s="1297"/>
      <c r="G60" s="1297"/>
      <c r="H60" s="1297"/>
      <c r="I60" s="1297"/>
      <c r="J60" s="1297"/>
      <c r="K60" s="1367"/>
      <c r="L60" s="1367"/>
      <c r="M60" s="1297"/>
    </row>
    <row r="61" spans="2:13" ht="11.25" customHeight="1" x14ac:dyDescent="0.2">
      <c r="B61" s="1369" t="s">
        <v>1738</v>
      </c>
      <c r="C61" s="1365"/>
      <c r="D61" s="1366"/>
      <c r="E61" s="1297"/>
      <c r="F61" s="1297"/>
      <c r="G61" s="1297"/>
      <c r="H61" s="1297"/>
      <c r="I61" s="1297"/>
      <c r="J61" s="1297"/>
      <c r="K61" s="1367"/>
      <c r="L61" s="1367"/>
      <c r="M61" s="1297"/>
    </row>
    <row r="62" spans="2:13" ht="11.25" customHeight="1" x14ac:dyDescent="0.2">
      <c r="B62" s="1297" t="s">
        <v>1586</v>
      </c>
      <c r="G62" s="317"/>
      <c r="H62" s="317"/>
      <c r="I62" s="317"/>
      <c r="J62" s="317"/>
    </row>
    <row r="63" spans="2:13" ht="11.1" customHeight="1" x14ac:dyDescent="0.2">
      <c r="B63" s="1297"/>
      <c r="G63" s="317"/>
      <c r="H63" s="317"/>
      <c r="I63" s="317"/>
      <c r="J63" s="317"/>
    </row>
    <row r="64" spans="2:13" ht="11.1" customHeight="1" x14ac:dyDescent="0.2">
      <c r="B64" s="1297"/>
      <c r="G64" s="317"/>
      <c r="H64" s="317"/>
      <c r="I64" s="317"/>
      <c r="J64" s="317"/>
    </row>
    <row r="65" spans="7:13" ht="13.5" customHeight="1" x14ac:dyDescent="0.2">
      <c r="M65" s="1370"/>
    </row>
    <row r="66" spans="7:13" ht="13.5" customHeight="1" x14ac:dyDescent="0.2">
      <c r="M66" s="1370"/>
    </row>
    <row r="67" spans="7:13" ht="13.5" customHeight="1" x14ac:dyDescent="0.2">
      <c r="M67" s="1370"/>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c r="G74" s="317"/>
      <c r="H74" s="317"/>
      <c r="I74" s="317"/>
      <c r="J74" s="317"/>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ageMargins left="0.09" right="0" top="0.5" bottom="0.5" header="0.25" footer="0.25"/>
  <pageSetup scale="55" firstPageNumber="38" orientation="landscape" useFirstPageNumber="1" r:id="rId1"/>
  <headerFooter alignWithMargins="0">
    <oddHeader>&amp;L&amp;8Page 40&amp;R&amp;8Page 40</oddHeader>
  </headerFooter>
  <ignoredErrors>
    <ignoredError sqref="E14:L38 E40:L43 E39:H39 J39:L39"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7" zoomScale="120" zoomScaleNormal="120" workbookViewId="0">
      <selection activeCell="C38" sqref="C3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Will County SD 92</v>
      </c>
      <c r="B1" s="2445"/>
      <c r="C1" s="2445"/>
      <c r="D1" s="2445"/>
      <c r="E1" s="2445"/>
      <c r="F1" s="2445"/>
    </row>
    <row r="2" spans="1:7" ht="13.5" customHeight="1" x14ac:dyDescent="0.2">
      <c r="A2" s="2441">
        <f>'Single Audit Cover'!E7</f>
        <v>56099092002</v>
      </c>
      <c r="B2" s="2441"/>
      <c r="C2" s="2441"/>
      <c r="D2" s="2441"/>
      <c r="E2" s="2441"/>
      <c r="F2" s="2441"/>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2126</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2127</v>
      </c>
      <c r="B13" s="2444"/>
      <c r="C13" s="2444"/>
      <c r="D13" s="2444"/>
      <c r="E13" s="2444"/>
      <c r="F13" s="2444"/>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t="s">
        <v>2128</v>
      </c>
      <c r="C17" s="1282"/>
      <c r="D17" s="2448"/>
      <c r="E17" s="2448"/>
      <c r="F17" s="2448"/>
    </row>
    <row r="18" spans="1:6" ht="20.65" customHeight="1" x14ac:dyDescent="0.2">
      <c r="A18" s="1280"/>
      <c r="B18" s="1281"/>
      <c r="C18" s="1282"/>
      <c r="D18" s="2448"/>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2" t="s">
        <v>2129</v>
      </c>
      <c r="B32" s="2452"/>
      <c r="C32" s="2452"/>
      <c r="D32" s="2452"/>
      <c r="E32" s="2452"/>
      <c r="F32" s="2452"/>
    </row>
    <row r="33" spans="1:6" ht="13.5" customHeight="1" x14ac:dyDescent="0.2">
      <c r="A33" s="328" t="s">
        <v>1434</v>
      </c>
      <c r="B33" s="328"/>
      <c r="C33" s="1285">
        <v>27676</v>
      </c>
      <c r="D33" s="1903"/>
      <c r="E33" s="1283"/>
    </row>
    <row r="34" spans="1:6" ht="13.5" customHeight="1" x14ac:dyDescent="0.2">
      <c r="A34" s="328" t="s">
        <v>1835</v>
      </c>
      <c r="B34" s="328"/>
      <c r="C34" s="1286">
        <v>0</v>
      </c>
      <c r="D34" s="1903" t="s">
        <v>1589</v>
      </c>
      <c r="E34" s="2453">
        <f>+C33+C34</f>
        <v>27676</v>
      </c>
      <c r="F34" s="245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1" t="s">
        <v>1551</v>
      </c>
      <c r="C51" s="2451"/>
      <c r="D51" s="2451"/>
    </row>
    <row r="52" spans="1:5" ht="14.25" customHeight="1" x14ac:dyDescent="0.2">
      <c r="A52" s="1298"/>
      <c r="B52" s="2451"/>
      <c r="C52" s="2451"/>
      <c r="D52" s="24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2133</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9" sqref="B3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Will County SD 92</v>
      </c>
      <c r="C1" s="2461"/>
      <c r="D1" s="2461"/>
      <c r="E1" s="2461"/>
      <c r="F1" s="2461"/>
      <c r="G1" s="2461"/>
      <c r="H1" s="2461"/>
      <c r="I1" s="2461"/>
      <c r="J1" s="1406"/>
    </row>
    <row r="2" spans="2:10" s="317" customFormat="1" ht="12.75" customHeight="1" x14ac:dyDescent="0.2">
      <c r="B2" s="2462">
        <f>'Single Audit Cover'!E7</f>
        <v>56099092002</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t="s">
        <v>2130</v>
      </c>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t="s">
        <v>2130</v>
      </c>
      <c r="E29" s="2467"/>
      <c r="F29" s="2467"/>
      <c r="G29" s="2467"/>
      <c r="H29" s="2467"/>
      <c r="I29" s="2467"/>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8" t="s">
        <v>1748</v>
      </c>
      <c r="D37" s="2469"/>
      <c r="E37" s="2469"/>
      <c r="F37" s="2470"/>
      <c r="G37" s="2468" t="s">
        <v>1592</v>
      </c>
      <c r="H37" s="2469"/>
      <c r="I37" s="2470"/>
    </row>
    <row r="38" spans="2:9" ht="16.5" customHeight="1" x14ac:dyDescent="0.2">
      <c r="B38" s="1428" t="s">
        <v>2132</v>
      </c>
      <c r="C38" s="2456" t="s">
        <v>2131</v>
      </c>
      <c r="D38" s="2457"/>
      <c r="E38" s="2457"/>
      <c r="F38" s="2458"/>
      <c r="G38" s="2471">
        <v>376075</v>
      </c>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74" t="s">
        <v>1593</v>
      </c>
      <c r="D43" s="2475"/>
      <c r="E43" s="2475"/>
      <c r="F43" s="2476"/>
      <c r="G43" s="2477">
        <f>SUM(G38:I42)</f>
        <v>376075</v>
      </c>
      <c r="H43" s="2477"/>
      <c r="I43" s="2477"/>
    </row>
    <row r="44" spans="2:9" ht="12.75" customHeight="1" x14ac:dyDescent="0.2"/>
    <row r="45" spans="2:9" ht="12.75" customHeight="1" x14ac:dyDescent="0.2">
      <c r="B45" s="1419" t="s">
        <v>1838</v>
      </c>
      <c r="D45" s="2478">
        <f>+' SEFA'!I43</f>
        <v>770815</v>
      </c>
      <c r="E45" s="2479"/>
    </row>
    <row r="46" spans="2:9" ht="5.25" customHeight="1" x14ac:dyDescent="0.2">
      <c r="B46" s="1429"/>
      <c r="D46" s="1430"/>
      <c r="E46" s="1431"/>
    </row>
    <row r="47" spans="2:9" ht="12.75" customHeight="1" x14ac:dyDescent="0.2">
      <c r="B47" s="1297" t="s">
        <v>1594</v>
      </c>
      <c r="C47" s="1297"/>
      <c r="D47" s="1432">
        <f>+G43/D45</f>
        <v>0.48789268501521116</v>
      </c>
      <c r="E47" s="1433"/>
      <c r="F47" s="1434"/>
      <c r="I47" s="1435"/>
    </row>
    <row r="48" spans="2:9" ht="9.9499999999999993" customHeight="1" x14ac:dyDescent="0.2"/>
    <row r="49" spans="1:9" x14ac:dyDescent="0.2">
      <c r="B49" s="1365" t="s">
        <v>1273</v>
      </c>
      <c r="C49" s="1279"/>
      <c r="D49" s="1279"/>
      <c r="E49" s="2480">
        <v>750000</v>
      </c>
      <c r="F49" s="2480"/>
      <c r="G49" s="2480"/>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A31" sqref="AA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Will County SD 92</v>
      </c>
      <c r="C1" s="2460"/>
      <c r="D1" s="2460"/>
      <c r="E1" s="2460"/>
      <c r="F1" s="2460"/>
      <c r="G1" s="2460"/>
      <c r="H1" s="2460"/>
      <c r="I1" s="2460"/>
      <c r="J1" s="2460"/>
      <c r="K1" s="2460"/>
      <c r="L1" s="1371"/>
      <c r="M1" s="1371"/>
    </row>
    <row r="2" spans="1:13" ht="12" customHeight="1" x14ac:dyDescent="0.2">
      <c r="B2" s="2462">
        <f>'Single Audit Cover'!E7</f>
        <v>56099092002</v>
      </c>
      <c r="C2" s="2462"/>
      <c r="D2" s="2462"/>
      <c r="E2" s="2462"/>
      <c r="F2" s="2462"/>
      <c r="G2" s="2462"/>
      <c r="H2" s="2462"/>
      <c r="I2" s="2462"/>
      <c r="J2" s="2462"/>
      <c r="K2" s="2462"/>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Will County SD 92</v>
      </c>
      <c r="C1" s="2487"/>
      <c r="D1" s="2487"/>
      <c r="E1" s="2487"/>
      <c r="F1" s="2487"/>
      <c r="G1" s="2487"/>
      <c r="H1" s="2487"/>
      <c r="I1" s="2487"/>
      <c r="J1" s="2487"/>
      <c r="K1" s="2487"/>
      <c r="L1" s="1449"/>
    </row>
    <row r="2" spans="1:12" ht="12.75" customHeight="1" x14ac:dyDescent="0.2">
      <c r="B2" s="2488">
        <f>'Single Audit Cover'!E7</f>
        <v>56099092002</v>
      </c>
      <c r="C2" s="2488"/>
      <c r="D2" s="2488"/>
      <c r="E2" s="2488"/>
      <c r="F2" s="2488"/>
      <c r="G2" s="2488"/>
      <c r="H2" s="2488"/>
      <c r="I2" s="2488"/>
      <c r="J2" s="2488"/>
      <c r="K2" s="2488"/>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Will County SD 92</v>
      </c>
      <c r="C1" s="2460"/>
      <c r="D1" s="2460"/>
      <c r="E1" s="1469"/>
    </row>
    <row r="2" spans="2:5" s="1279" customFormat="1" ht="12.75" customHeight="1" x14ac:dyDescent="0.2">
      <c r="B2" s="2462">
        <f>'Single Audit Cover'!E7</f>
        <v>56099092002</v>
      </c>
      <c r="C2" s="2462"/>
      <c r="D2" s="2462"/>
      <c r="E2" s="1470"/>
    </row>
    <row r="3" spans="2:5" ht="12.75" customHeight="1" x14ac:dyDescent="0.2">
      <c r="B3" s="2483" t="s">
        <v>1763</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2128</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739974219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2.4087999999999998E-2</v>
      </c>
      <c r="E10" s="356" t="s">
        <v>1005</v>
      </c>
      <c r="F10" s="355">
        <v>3.1619999999999999E-3</v>
      </c>
      <c r="G10" s="356" t="s">
        <v>1005</v>
      </c>
      <c r="H10" s="355">
        <v>6.7599999999999995E-4</v>
      </c>
      <c r="I10" s="356" t="s">
        <v>1006</v>
      </c>
      <c r="J10" s="1732">
        <f>ROUND(D10+F10+H10,5)</f>
        <v>2.793E-2</v>
      </c>
      <c r="K10" s="222"/>
      <c r="L10" s="355">
        <v>2.5999999999999998E-5</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26005139</v>
      </c>
      <c r="E16" s="356"/>
      <c r="F16" s="1733">
        <f>SUM('Acct Summary 7-8'!C17,'Acct Summary 7-8'!D17,'Acct Summary 7-8'!F17)</f>
        <v>23527569</v>
      </c>
      <c r="G16" s="356"/>
      <c r="H16" s="1733">
        <f>SUM(D16-F16)</f>
        <v>2477570</v>
      </c>
      <c r="I16" s="222"/>
      <c r="J16" s="1733">
        <f>SUM('Acct Summary 7-8'!C81,'Acct Summary 7-8'!D81,'Acct Summary 7-8'!F81,'Acct Summary 7-8'!I81)</f>
        <v>14019619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586</v>
      </c>
      <c r="D31" s="237" t="s">
        <v>1072</v>
      </c>
      <c r="E31" s="222"/>
      <c r="F31" s="222"/>
      <c r="G31" s="363"/>
      <c r="H31" s="1735">
        <f>IF(B31="X",(J7*0.069),IF(B32="X",(J7*0.138),"Enter x in a.or b."))</f>
        <v>51058221.111000001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5475000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Will County SD 92</v>
      </c>
      <c r="E7" s="391"/>
      <c r="G7" s="252"/>
      <c r="H7" s="387"/>
      <c r="I7" s="387"/>
      <c r="J7" s="387"/>
      <c r="K7" s="387"/>
      <c r="L7" s="329"/>
      <c r="M7" s="329"/>
      <c r="N7" s="329"/>
      <c r="O7" s="329"/>
      <c r="P7" s="329"/>
    </row>
    <row r="8" spans="1:18" ht="12.75" x14ac:dyDescent="0.2">
      <c r="A8" s="329"/>
      <c r="B8" s="329"/>
      <c r="C8" s="389" t="s">
        <v>1125</v>
      </c>
      <c r="D8" s="392">
        <f>COVER!A13</f>
        <v>56099092002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14019619</v>
      </c>
      <c r="I12" s="404"/>
      <c r="J12" s="404"/>
      <c r="K12" s="405">
        <f>TRUNC((H12/H13*100000),5)/100000</f>
        <v>0.53910955829999996</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26005139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23527569</v>
      </c>
      <c r="I17" s="404"/>
      <c r="J17" s="416"/>
      <c r="K17" s="405">
        <f>TRUNC((H17/H18*100000),5)/100000</f>
        <v>0.90472767700000001</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26005139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14024180</v>
      </c>
      <c r="I24" s="422"/>
      <c r="J24" s="422"/>
      <c r="K24" s="423">
        <f>TRUNC(((H24/H25*100000)/100000),2)</f>
        <v>214.58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65354.358330000003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17567357.946169998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5475000</v>
      </c>
      <c r="I32" s="420"/>
      <c r="J32" s="420"/>
      <c r="K32" s="423">
        <f>TRUNC(100-((((H32/H33*100))*100)/100),2)</f>
        <v>89.27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51058221.111000001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M17" sqref="M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f>18950+550+3000</f>
        <v>22500</v>
      </c>
      <c r="D4" s="466"/>
      <c r="E4" s="466"/>
      <c r="F4" s="466"/>
      <c r="G4" s="466"/>
      <c r="H4" s="466"/>
      <c r="I4" s="466"/>
      <c r="J4" s="467"/>
      <c r="K4" s="466"/>
      <c r="L4" s="466">
        <v>129010</v>
      </c>
      <c r="M4" s="468"/>
      <c r="N4" s="469"/>
    </row>
    <row r="5" spans="1:14" x14ac:dyDescent="0.2">
      <c r="A5" s="463" t="s">
        <v>992</v>
      </c>
      <c r="B5" s="470">
        <v>120</v>
      </c>
      <c r="C5" s="465">
        <v>9903613</v>
      </c>
      <c r="D5" s="466">
        <v>1528570</v>
      </c>
      <c r="E5" s="466">
        <v>554594</v>
      </c>
      <c r="F5" s="466">
        <v>1507994</v>
      </c>
      <c r="G5" s="466">
        <f>477087+300510</f>
        <v>777597</v>
      </c>
      <c r="H5" s="466">
        <v>3261228</v>
      </c>
      <c r="I5" s="466">
        <v>1061503</v>
      </c>
      <c r="J5" s="467"/>
      <c r="K5" s="471">
        <v>109536</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f>170+155</f>
        <v>325</v>
      </c>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9926113</v>
      </c>
      <c r="D13" s="1737">
        <f t="shared" ref="D13:L13" si="0">SUM(D4:D12)</f>
        <v>1528570</v>
      </c>
      <c r="E13" s="1737">
        <f t="shared" si="0"/>
        <v>554594</v>
      </c>
      <c r="F13" s="1737">
        <f t="shared" si="0"/>
        <v>1507994</v>
      </c>
      <c r="G13" s="1737">
        <f t="shared" si="0"/>
        <v>777922</v>
      </c>
      <c r="H13" s="1737">
        <f t="shared" si="0"/>
        <v>3261228</v>
      </c>
      <c r="I13" s="1737">
        <f t="shared" si="0"/>
        <v>1061503</v>
      </c>
      <c r="J13" s="1737">
        <f t="shared" si="0"/>
        <v>0</v>
      </c>
      <c r="K13" s="1737">
        <f t="shared" si="0"/>
        <v>109536</v>
      </c>
      <c r="L13" s="1737">
        <f t="shared" si="0"/>
        <v>129010</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1718079</v>
      </c>
      <c r="N16" s="484"/>
    </row>
    <row r="17" spans="1:14" s="485" customFormat="1" ht="12.75" customHeight="1" x14ac:dyDescent="0.2">
      <c r="A17" s="482" t="s">
        <v>1403</v>
      </c>
      <c r="B17" s="483">
        <v>230</v>
      </c>
      <c r="C17" s="477"/>
      <c r="D17" s="477"/>
      <c r="E17" s="477"/>
      <c r="F17" s="477"/>
      <c r="G17" s="477"/>
      <c r="H17" s="477"/>
      <c r="I17" s="477"/>
      <c r="J17" s="477"/>
      <c r="K17" s="477"/>
      <c r="L17" s="477"/>
      <c r="M17" s="467">
        <f>39891166+2982813</f>
        <v>42873979</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5449310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554594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4920406</v>
      </c>
    </row>
    <row r="23" spans="1:14" ht="13.5" customHeight="1" thickBot="1" x14ac:dyDescent="0.25">
      <c r="A23" s="1736" t="s">
        <v>643</v>
      </c>
      <c r="B23" s="1741"/>
      <c r="C23" s="468"/>
      <c r="D23" s="468"/>
      <c r="E23" s="468"/>
      <c r="F23" s="468"/>
      <c r="G23" s="468"/>
      <c r="H23" s="468"/>
      <c r="I23" s="468"/>
      <c r="J23" s="468"/>
      <c r="K23" s="468"/>
      <c r="L23" s="468"/>
      <c r="M23" s="1688">
        <f>SUM(M15:M22)</f>
        <v>50041368</v>
      </c>
      <c r="N23" s="1688">
        <f>SUM(N21:N22)</f>
        <v>5475000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4561</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129010</v>
      </c>
      <c r="M33" s="468"/>
      <c r="N33" s="469"/>
    </row>
    <row r="34" spans="1:14" ht="13.5" customHeight="1" thickBot="1" x14ac:dyDescent="0.25">
      <c r="A34" s="1738" t="s">
        <v>654</v>
      </c>
      <c r="B34" s="1739"/>
      <c r="C34" s="1740">
        <f>SUM(C25:C33)</f>
        <v>4561</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129010</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5475000</v>
      </c>
    </row>
    <row r="37" spans="1:14" ht="13.5" thickBot="1" x14ac:dyDescent="0.25">
      <c r="A37" s="1736" t="s">
        <v>653</v>
      </c>
      <c r="B37" s="1741"/>
      <c r="C37" s="477"/>
      <c r="D37" s="477"/>
      <c r="E37" s="477"/>
      <c r="F37" s="477"/>
      <c r="G37" s="477"/>
      <c r="H37" s="477"/>
      <c r="I37" s="477"/>
      <c r="J37" s="477"/>
      <c r="K37" s="477"/>
      <c r="L37" s="480"/>
      <c r="M37" s="468"/>
      <c r="N37" s="1688">
        <f>SUM(N36:N36)</f>
        <v>5475000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9921552</v>
      </c>
      <c r="D39" s="466">
        <v>1528570</v>
      </c>
      <c r="E39" s="466">
        <v>554594</v>
      </c>
      <c r="F39" s="466">
        <v>1507994</v>
      </c>
      <c r="G39" s="466">
        <v>777922</v>
      </c>
      <c r="H39" s="466">
        <v>3261228</v>
      </c>
      <c r="I39" s="466">
        <v>1061503</v>
      </c>
      <c r="J39" s="467">
        <v>0</v>
      </c>
      <c r="K39" s="466">
        <v>109536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50041368</v>
      </c>
      <c r="N40" s="497"/>
    </row>
    <row r="41" spans="1:14" ht="13.5" customHeight="1" thickBot="1" x14ac:dyDescent="0.25">
      <c r="A41" s="1736" t="s">
        <v>655</v>
      </c>
      <c r="B41" s="1706"/>
      <c r="C41" s="1688">
        <f>(SUM(C34,C37,C38,C39))</f>
        <v>9926113</v>
      </c>
      <c r="D41" s="1688">
        <f t="shared" ref="D41:L41" si="2">SUM(D34,D37,D38:D39)</f>
        <v>1528570</v>
      </c>
      <c r="E41" s="1688">
        <f t="shared" si="2"/>
        <v>554594</v>
      </c>
      <c r="F41" s="1688">
        <f t="shared" si="2"/>
        <v>1507994</v>
      </c>
      <c r="G41" s="1688">
        <f t="shared" si="2"/>
        <v>777922</v>
      </c>
      <c r="H41" s="1688">
        <f t="shared" si="2"/>
        <v>3261228</v>
      </c>
      <c r="I41" s="1688">
        <f t="shared" si="2"/>
        <v>1061503</v>
      </c>
      <c r="J41" s="1688">
        <f t="shared" si="2"/>
        <v>0</v>
      </c>
      <c r="K41" s="1688">
        <f t="shared" si="2"/>
        <v>109536</v>
      </c>
      <c r="L41" s="1688">
        <f t="shared" si="2"/>
        <v>129010</v>
      </c>
      <c r="M41" s="1688">
        <f>SUM(M40)</f>
        <v>50041368</v>
      </c>
      <c r="N41" s="1688">
        <f>SUM(N37)</f>
        <v>5475000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2" sqref="C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19026657</v>
      </c>
      <c r="D4" s="1742">
        <f>'Revenues 9-14'!D109</f>
        <v>2491195</v>
      </c>
      <c r="E4" s="1742">
        <f>'Revenues 9-14'!E109</f>
        <v>782545</v>
      </c>
      <c r="F4" s="1742">
        <f>'Revenues 9-14'!F109</f>
        <v>1107851</v>
      </c>
      <c r="G4" s="1742">
        <f>'Revenues 9-14'!G109</f>
        <v>841252</v>
      </c>
      <c r="H4" s="1742">
        <f>'Revenues 9-14'!H109</f>
        <v>97312</v>
      </c>
      <c r="I4" s="1742">
        <f>'Revenues 9-14'!I109</f>
        <v>40255</v>
      </c>
      <c r="J4" s="1742">
        <f>'Revenues 9-14'!J109</f>
        <v>0</v>
      </c>
      <c r="K4" s="1742">
        <f>'Revenues 9-14'!K109</f>
        <v>2444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1425902</v>
      </c>
      <c r="D6" s="1743">
        <f>'Revenues 9-14'!D170</f>
        <v>165000</v>
      </c>
      <c r="E6" s="1743">
        <f>'Revenues 9-14'!E170</f>
        <v>0</v>
      </c>
      <c r="F6" s="1743">
        <f>'Revenues 9-14'!F170</f>
        <v>918803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829476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21282035</v>
      </c>
      <c r="D8" s="1688">
        <f t="shared" ref="D8:K8" si="0">SUM(D4:D7)</f>
        <v>2656195</v>
      </c>
      <c r="E8" s="1688">
        <f t="shared" si="0"/>
        <v>782545</v>
      </c>
      <c r="F8" s="1688">
        <f t="shared" si="0"/>
        <v>2026654</v>
      </c>
      <c r="G8" s="1688">
        <f t="shared" si="0"/>
        <v>841252</v>
      </c>
      <c r="H8" s="1688">
        <f t="shared" si="0"/>
        <v>97312</v>
      </c>
      <c r="I8" s="1688">
        <f t="shared" si="0"/>
        <v>40255</v>
      </c>
      <c r="J8" s="1688">
        <f t="shared" si="0"/>
        <v>0</v>
      </c>
      <c r="K8" s="1688">
        <f t="shared" si="0"/>
        <v>2444</v>
      </c>
      <c r="L8" s="347"/>
    </row>
    <row r="9" spans="1:13" ht="15.75" thickTop="1" x14ac:dyDescent="0.2">
      <c r="A9" s="514" t="s">
        <v>1653</v>
      </c>
      <c r="B9" s="515">
        <v>3998</v>
      </c>
      <c r="C9" s="481">
        <v>7494988</v>
      </c>
      <c r="D9" s="516"/>
      <c r="E9" s="481"/>
      <c r="F9" s="481"/>
      <c r="G9" s="517"/>
      <c r="H9" s="481"/>
      <c r="I9" s="509" t="s">
        <v>1169</v>
      </c>
      <c r="J9" s="478"/>
      <c r="K9" s="481"/>
      <c r="L9" s="347"/>
    </row>
    <row r="10" spans="1:13" s="519" customFormat="1" ht="13.5" thickBot="1" x14ac:dyDescent="0.25">
      <c r="A10" s="1736" t="s">
        <v>1173</v>
      </c>
      <c r="B10" s="1709"/>
      <c r="C10" s="1688">
        <f>SUM(C8:C9)</f>
        <v>28777023</v>
      </c>
      <c r="D10" s="1688">
        <f t="shared" ref="D10:K10" si="1">SUM(D8:D9)</f>
        <v>2656195</v>
      </c>
      <c r="E10" s="1688">
        <f t="shared" si="1"/>
        <v>782545</v>
      </c>
      <c r="F10" s="1688">
        <f t="shared" si="1"/>
        <v>2026654</v>
      </c>
      <c r="G10" s="1688">
        <f t="shared" si="1"/>
        <v>841252</v>
      </c>
      <c r="H10" s="1688">
        <f t="shared" si="1"/>
        <v>97312</v>
      </c>
      <c r="I10" s="1688">
        <f t="shared" si="1"/>
        <v>40255</v>
      </c>
      <c r="J10" s="1688">
        <f t="shared" si="1"/>
        <v>0</v>
      </c>
      <c r="K10" s="1688">
        <f t="shared" si="1"/>
        <v>2444</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12790623</v>
      </c>
      <c r="D12" s="520" t="s">
        <v>1169</v>
      </c>
      <c r="E12" s="468" t="s">
        <v>1169</v>
      </c>
      <c r="F12" s="468" t="s">
        <v>1169</v>
      </c>
      <c r="G12" s="1742">
        <f>'Expenditures 15-22'!K229</f>
        <v>305348</v>
      </c>
      <c r="H12" s="521"/>
      <c r="I12" s="468" t="s">
        <v>1169</v>
      </c>
      <c r="J12" s="468" t="s">
        <v>1169</v>
      </c>
      <c r="K12" s="521" t="s">
        <v>1169</v>
      </c>
      <c r="L12" s="347"/>
    </row>
    <row r="13" spans="1:13" ht="15.75" customHeight="1" x14ac:dyDescent="0.2">
      <c r="A13" s="1576" t="s">
        <v>457</v>
      </c>
      <c r="B13" s="1578">
        <v>2000</v>
      </c>
      <c r="C13" s="1743">
        <f>'Expenditures 15-22'!K74</f>
        <v>5644362</v>
      </c>
      <c r="D13" s="1743">
        <f>'Expenditures 15-22'!K129</f>
        <v>2498761</v>
      </c>
      <c r="E13" s="469" t="s">
        <v>1169</v>
      </c>
      <c r="F13" s="1743">
        <f>'Expenditures 15-22'!K184</f>
        <v>1914840</v>
      </c>
      <c r="G13" s="1743">
        <f>'Expenditures 15-22'!K279</f>
        <v>514433</v>
      </c>
      <c r="H13" s="1743">
        <f>'Expenditures 15-22'!K303</f>
        <v>1219987</v>
      </c>
      <c r="I13" s="468" t="s">
        <v>1169</v>
      </c>
      <c r="J13" s="1743">
        <f>'Expenditures 15-22'!K330</f>
        <v>0</v>
      </c>
      <c r="K13" s="1747">
        <f>'Expenditures 15-22'!K352</f>
        <v>3649</v>
      </c>
      <c r="L13" s="347"/>
    </row>
    <row r="14" spans="1:13" ht="15.75" customHeight="1" x14ac:dyDescent="0.2">
      <c r="A14" s="1576" t="s">
        <v>449</v>
      </c>
      <c r="B14" s="1578">
        <v>3000</v>
      </c>
      <c r="C14" s="1743">
        <f>'Expenditures 15-22'!K75</f>
        <v>3355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675628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760575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19113968</v>
      </c>
      <c r="D17" s="1688">
        <f t="shared" si="2"/>
        <v>2498761</v>
      </c>
      <c r="E17" s="1688">
        <f t="shared" si="2"/>
        <v>760575</v>
      </c>
      <c r="F17" s="1688">
        <f t="shared" si="2"/>
        <v>1914840</v>
      </c>
      <c r="G17" s="1688">
        <f t="shared" si="2"/>
        <v>819781</v>
      </c>
      <c r="H17" s="1688">
        <f t="shared" si="2"/>
        <v>1219987</v>
      </c>
      <c r="I17" s="468"/>
      <c r="J17" s="1688">
        <f>SUM(J12:J16)</f>
        <v>0</v>
      </c>
      <c r="K17" s="1688">
        <f>SUM(K12:K16)</f>
        <v>3649</v>
      </c>
      <c r="L17" s="347"/>
    </row>
    <row r="18" spans="1:12" ht="15" customHeight="1" thickTop="1" x14ac:dyDescent="0.2">
      <c r="A18" s="1744" t="s">
        <v>1654</v>
      </c>
      <c r="B18" s="1745">
        <v>4180</v>
      </c>
      <c r="C18" s="1742">
        <f t="shared" ref="C18:H18" si="3">C9</f>
        <v>7494988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26608956</v>
      </c>
      <c r="D19" s="1688">
        <f t="shared" si="4"/>
        <v>2498761</v>
      </c>
      <c r="E19" s="1688">
        <f t="shared" si="4"/>
        <v>760575</v>
      </c>
      <c r="F19" s="1688">
        <f t="shared" si="4"/>
        <v>1914840</v>
      </c>
      <c r="G19" s="1688">
        <f t="shared" si="4"/>
        <v>819781</v>
      </c>
      <c r="H19" s="1688">
        <f t="shared" si="4"/>
        <v>1219987</v>
      </c>
      <c r="I19" s="468"/>
      <c r="J19" s="1688">
        <f>SUM(J17:J18)</f>
        <v>0</v>
      </c>
      <c r="K19" s="1688">
        <f>SUM(K17:K18)</f>
        <v>3649</v>
      </c>
      <c r="L19" s="347"/>
    </row>
    <row r="20" spans="1:12" ht="16.5" thickTop="1" thickBot="1" x14ac:dyDescent="0.25">
      <c r="A20" s="2133" t="s">
        <v>1655</v>
      </c>
      <c r="B20" s="2134"/>
      <c r="C20" s="1746">
        <f>C8-C17</f>
        <v>2168067</v>
      </c>
      <c r="D20" s="1746">
        <f t="shared" ref="D20:K20" si="5">D8-D17</f>
        <v>157434</v>
      </c>
      <c r="E20" s="1746">
        <f t="shared" si="5"/>
        <v>21970</v>
      </c>
      <c r="F20" s="1746">
        <f t="shared" si="5"/>
        <v>111814</v>
      </c>
      <c r="G20" s="1746">
        <f t="shared" si="5"/>
        <v>21471</v>
      </c>
      <c r="H20" s="1746">
        <f t="shared" si="5"/>
        <v>-1122675</v>
      </c>
      <c r="I20" s="1746">
        <f t="shared" si="5"/>
        <v>40255</v>
      </c>
      <c r="J20" s="1746">
        <f t="shared" si="5"/>
        <v>0</v>
      </c>
      <c r="K20" s="1746">
        <f t="shared" si="5"/>
        <v>-1205</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3630</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2500000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3630</v>
      </c>
      <c r="D44" s="1703">
        <f t="shared" ref="D44:K44" si="6">SUM(D24:D43)</f>
        <v>0</v>
      </c>
      <c r="E44" s="1703">
        <f t="shared" si="6"/>
        <v>0</v>
      </c>
      <c r="F44" s="1703">
        <f t="shared" si="6"/>
        <v>0</v>
      </c>
      <c r="G44" s="1703">
        <f t="shared" si="6"/>
        <v>0</v>
      </c>
      <c r="H44" s="1703">
        <f t="shared" si="6"/>
        <v>2500000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v>2500000</v>
      </c>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2500000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-2496370</v>
      </c>
      <c r="D77" s="1703">
        <f t="shared" si="8"/>
        <v>0</v>
      </c>
      <c r="E77" s="1703">
        <f t="shared" si="8"/>
        <v>0</v>
      </c>
      <c r="F77" s="1703">
        <f t="shared" si="8"/>
        <v>0</v>
      </c>
      <c r="G77" s="1703">
        <f t="shared" si="8"/>
        <v>0</v>
      </c>
      <c r="H77" s="1703">
        <f t="shared" si="8"/>
        <v>2500000</v>
      </c>
      <c r="I77" s="1703">
        <f t="shared" si="8"/>
        <v>0</v>
      </c>
      <c r="J77" s="1703">
        <f t="shared" si="8"/>
        <v>0</v>
      </c>
      <c r="K77" s="1703">
        <f t="shared" si="8"/>
        <v>0</v>
      </c>
      <c r="L77" s="347"/>
    </row>
    <row r="78" spans="1:12" ht="21.75" customHeight="1" thickTop="1" thickBot="1" x14ac:dyDescent="0.25">
      <c r="A78" s="2129" t="s">
        <v>597</v>
      </c>
      <c r="B78" s="2130"/>
      <c r="C78" s="1702">
        <f t="shared" ref="C78:K78" si="9">C20+C77</f>
        <v>-328303</v>
      </c>
      <c r="D78" s="1702">
        <f t="shared" si="9"/>
        <v>157434</v>
      </c>
      <c r="E78" s="1702">
        <f t="shared" si="9"/>
        <v>21970</v>
      </c>
      <c r="F78" s="1702">
        <f t="shared" si="9"/>
        <v>111814</v>
      </c>
      <c r="G78" s="1702">
        <f t="shared" si="9"/>
        <v>21471</v>
      </c>
      <c r="H78" s="1702">
        <f t="shared" si="9"/>
        <v>1377325</v>
      </c>
      <c r="I78" s="1702">
        <f t="shared" si="9"/>
        <v>40255</v>
      </c>
      <c r="J78" s="1702">
        <f t="shared" si="9"/>
        <v>0</v>
      </c>
      <c r="K78" s="1702">
        <f t="shared" si="9"/>
        <v>-1205</v>
      </c>
      <c r="L78" s="533"/>
    </row>
    <row r="79" spans="1:12" ht="13.5" thickTop="1" x14ac:dyDescent="0.2">
      <c r="A79" s="1494" t="s">
        <v>1946</v>
      </c>
      <c r="B79" s="534"/>
      <c r="C79" s="478">
        <v>10249855</v>
      </c>
      <c r="D79" s="535">
        <v>1371136</v>
      </c>
      <c r="E79" s="535">
        <v>532624</v>
      </c>
      <c r="F79" s="535">
        <v>1396180</v>
      </c>
      <c r="G79" s="535">
        <v>756451</v>
      </c>
      <c r="H79" s="535">
        <v>1883903</v>
      </c>
      <c r="I79" s="535">
        <v>1021248</v>
      </c>
      <c r="J79" s="535">
        <v>0</v>
      </c>
      <c r="K79" s="535">
        <v>110741</v>
      </c>
      <c r="L79" s="347"/>
    </row>
    <row r="80" spans="1:12" x14ac:dyDescent="0.2">
      <c r="A80" s="2135" t="s">
        <v>1792</v>
      </c>
      <c r="B80" s="2136"/>
      <c r="C80" s="467"/>
      <c r="D80" s="467"/>
      <c r="E80" s="467"/>
      <c r="F80" s="467"/>
      <c r="G80" s="467"/>
      <c r="H80" s="467"/>
      <c r="I80" s="467"/>
      <c r="J80" s="467"/>
      <c r="K80" s="467"/>
      <c r="L80" s="347"/>
    </row>
    <row r="81" spans="1:12" ht="13.5" thickBot="1" x14ac:dyDescent="0.25">
      <c r="A81" s="2127" t="s">
        <v>1947</v>
      </c>
      <c r="B81" s="2128"/>
      <c r="C81" s="1688">
        <f>(SUM(C78:C80))</f>
        <v>9921552</v>
      </c>
      <c r="D81" s="1688">
        <f>SUM(D78:D80)</f>
        <v>1528570</v>
      </c>
      <c r="E81" s="1688">
        <f t="shared" ref="E81:K81" si="10">SUM(E78:E80)</f>
        <v>554594</v>
      </c>
      <c r="F81" s="1688">
        <f t="shared" si="10"/>
        <v>1507994</v>
      </c>
      <c r="G81" s="1688">
        <f t="shared" si="10"/>
        <v>777922</v>
      </c>
      <c r="H81" s="1688">
        <f t="shared" si="10"/>
        <v>3261228</v>
      </c>
      <c r="I81" s="1688">
        <f t="shared" si="10"/>
        <v>1061503</v>
      </c>
      <c r="J81" s="1688">
        <f t="shared" si="10"/>
        <v>0</v>
      </c>
      <c r="K81" s="1688">
        <f t="shared" si="10"/>
        <v>109536</v>
      </c>
      <c r="L81" s="347"/>
    </row>
    <row r="82" spans="1:12" ht="0.75" customHeight="1" thickTop="1" thickBot="1" x14ac:dyDescent="0.25">
      <c r="A82" s="536" t="s">
        <v>343</v>
      </c>
      <c r="B82" s="537"/>
      <c r="C82" s="538">
        <f>(C81-C79)</f>
        <v>-328303</v>
      </c>
      <c r="D82" s="538">
        <f t="shared" ref="D82:K82" si="11">(D81-D79)</f>
        <v>157434</v>
      </c>
      <c r="E82" s="538">
        <f t="shared" si="11"/>
        <v>21970</v>
      </c>
      <c r="F82" s="538">
        <f t="shared" si="11"/>
        <v>111814</v>
      </c>
      <c r="G82" s="538">
        <f t="shared" si="11"/>
        <v>21471</v>
      </c>
      <c r="H82" s="538">
        <f t="shared" si="11"/>
        <v>1377325</v>
      </c>
      <c r="I82" s="538">
        <f t="shared" si="11"/>
        <v>40255</v>
      </c>
      <c r="J82" s="538">
        <f t="shared" si="11"/>
        <v>0</v>
      </c>
      <c r="K82" s="538">
        <f t="shared" si="11"/>
        <v>-1205</v>
      </c>
    </row>
    <row r="83" spans="1:12" ht="14.25" hidden="1" thickTop="1" thickBot="1" x14ac:dyDescent="0.25">
      <c r="A83" s="539" t="s">
        <v>344</v>
      </c>
      <c r="B83" s="464"/>
      <c r="C83" s="540">
        <f>C82/C81</f>
        <v>-3.3089883518223763E-2</v>
      </c>
      <c r="D83" s="540">
        <f t="shared" ref="D83:K83" si="12">D82/D81</f>
        <v>0.10299430186383352</v>
      </c>
      <c r="E83" s="540">
        <f t="shared" si="12"/>
        <v>3.9614564888909722E-2</v>
      </c>
      <c r="F83" s="540">
        <f t="shared" si="12"/>
        <v>7.4147509870728934E-2</v>
      </c>
      <c r="G83" s="540">
        <f t="shared" si="12"/>
        <v>2.7600453515905194E-2</v>
      </c>
      <c r="H83" s="540">
        <f t="shared" si="12"/>
        <v>0.42233324379650855</v>
      </c>
      <c r="I83" s="540">
        <f t="shared" si="12"/>
        <v>3.7922643647733449E-2</v>
      </c>
      <c r="J83" s="540" t="e">
        <f t="shared" si="12"/>
        <v>#DIV/0!</v>
      </c>
      <c r="K83" s="540">
        <f t="shared" si="12"/>
        <v>-1.1000949459538417E-2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6" activePane="bottomLeft" state="frozen"/>
      <selection pane="bottomLeft" activeCell="C20" sqref="C2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1799</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17392800</v>
      </c>
      <c r="D5" s="481">
        <v>2312539</v>
      </c>
      <c r="E5" s="466">
        <v>773255</v>
      </c>
      <c r="F5" s="548">
        <v>1066408</v>
      </c>
      <c r="G5" s="466">
        <v>407773</v>
      </c>
      <c r="H5" s="466">
        <v>0</v>
      </c>
      <c r="I5" s="466">
        <v>17251</v>
      </c>
      <c r="J5" s="467">
        <v>0</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673573</v>
      </c>
      <c r="D7" s="466">
        <v>0</v>
      </c>
      <c r="E7" s="468"/>
      <c r="F7" s="467">
        <v>0</v>
      </c>
      <c r="G7" s="467">
        <v>0</v>
      </c>
      <c r="H7" s="467">
        <v>0</v>
      </c>
      <c r="I7" s="468"/>
      <c r="J7" s="468"/>
      <c r="K7" s="468"/>
    </row>
    <row r="8" spans="1:12" x14ac:dyDescent="0.2">
      <c r="A8" s="463" t="s">
        <v>413</v>
      </c>
      <c r="B8" s="470">
        <v>1150</v>
      </c>
      <c r="C8" s="475"/>
      <c r="D8" s="475"/>
      <c r="E8" s="477"/>
      <c r="F8" s="477"/>
      <c r="G8" s="481">
        <v>358757</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18066373</v>
      </c>
      <c r="D12" s="1707">
        <f t="shared" si="0"/>
        <v>2312539</v>
      </c>
      <c r="E12" s="1707">
        <f t="shared" si="0"/>
        <v>773255</v>
      </c>
      <c r="F12" s="1707">
        <f t="shared" si="0"/>
        <v>1066408</v>
      </c>
      <c r="G12" s="1707">
        <f t="shared" si="0"/>
        <v>766530</v>
      </c>
      <c r="H12" s="1707">
        <f t="shared" si="0"/>
        <v>0</v>
      </c>
      <c r="I12" s="1707">
        <f t="shared" si="0"/>
        <v>17251</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313754</v>
      </c>
      <c r="D16" s="466">
        <v>126000</v>
      </c>
      <c r="E16" s="466">
        <v>0</v>
      </c>
      <c r="F16" s="466">
        <v>0</v>
      </c>
      <c r="G16" s="466">
        <v>60000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313754</v>
      </c>
      <c r="D18" s="1710">
        <f t="shared" ref="D18:K18" si="1">SUM(D14:D17)</f>
        <v>126000</v>
      </c>
      <c r="E18" s="1710">
        <f t="shared" si="1"/>
        <v>0</v>
      </c>
      <c r="F18" s="1710">
        <f t="shared" si="1"/>
        <v>0</v>
      </c>
      <c r="G18" s="1710">
        <f t="shared" si="1"/>
        <v>60000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50115</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50115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178743</v>
      </c>
      <c r="D65" s="466">
        <v>22782</v>
      </c>
      <c r="E65" s="466">
        <v>9290</v>
      </c>
      <c r="F65" s="467">
        <v>36839</v>
      </c>
      <c r="G65" s="466">
        <v>14722</v>
      </c>
      <c r="H65" s="466">
        <v>29916</v>
      </c>
      <c r="I65" s="466">
        <v>23004</v>
      </c>
      <c r="J65" s="467">
        <v>0</v>
      </c>
      <c r="K65" s="466">
        <v>2444</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178743</v>
      </c>
      <c r="D67" s="1688">
        <f t="shared" ref="D67:K67" si="2">SUM(D65:D66)</f>
        <v>22782</v>
      </c>
      <c r="E67" s="1688">
        <f t="shared" si="2"/>
        <v>9290</v>
      </c>
      <c r="F67" s="1688">
        <f t="shared" si="2"/>
        <v>36839</v>
      </c>
      <c r="G67" s="1688">
        <f t="shared" si="2"/>
        <v>14722</v>
      </c>
      <c r="H67" s="1688">
        <f t="shared" si="2"/>
        <v>29916</v>
      </c>
      <c r="I67" s="1688">
        <f t="shared" si="2"/>
        <v>23004</v>
      </c>
      <c r="J67" s="1688">
        <f t="shared" si="2"/>
        <v>0</v>
      </c>
      <c r="K67" s="1688">
        <f t="shared" si="2"/>
        <v>2444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125888</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83945</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2259</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212092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151470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151470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1993</v>
      </c>
      <c r="E95" s="521"/>
      <c r="F95" s="521"/>
      <c r="G95" s="521"/>
      <c r="H95" s="521"/>
      <c r="I95" s="521"/>
      <c r="J95" s="521"/>
      <c r="K95" s="521"/>
    </row>
    <row r="96" spans="1:11" ht="12.75" customHeight="1" x14ac:dyDescent="0.2">
      <c r="A96" s="463" t="s">
        <v>391</v>
      </c>
      <c r="B96" s="470">
        <v>1920</v>
      </c>
      <c r="C96" s="551">
        <v>40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17716</v>
      </c>
      <c r="D99" s="466">
        <v>27881</v>
      </c>
      <c r="E99" s="466">
        <v>0</v>
      </c>
      <c r="F99" s="466">
        <v>4604</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35178</v>
      </c>
      <c r="D106" s="489">
        <v>0</v>
      </c>
      <c r="E106" s="467">
        <v>0</v>
      </c>
      <c r="F106" s="467">
        <v>0</v>
      </c>
      <c r="G106" s="467">
        <v>0</v>
      </c>
      <c r="H106" s="467">
        <v>67396</v>
      </c>
      <c r="I106" s="521"/>
      <c r="J106" s="467">
        <v>0</v>
      </c>
      <c r="K106" s="467">
        <v>0</v>
      </c>
    </row>
    <row r="107" spans="1:12" ht="12.75" customHeight="1" x14ac:dyDescent="0.2">
      <c r="A107" s="463" t="s">
        <v>78</v>
      </c>
      <c r="B107" s="470">
        <v>1999</v>
      </c>
      <c r="C107" s="551">
        <v>1176</v>
      </c>
      <c r="D107" s="466">
        <v>0</v>
      </c>
      <c r="E107" s="466">
        <v>0</v>
      </c>
      <c r="F107" s="466">
        <v>0</v>
      </c>
      <c r="G107" s="466">
        <v>0</v>
      </c>
      <c r="H107" s="466">
        <v>0</v>
      </c>
      <c r="I107" s="466">
        <v>0</v>
      </c>
      <c r="J107" s="467">
        <v>0</v>
      </c>
      <c r="K107" s="466">
        <v>0</v>
      </c>
    </row>
    <row r="108" spans="1:12" ht="12.75" customHeight="1" thickBot="1" x14ac:dyDescent="0.25">
      <c r="A108" s="1708" t="s">
        <v>487</v>
      </c>
      <c r="B108" s="1712"/>
      <c r="C108" s="1707">
        <f>SUM(C95:C107)</f>
        <v>54110</v>
      </c>
      <c r="D108" s="1707">
        <f t="shared" ref="D108:K108" si="3">SUM(D95:D107)</f>
        <v>29874</v>
      </c>
      <c r="E108" s="1707">
        <f t="shared" si="3"/>
        <v>0</v>
      </c>
      <c r="F108" s="1707">
        <f t="shared" si="3"/>
        <v>4604</v>
      </c>
      <c r="G108" s="1707">
        <f t="shared" si="3"/>
        <v>0</v>
      </c>
      <c r="H108" s="1707">
        <f t="shared" si="3"/>
        <v>67396</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19026657</v>
      </c>
      <c r="D109" s="1715">
        <f t="shared" si="4"/>
        <v>2491195</v>
      </c>
      <c r="E109" s="1715">
        <f t="shared" si="4"/>
        <v>782545</v>
      </c>
      <c r="F109" s="1715">
        <f t="shared" si="4"/>
        <v>1107851</v>
      </c>
      <c r="G109" s="1715">
        <f t="shared" si="4"/>
        <v>841252</v>
      </c>
      <c r="H109" s="1715">
        <f t="shared" si="4"/>
        <v>97312</v>
      </c>
      <c r="I109" s="1715">
        <f t="shared" si="4"/>
        <v>40255</v>
      </c>
      <c r="J109" s="1715">
        <f t="shared" si="4"/>
        <v>0</v>
      </c>
      <c r="K109" s="1702">
        <f t="shared" si="4"/>
        <v>2444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1275487</v>
      </c>
      <c r="D117" s="481">
        <v>165000</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30" t="s">
        <v>1933</v>
      </c>
      <c r="B120" s="562">
        <v>3030</v>
      </c>
      <c r="C120" s="551">
        <v>0</v>
      </c>
      <c r="D120" s="466">
        <v>0</v>
      </c>
      <c r="E120" s="466">
        <v>0</v>
      </c>
      <c r="F120" s="466">
        <v>0</v>
      </c>
      <c r="G120" s="466">
        <v>0</v>
      </c>
      <c r="H120" s="466">
        <v>0</v>
      </c>
      <c r="I120" s="468"/>
      <c r="J120" s="467">
        <v>0</v>
      </c>
      <c r="K120" s="466">
        <v>0</v>
      </c>
    </row>
    <row r="121" spans="1:11" x14ac:dyDescent="0.2">
      <c r="A121" s="1496" t="s">
        <v>1798</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1275487</v>
      </c>
      <c r="D122" s="1707">
        <f t="shared" si="5"/>
        <v>165000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147298</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147298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2005</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395301</v>
      </c>
      <c r="G152" s="467">
        <v>0</v>
      </c>
      <c r="H152" s="468"/>
      <c r="I152" s="468"/>
      <c r="J152" s="468"/>
      <c r="K152" s="468"/>
    </row>
    <row r="153" spans="1:11" ht="12.75" customHeight="1" x14ac:dyDescent="0.2">
      <c r="A153" s="463" t="s">
        <v>1057</v>
      </c>
      <c r="B153" s="562">
        <v>3510</v>
      </c>
      <c r="C153" s="551">
        <v>0</v>
      </c>
      <c r="D153" s="466">
        <v>0</v>
      </c>
      <c r="E153" s="561"/>
      <c r="F153" s="466">
        <v>523502</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918803</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1112</v>
      </c>
      <c r="D168" s="580">
        <v>0</v>
      </c>
      <c r="E168" s="580">
        <v>0</v>
      </c>
      <c r="F168" s="580">
        <v>0</v>
      </c>
      <c r="G168" s="581">
        <v>0</v>
      </c>
      <c r="H168" s="582">
        <v>0</v>
      </c>
      <c r="I168" s="581">
        <v>0</v>
      </c>
      <c r="J168" s="581">
        <v>0</v>
      </c>
      <c r="K168" s="582">
        <v>0</v>
      </c>
    </row>
    <row r="169" spans="1:11" ht="12.75" customHeight="1" thickTop="1" thickBot="1" x14ac:dyDescent="0.25">
      <c r="A169" s="2151" t="s">
        <v>398</v>
      </c>
      <c r="B169" s="2152"/>
      <c r="C169" s="1722">
        <f t="shared" ref="C169:K169" si="6">SUM(C132,C141,C145,C146:C150,C155,C156:C167,C168)</f>
        <v>150415</v>
      </c>
      <c r="D169" s="1722">
        <f t="shared" si="6"/>
        <v>0</v>
      </c>
      <c r="E169" s="1722">
        <f t="shared" si="6"/>
        <v>0</v>
      </c>
      <c r="F169" s="1722">
        <f t="shared" si="6"/>
        <v>918803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1425902</v>
      </c>
      <c r="D170" s="1715">
        <f t="shared" si="7"/>
        <v>165000</v>
      </c>
      <c r="E170" s="1715">
        <f t="shared" si="7"/>
        <v>0</v>
      </c>
      <c r="F170" s="1715">
        <f t="shared" si="7"/>
        <v>918803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1800</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131305</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131305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156992</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156992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14796</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14796</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19676</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356866</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376542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37305</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25624</v>
      </c>
      <c r="D263" s="576">
        <v>0</v>
      </c>
      <c r="E263" s="468"/>
      <c r="F263" s="576">
        <v>0</v>
      </c>
      <c r="G263" s="576">
        <v>0</v>
      </c>
      <c r="H263" s="468"/>
      <c r="I263" s="468"/>
      <c r="J263" s="468"/>
      <c r="K263" s="468"/>
    </row>
    <row r="264" spans="1:11" ht="12.75" customHeight="1" thickTop="1" thickBot="1" x14ac:dyDescent="0.25">
      <c r="A264" s="463" t="s">
        <v>377</v>
      </c>
      <c r="B264" s="470">
        <v>4992</v>
      </c>
      <c r="C264" s="575">
        <v>86912</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829476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829476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21282035</v>
      </c>
      <c r="D268" s="1715">
        <f t="shared" si="12"/>
        <v>2656195</v>
      </c>
      <c r="E268" s="1715">
        <f t="shared" si="12"/>
        <v>782545</v>
      </c>
      <c r="F268" s="1715">
        <f t="shared" si="12"/>
        <v>2026654</v>
      </c>
      <c r="G268" s="1715">
        <f t="shared" si="12"/>
        <v>841252</v>
      </c>
      <c r="H268" s="1715">
        <f t="shared" si="12"/>
        <v>97312</v>
      </c>
      <c r="I268" s="1715">
        <f t="shared" si="12"/>
        <v>40255</v>
      </c>
      <c r="J268" s="1715">
        <f t="shared" si="12"/>
        <v>0</v>
      </c>
      <c r="K268" s="1702">
        <f t="shared" si="12"/>
        <v>2444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5" colorId="8" zoomScale="110" zoomScaleNormal="110" workbookViewId="0">
      <selection activeCell="C350" sqref="C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7328633</v>
      </c>
      <c r="D5" s="466">
        <v>1881021</v>
      </c>
      <c r="E5" s="466">
        <v>27047</v>
      </c>
      <c r="F5" s="466">
        <v>279872</v>
      </c>
      <c r="G5" s="466">
        <v>55395</v>
      </c>
      <c r="H5" s="466">
        <v>0</v>
      </c>
      <c r="I5" s="466">
        <v>44406</v>
      </c>
      <c r="J5" s="466">
        <v>0</v>
      </c>
      <c r="K5" s="1671">
        <f>SUM(C5:J5)</f>
        <v>9616374</v>
      </c>
      <c r="L5" s="466">
        <v>9837953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155100</v>
      </c>
      <c r="D7" s="467">
        <v>0</v>
      </c>
      <c r="E7" s="467">
        <v>0</v>
      </c>
      <c r="F7" s="467">
        <v>5323</v>
      </c>
      <c r="G7" s="467">
        <v>0</v>
      </c>
      <c r="H7" s="467">
        <v>0</v>
      </c>
      <c r="I7" s="467">
        <v>0</v>
      </c>
      <c r="J7" s="467">
        <v>0</v>
      </c>
      <c r="K7" s="1671">
        <f t="shared" ref="K7:K32" si="0">SUM(C7:J7)</f>
        <v>160423</v>
      </c>
      <c r="L7" s="466"/>
    </row>
    <row r="8" spans="1:14" x14ac:dyDescent="0.2">
      <c r="A8" s="1504" t="s">
        <v>164</v>
      </c>
      <c r="B8" s="614">
        <v>1200</v>
      </c>
      <c r="C8" s="466">
        <v>2249194</v>
      </c>
      <c r="D8" s="466">
        <v>607742</v>
      </c>
      <c r="E8" s="466">
        <v>20497</v>
      </c>
      <c r="F8" s="466">
        <v>33731</v>
      </c>
      <c r="G8" s="466">
        <v>3355</v>
      </c>
      <c r="H8" s="466">
        <v>1162</v>
      </c>
      <c r="I8" s="467">
        <v>4680</v>
      </c>
      <c r="J8" s="467">
        <v>0</v>
      </c>
      <c r="K8" s="1671">
        <f t="shared" si="0"/>
        <v>2920361</v>
      </c>
      <c r="L8" s="466">
        <v>3152742</v>
      </c>
    </row>
    <row r="9" spans="1:14" x14ac:dyDescent="0.2">
      <c r="A9" s="1504" t="s">
        <v>721</v>
      </c>
      <c r="B9" s="614" t="s">
        <v>968</v>
      </c>
      <c r="C9" s="467">
        <v>0</v>
      </c>
      <c r="D9" s="467">
        <v>0</v>
      </c>
      <c r="E9" s="467">
        <v>0</v>
      </c>
      <c r="F9" s="467">
        <v>0</v>
      </c>
      <c r="G9" s="467">
        <v>0</v>
      </c>
      <c r="H9" s="467">
        <v>0</v>
      </c>
      <c r="I9" s="467">
        <v>0</v>
      </c>
      <c r="J9" s="467">
        <v>0</v>
      </c>
      <c r="K9" s="1671">
        <f t="shared" si="0"/>
        <v>0</v>
      </c>
      <c r="L9" s="466"/>
    </row>
    <row r="10" spans="1:14" x14ac:dyDescent="0.2">
      <c r="A10" s="1504" t="s">
        <v>722</v>
      </c>
      <c r="B10" s="614">
        <v>1250</v>
      </c>
      <c r="C10" s="466">
        <v>0</v>
      </c>
      <c r="D10" s="466">
        <v>0</v>
      </c>
      <c r="E10" s="466">
        <v>0</v>
      </c>
      <c r="F10" s="466">
        <v>0</v>
      </c>
      <c r="G10" s="466">
        <v>0</v>
      </c>
      <c r="H10" s="466">
        <v>0</v>
      </c>
      <c r="I10" s="467">
        <v>0</v>
      </c>
      <c r="J10" s="467">
        <v>0</v>
      </c>
      <c r="K10" s="1671">
        <f t="shared" si="0"/>
        <v>0</v>
      </c>
      <c r="L10" s="466">
        <v>7500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row>
    <row r="12" spans="1:14" x14ac:dyDescent="0.2">
      <c r="A12" s="1504" t="s">
        <v>962</v>
      </c>
      <c r="B12" s="614">
        <v>1300</v>
      </c>
      <c r="C12" s="466">
        <v>0</v>
      </c>
      <c r="D12" s="466">
        <v>0</v>
      </c>
      <c r="E12" s="466">
        <v>0</v>
      </c>
      <c r="F12" s="466">
        <v>0</v>
      </c>
      <c r="G12" s="466">
        <v>0</v>
      </c>
      <c r="H12" s="466">
        <v>0</v>
      </c>
      <c r="I12" s="467">
        <v>0</v>
      </c>
      <c r="J12" s="467">
        <v>0</v>
      </c>
      <c r="K12" s="1671">
        <f t="shared" si="0"/>
        <v>0</v>
      </c>
      <c r="L12" s="466"/>
    </row>
    <row r="13" spans="1:14" x14ac:dyDescent="0.2">
      <c r="A13" s="1504" t="s">
        <v>723</v>
      </c>
      <c r="B13" s="614">
        <v>1400</v>
      </c>
      <c r="C13" s="466">
        <v>0</v>
      </c>
      <c r="D13" s="466">
        <v>0</v>
      </c>
      <c r="E13" s="466">
        <v>4533</v>
      </c>
      <c r="F13" s="466">
        <v>0</v>
      </c>
      <c r="G13" s="466">
        <v>0</v>
      </c>
      <c r="H13" s="466">
        <v>0</v>
      </c>
      <c r="I13" s="467">
        <v>0</v>
      </c>
      <c r="J13" s="467">
        <v>0</v>
      </c>
      <c r="K13" s="1671">
        <f t="shared" si="0"/>
        <v>4533</v>
      </c>
      <c r="L13" s="466">
        <v>25000</v>
      </c>
    </row>
    <row r="14" spans="1:14" x14ac:dyDescent="0.2">
      <c r="A14" s="1504" t="s">
        <v>963</v>
      </c>
      <c r="B14" s="614">
        <v>1500</v>
      </c>
      <c r="C14" s="466">
        <v>0</v>
      </c>
      <c r="D14" s="466">
        <v>0</v>
      </c>
      <c r="E14" s="466">
        <v>0</v>
      </c>
      <c r="F14" s="466">
        <v>29977</v>
      </c>
      <c r="G14" s="466">
        <v>0</v>
      </c>
      <c r="H14" s="466">
        <v>0</v>
      </c>
      <c r="I14" s="467">
        <v>0</v>
      </c>
      <c r="J14" s="467">
        <v>0</v>
      </c>
      <c r="K14" s="1671">
        <f t="shared" si="0"/>
        <v>29977</v>
      </c>
      <c r="L14" s="466">
        <v>32000</v>
      </c>
    </row>
    <row r="15" spans="1:14" x14ac:dyDescent="0.2">
      <c r="A15" s="1504" t="s">
        <v>964</v>
      </c>
      <c r="B15" s="614">
        <v>1600</v>
      </c>
      <c r="C15" s="466">
        <v>56543</v>
      </c>
      <c r="D15" s="466">
        <v>531</v>
      </c>
      <c r="E15" s="466">
        <v>0</v>
      </c>
      <c r="F15" s="466">
        <v>1762</v>
      </c>
      <c r="G15" s="466">
        <v>0</v>
      </c>
      <c r="H15" s="466">
        <v>0</v>
      </c>
      <c r="I15" s="467">
        <v>0</v>
      </c>
      <c r="J15" s="467">
        <v>0</v>
      </c>
      <c r="K15" s="1671">
        <f t="shared" si="0"/>
        <v>58836</v>
      </c>
      <c r="L15" s="466">
        <v>92200</v>
      </c>
    </row>
    <row r="16" spans="1:14" x14ac:dyDescent="0.2">
      <c r="A16" s="1504" t="s">
        <v>987</v>
      </c>
      <c r="B16" s="614" t="s">
        <v>424</v>
      </c>
      <c r="C16" s="466">
        <v>0</v>
      </c>
      <c r="D16" s="466">
        <v>0</v>
      </c>
      <c r="E16" s="466">
        <v>0</v>
      </c>
      <c r="F16" s="466">
        <v>0</v>
      </c>
      <c r="G16" s="466">
        <v>0</v>
      </c>
      <c r="H16" s="466">
        <v>0</v>
      </c>
      <c r="I16" s="467">
        <v>0</v>
      </c>
      <c r="J16" s="467">
        <v>0</v>
      </c>
      <c r="K16" s="1671">
        <f t="shared" si="0"/>
        <v>0</v>
      </c>
      <c r="L16" s="466"/>
    </row>
    <row r="17" spans="1:12" x14ac:dyDescent="0.2">
      <c r="A17" s="1504" t="s">
        <v>724</v>
      </c>
      <c r="B17" s="614" t="s">
        <v>162</v>
      </c>
      <c r="C17" s="467">
        <v>0</v>
      </c>
      <c r="D17" s="467">
        <v>0</v>
      </c>
      <c r="E17" s="467">
        <v>0</v>
      </c>
      <c r="F17" s="467">
        <v>0</v>
      </c>
      <c r="G17" s="467">
        <v>0</v>
      </c>
      <c r="H17" s="467">
        <v>0</v>
      </c>
      <c r="I17" s="467">
        <v>0</v>
      </c>
      <c r="J17" s="467">
        <v>0</v>
      </c>
      <c r="K17" s="1671">
        <f t="shared" si="0"/>
        <v>0</v>
      </c>
      <c r="L17" s="466"/>
    </row>
    <row r="18" spans="1:12" x14ac:dyDescent="0.2">
      <c r="A18" s="1504" t="s">
        <v>1087</v>
      </c>
      <c r="B18" s="614">
        <v>1800</v>
      </c>
      <c r="C18" s="466">
        <v>0</v>
      </c>
      <c r="D18" s="466">
        <v>0</v>
      </c>
      <c r="E18" s="466">
        <v>0</v>
      </c>
      <c r="F18" s="466">
        <v>119</v>
      </c>
      <c r="G18" s="466">
        <v>0</v>
      </c>
      <c r="H18" s="466">
        <v>0</v>
      </c>
      <c r="I18" s="467">
        <v>0</v>
      </c>
      <c r="J18" s="467">
        <v>0</v>
      </c>
      <c r="K18" s="1671">
        <f t="shared" si="0"/>
        <v>119</v>
      </c>
      <c r="L18" s="466">
        <v>20500</v>
      </c>
    </row>
    <row r="19" spans="1:12" x14ac:dyDescent="0.2">
      <c r="A19" s="1504" t="s">
        <v>134</v>
      </c>
      <c r="B19" s="614">
        <v>1900</v>
      </c>
      <c r="C19" s="466">
        <v>0</v>
      </c>
      <c r="D19" s="466">
        <v>0</v>
      </c>
      <c r="E19" s="466">
        <v>0</v>
      </c>
      <c r="F19" s="466">
        <v>0</v>
      </c>
      <c r="G19" s="466">
        <v>0</v>
      </c>
      <c r="H19" s="466">
        <v>0</v>
      </c>
      <c r="I19" s="467">
        <v>0</v>
      </c>
      <c r="J19" s="467">
        <v>0</v>
      </c>
      <c r="K19" s="1671">
        <f t="shared" si="0"/>
        <v>0</v>
      </c>
      <c r="L19" s="466"/>
    </row>
    <row r="20" spans="1:12" x14ac:dyDescent="0.2">
      <c r="A20" s="1505" t="s">
        <v>738</v>
      </c>
      <c r="B20" s="602" t="s">
        <v>725</v>
      </c>
      <c r="C20" s="477"/>
      <c r="D20" s="477"/>
      <c r="E20" s="477"/>
      <c r="F20" s="477"/>
      <c r="G20" s="477"/>
      <c r="H20" s="474">
        <v>0</v>
      </c>
      <c r="I20" s="616"/>
      <c r="J20" s="475"/>
      <c r="K20" s="1671">
        <f t="shared" si="0"/>
        <v>0</v>
      </c>
      <c r="L20" s="471"/>
    </row>
    <row r="21" spans="1:12" x14ac:dyDescent="0.2">
      <c r="A21" s="1505" t="s">
        <v>739</v>
      </c>
      <c r="B21" s="602" t="s">
        <v>726</v>
      </c>
      <c r="C21" s="477"/>
      <c r="D21" s="477"/>
      <c r="E21" s="477"/>
      <c r="F21" s="477"/>
      <c r="G21" s="477"/>
      <c r="H21" s="474">
        <v>0</v>
      </c>
      <c r="I21" s="616"/>
      <c r="J21" s="477"/>
      <c r="K21" s="1671">
        <f t="shared" si="0"/>
        <v>0</v>
      </c>
      <c r="L21" s="471"/>
    </row>
    <row r="22" spans="1:12" x14ac:dyDescent="0.2">
      <c r="A22" s="1505" t="s">
        <v>740</v>
      </c>
      <c r="B22" s="602" t="s">
        <v>727</v>
      </c>
      <c r="C22" s="477"/>
      <c r="D22" s="477"/>
      <c r="E22" s="477"/>
      <c r="F22" s="477"/>
      <c r="G22" s="477"/>
      <c r="H22" s="474">
        <v>0</v>
      </c>
      <c r="I22" s="616"/>
      <c r="J22" s="477"/>
      <c r="K22" s="1671">
        <f t="shared" si="0"/>
        <v>0</v>
      </c>
      <c r="L22" s="471"/>
    </row>
    <row r="23" spans="1:12" x14ac:dyDescent="0.2">
      <c r="A23" s="1505" t="s">
        <v>741</v>
      </c>
      <c r="B23" s="602" t="s">
        <v>728</v>
      </c>
      <c r="C23" s="477"/>
      <c r="D23" s="477"/>
      <c r="E23" s="477"/>
      <c r="F23" s="477"/>
      <c r="G23" s="477"/>
      <c r="H23" s="474">
        <v>0</v>
      </c>
      <c r="I23" s="616"/>
      <c r="J23" s="477"/>
      <c r="K23" s="1671">
        <f t="shared" si="0"/>
        <v>0</v>
      </c>
      <c r="L23" s="471"/>
    </row>
    <row r="24" spans="1:12" ht="12.75" customHeight="1" x14ac:dyDescent="0.2">
      <c r="A24" s="1505" t="s">
        <v>742</v>
      </c>
      <c r="B24" s="602" t="s">
        <v>729</v>
      </c>
      <c r="C24" s="477"/>
      <c r="D24" s="477"/>
      <c r="E24" s="477"/>
      <c r="F24" s="477"/>
      <c r="G24" s="477"/>
      <c r="H24" s="474">
        <v>0</v>
      </c>
      <c r="I24" s="616"/>
      <c r="J24" s="477"/>
      <c r="K24" s="1671">
        <f t="shared" si="0"/>
        <v>0</v>
      </c>
      <c r="L24" s="471"/>
    </row>
    <row r="25" spans="1:12" ht="12.75" customHeight="1" x14ac:dyDescent="0.2">
      <c r="A25" s="1505" t="s">
        <v>802</v>
      </c>
      <c r="B25" s="602" t="s">
        <v>730</v>
      </c>
      <c r="C25" s="477"/>
      <c r="D25" s="477"/>
      <c r="E25" s="477"/>
      <c r="F25" s="477"/>
      <c r="G25" s="477"/>
      <c r="H25" s="474">
        <v>0</v>
      </c>
      <c r="I25" s="616"/>
      <c r="J25" s="477"/>
      <c r="K25" s="1671">
        <f t="shared" si="0"/>
        <v>0</v>
      </c>
      <c r="L25" s="471"/>
    </row>
    <row r="26" spans="1:12" x14ac:dyDescent="0.2">
      <c r="A26" s="1505" t="s">
        <v>622</v>
      </c>
      <c r="B26" s="602" t="s">
        <v>731</v>
      </c>
      <c r="C26" s="477"/>
      <c r="D26" s="477"/>
      <c r="E26" s="477"/>
      <c r="F26" s="477"/>
      <c r="G26" s="477"/>
      <c r="H26" s="474">
        <v>0</v>
      </c>
      <c r="I26" s="616"/>
      <c r="J26" s="477"/>
      <c r="K26" s="1671">
        <f t="shared" si="0"/>
        <v>0</v>
      </c>
      <c r="L26" s="471"/>
    </row>
    <row r="27" spans="1:12" x14ac:dyDescent="0.2">
      <c r="A27" s="1505" t="s">
        <v>623</v>
      </c>
      <c r="B27" s="602" t="s">
        <v>732</v>
      </c>
      <c r="C27" s="477"/>
      <c r="D27" s="477"/>
      <c r="E27" s="477"/>
      <c r="F27" s="477"/>
      <c r="G27" s="477"/>
      <c r="H27" s="474">
        <v>0</v>
      </c>
      <c r="I27" s="616"/>
      <c r="J27" s="477"/>
      <c r="K27" s="1671">
        <f t="shared" si="0"/>
        <v>0</v>
      </c>
      <c r="L27" s="471"/>
    </row>
    <row r="28" spans="1:12" x14ac:dyDescent="0.2">
      <c r="A28" s="1505" t="s">
        <v>150</v>
      </c>
      <c r="B28" s="602" t="s">
        <v>733</v>
      </c>
      <c r="C28" s="477"/>
      <c r="D28" s="477"/>
      <c r="E28" s="477"/>
      <c r="F28" s="477"/>
      <c r="G28" s="477"/>
      <c r="H28" s="474">
        <v>0</v>
      </c>
      <c r="I28" s="616"/>
      <c r="J28" s="477"/>
      <c r="K28" s="1671">
        <f t="shared" si="0"/>
        <v>0</v>
      </c>
      <c r="L28" s="471"/>
    </row>
    <row r="29" spans="1:12" x14ac:dyDescent="0.2">
      <c r="A29" s="1505" t="s">
        <v>151</v>
      </c>
      <c r="B29" s="602" t="s">
        <v>734</v>
      </c>
      <c r="C29" s="477"/>
      <c r="D29" s="477"/>
      <c r="E29" s="477"/>
      <c r="F29" s="477"/>
      <c r="G29" s="477"/>
      <c r="H29" s="474">
        <v>0</v>
      </c>
      <c r="I29" s="616"/>
      <c r="J29" s="477"/>
      <c r="K29" s="1671">
        <f t="shared" si="0"/>
        <v>0</v>
      </c>
      <c r="L29" s="471"/>
    </row>
    <row r="30" spans="1:12" x14ac:dyDescent="0.2">
      <c r="A30" s="1505" t="s">
        <v>152</v>
      </c>
      <c r="B30" s="602" t="s">
        <v>735</v>
      </c>
      <c r="C30" s="477"/>
      <c r="D30" s="477"/>
      <c r="E30" s="477"/>
      <c r="F30" s="477"/>
      <c r="G30" s="477"/>
      <c r="H30" s="474">
        <v>0</v>
      </c>
      <c r="I30" s="616"/>
      <c r="J30" s="477"/>
      <c r="K30" s="1671">
        <f t="shared" si="0"/>
        <v>0</v>
      </c>
      <c r="L30" s="471"/>
    </row>
    <row r="31" spans="1:12" x14ac:dyDescent="0.2">
      <c r="A31" s="1505" t="s">
        <v>153</v>
      </c>
      <c r="B31" s="602" t="s">
        <v>736</v>
      </c>
      <c r="C31" s="477"/>
      <c r="D31" s="477"/>
      <c r="E31" s="477"/>
      <c r="F31" s="477"/>
      <c r="G31" s="477"/>
      <c r="H31" s="474">
        <v>0</v>
      </c>
      <c r="I31" s="616"/>
      <c r="J31" s="477"/>
      <c r="K31" s="1671">
        <f t="shared" si="0"/>
        <v>0</v>
      </c>
      <c r="L31" s="471"/>
    </row>
    <row r="32" spans="1:12" x14ac:dyDescent="0.2">
      <c r="A32" s="1506" t="s">
        <v>1129</v>
      </c>
      <c r="B32" s="614" t="s">
        <v>737</v>
      </c>
      <c r="C32" s="477"/>
      <c r="D32" s="477"/>
      <c r="E32" s="477"/>
      <c r="F32" s="477"/>
      <c r="G32" s="477"/>
      <c r="H32" s="474">
        <v>0</v>
      </c>
      <c r="I32" s="616"/>
      <c r="J32" s="480"/>
      <c r="K32" s="1671">
        <f t="shared" si="0"/>
        <v>0</v>
      </c>
      <c r="L32" s="471"/>
    </row>
    <row r="33" spans="1:14" ht="12.75" customHeight="1" thickBot="1" x14ac:dyDescent="0.25">
      <c r="A33" s="1668" t="s">
        <v>1668</v>
      </c>
      <c r="B33" s="1669" t="s">
        <v>570</v>
      </c>
      <c r="C33" s="1670">
        <f>SUM(C5:C32)</f>
        <v>9789470</v>
      </c>
      <c r="D33" s="1670">
        <f t="shared" ref="D33:L33" si="1">SUM(D5:D32)</f>
        <v>2489294</v>
      </c>
      <c r="E33" s="1670">
        <f t="shared" si="1"/>
        <v>52077</v>
      </c>
      <c r="F33" s="1670">
        <f t="shared" si="1"/>
        <v>350784</v>
      </c>
      <c r="G33" s="1670">
        <f t="shared" si="1"/>
        <v>58750</v>
      </c>
      <c r="H33" s="1670">
        <f t="shared" si="1"/>
        <v>1162</v>
      </c>
      <c r="I33" s="1670">
        <f t="shared" si="1"/>
        <v>49086</v>
      </c>
      <c r="J33" s="1670">
        <f t="shared" si="1"/>
        <v>0</v>
      </c>
      <c r="K33" s="1670">
        <f t="shared" si="1"/>
        <v>12790623</v>
      </c>
      <c r="L33" s="1670">
        <f t="shared" si="1"/>
        <v>13167895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364810</v>
      </c>
    </row>
    <row r="37" spans="1:14" x14ac:dyDescent="0.2">
      <c r="A37" s="1504" t="s">
        <v>1090</v>
      </c>
      <c r="B37" s="614">
        <v>2120</v>
      </c>
      <c r="C37" s="466">
        <v>0</v>
      </c>
      <c r="D37" s="466">
        <v>0</v>
      </c>
      <c r="E37" s="466">
        <v>0</v>
      </c>
      <c r="F37" s="466">
        <v>0</v>
      </c>
      <c r="G37" s="466">
        <v>0</v>
      </c>
      <c r="H37" s="466">
        <v>0</v>
      </c>
      <c r="I37" s="467">
        <v>0</v>
      </c>
      <c r="J37" s="467">
        <v>0</v>
      </c>
      <c r="K37" s="1671">
        <f t="shared" si="2"/>
        <v>0</v>
      </c>
      <c r="L37" s="466"/>
    </row>
    <row r="38" spans="1:14" x14ac:dyDescent="0.2">
      <c r="A38" s="1504" t="s">
        <v>198</v>
      </c>
      <c r="B38" s="614">
        <v>2130</v>
      </c>
      <c r="C38" s="466">
        <v>307671</v>
      </c>
      <c r="D38" s="466">
        <v>833</v>
      </c>
      <c r="E38" s="466">
        <v>83290</v>
      </c>
      <c r="F38" s="466">
        <v>7849</v>
      </c>
      <c r="G38" s="466">
        <v>0</v>
      </c>
      <c r="H38" s="466">
        <v>0</v>
      </c>
      <c r="I38" s="467">
        <v>8095</v>
      </c>
      <c r="J38" s="467">
        <v>0</v>
      </c>
      <c r="K38" s="1671">
        <f t="shared" si="2"/>
        <v>407738</v>
      </c>
      <c r="L38" s="466">
        <v>401850</v>
      </c>
    </row>
    <row r="39" spans="1:14" x14ac:dyDescent="0.2">
      <c r="A39" s="1504" t="s">
        <v>199</v>
      </c>
      <c r="B39" s="614">
        <v>2140</v>
      </c>
      <c r="C39" s="466">
        <v>306629</v>
      </c>
      <c r="D39" s="466">
        <v>4586</v>
      </c>
      <c r="E39" s="466">
        <v>0</v>
      </c>
      <c r="F39" s="466">
        <v>0</v>
      </c>
      <c r="G39" s="466">
        <v>0</v>
      </c>
      <c r="H39" s="466">
        <v>0</v>
      </c>
      <c r="I39" s="467">
        <v>0</v>
      </c>
      <c r="J39" s="467">
        <v>0</v>
      </c>
      <c r="K39" s="1671">
        <f t="shared" si="2"/>
        <v>311215</v>
      </c>
      <c r="L39" s="466">
        <v>300861</v>
      </c>
    </row>
    <row r="40" spans="1:14" x14ac:dyDescent="0.2">
      <c r="A40" s="1504" t="s">
        <v>200</v>
      </c>
      <c r="B40" s="614">
        <v>2150</v>
      </c>
      <c r="C40" s="466">
        <v>429782</v>
      </c>
      <c r="D40" s="466">
        <v>6427</v>
      </c>
      <c r="E40" s="466">
        <v>16511</v>
      </c>
      <c r="F40" s="466">
        <v>0</v>
      </c>
      <c r="G40" s="466">
        <v>0</v>
      </c>
      <c r="H40" s="466">
        <v>0</v>
      </c>
      <c r="I40" s="467">
        <v>0</v>
      </c>
      <c r="J40" s="467">
        <v>0</v>
      </c>
      <c r="K40" s="1671">
        <f t="shared" si="2"/>
        <v>452720</v>
      </c>
      <c r="L40" s="466">
        <v>441700</v>
      </c>
    </row>
    <row r="41" spans="1:14" x14ac:dyDescent="0.2">
      <c r="A41" s="1504" t="s">
        <v>1669</v>
      </c>
      <c r="B41" s="614">
        <v>2190</v>
      </c>
      <c r="C41" s="466">
        <v>28209</v>
      </c>
      <c r="D41" s="466">
        <v>0</v>
      </c>
      <c r="E41" s="466">
        <v>917</v>
      </c>
      <c r="F41" s="466">
        <v>1610</v>
      </c>
      <c r="G41" s="466">
        <v>0</v>
      </c>
      <c r="H41" s="466">
        <v>0</v>
      </c>
      <c r="I41" s="467">
        <v>0</v>
      </c>
      <c r="J41" s="467">
        <v>0</v>
      </c>
      <c r="K41" s="1671">
        <f t="shared" si="2"/>
        <v>30736</v>
      </c>
      <c r="L41" s="466">
        <v>29000</v>
      </c>
    </row>
    <row r="42" spans="1:14" ht="12.75" customHeight="1" thickBot="1" x14ac:dyDescent="0.25">
      <c r="A42" s="1668" t="s">
        <v>560</v>
      </c>
      <c r="B42" s="1669" t="s">
        <v>716</v>
      </c>
      <c r="C42" s="1670">
        <f>SUM(C36:C41)</f>
        <v>1072291</v>
      </c>
      <c r="D42" s="1670">
        <f t="shared" ref="D42:L42" si="3">SUM(D36:D41)</f>
        <v>11846</v>
      </c>
      <c r="E42" s="1670">
        <f t="shared" si="3"/>
        <v>100718</v>
      </c>
      <c r="F42" s="1670">
        <f t="shared" si="3"/>
        <v>9459</v>
      </c>
      <c r="G42" s="1670">
        <f t="shared" si="3"/>
        <v>0</v>
      </c>
      <c r="H42" s="1670">
        <f t="shared" si="3"/>
        <v>0</v>
      </c>
      <c r="I42" s="1670">
        <f t="shared" si="3"/>
        <v>8095</v>
      </c>
      <c r="J42" s="1670">
        <f t="shared" si="3"/>
        <v>0</v>
      </c>
      <c r="K42" s="1670">
        <f t="shared" si="3"/>
        <v>1202409</v>
      </c>
      <c r="L42" s="1670">
        <f t="shared" si="3"/>
        <v>1538221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73977</v>
      </c>
      <c r="D44" s="481">
        <v>33783</v>
      </c>
      <c r="E44" s="481">
        <v>158905</v>
      </c>
      <c r="F44" s="481">
        <v>10363</v>
      </c>
      <c r="G44" s="481">
        <v>0</v>
      </c>
      <c r="H44" s="481">
        <v>1559</v>
      </c>
      <c r="I44" s="467">
        <v>0</v>
      </c>
      <c r="J44" s="467">
        <v>0</v>
      </c>
      <c r="K44" s="1672">
        <f>SUM(C44:J44)</f>
        <v>278587</v>
      </c>
      <c r="L44" s="481">
        <v>316500</v>
      </c>
    </row>
    <row r="45" spans="1:14" x14ac:dyDescent="0.2">
      <c r="A45" s="1504" t="s">
        <v>815</v>
      </c>
      <c r="B45" s="614">
        <v>2220</v>
      </c>
      <c r="C45" s="466">
        <v>654832</v>
      </c>
      <c r="D45" s="466">
        <v>53797</v>
      </c>
      <c r="E45" s="466">
        <v>127696</v>
      </c>
      <c r="F45" s="466">
        <v>146025</v>
      </c>
      <c r="G45" s="466">
        <v>426276</v>
      </c>
      <c r="H45" s="466">
        <v>0</v>
      </c>
      <c r="I45" s="467">
        <v>62231</v>
      </c>
      <c r="J45" s="467">
        <v>0</v>
      </c>
      <c r="K45" s="1672">
        <f>SUM(C45:J45)</f>
        <v>1470857</v>
      </c>
      <c r="L45" s="466">
        <v>1496560</v>
      </c>
    </row>
    <row r="46" spans="1:14" x14ac:dyDescent="0.2">
      <c r="A46" s="1504" t="s">
        <v>816</v>
      </c>
      <c r="B46" s="614">
        <v>2230</v>
      </c>
      <c r="C46" s="466">
        <v>0</v>
      </c>
      <c r="D46" s="466">
        <v>0</v>
      </c>
      <c r="E46" s="466">
        <v>14140</v>
      </c>
      <c r="F46" s="466">
        <v>606</v>
      </c>
      <c r="G46" s="466">
        <v>0</v>
      </c>
      <c r="H46" s="466">
        <v>0</v>
      </c>
      <c r="I46" s="467">
        <v>0</v>
      </c>
      <c r="J46" s="467">
        <v>0</v>
      </c>
      <c r="K46" s="1672">
        <f>SUM(C46:J46)</f>
        <v>14746</v>
      </c>
      <c r="L46" s="466">
        <v>23000</v>
      </c>
    </row>
    <row r="47" spans="1:14" ht="12.75" customHeight="1" thickBot="1" x14ac:dyDescent="0.25">
      <c r="A47" s="1668" t="s">
        <v>561</v>
      </c>
      <c r="B47" s="1669" t="s">
        <v>32</v>
      </c>
      <c r="C47" s="1670">
        <f>SUM(C44:C46)</f>
        <v>728809</v>
      </c>
      <c r="D47" s="1670">
        <f t="shared" ref="D47:K47" si="4">SUM(D44:D46)</f>
        <v>87580</v>
      </c>
      <c r="E47" s="1670">
        <f t="shared" si="4"/>
        <v>300741</v>
      </c>
      <c r="F47" s="1670">
        <f t="shared" si="4"/>
        <v>156994</v>
      </c>
      <c r="G47" s="1670">
        <f t="shared" si="4"/>
        <v>426276</v>
      </c>
      <c r="H47" s="1670">
        <f t="shared" si="4"/>
        <v>1559</v>
      </c>
      <c r="I47" s="1670">
        <f t="shared" si="4"/>
        <v>62231</v>
      </c>
      <c r="J47" s="1670">
        <f t="shared" si="4"/>
        <v>0</v>
      </c>
      <c r="K47" s="1670">
        <f t="shared" si="4"/>
        <v>1764190</v>
      </c>
      <c r="L47" s="1670">
        <f>SUM(L44:L46)</f>
        <v>1836060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730</v>
      </c>
      <c r="D49" s="481">
        <v>0</v>
      </c>
      <c r="E49" s="481">
        <v>307259</v>
      </c>
      <c r="F49" s="481">
        <v>10754</v>
      </c>
      <c r="G49" s="481">
        <v>0</v>
      </c>
      <c r="H49" s="481">
        <v>21847</v>
      </c>
      <c r="I49" s="467">
        <v>0</v>
      </c>
      <c r="J49" s="467">
        <v>0</v>
      </c>
      <c r="K49" s="1672">
        <f>SUM(C49:J49)</f>
        <v>340590</v>
      </c>
      <c r="L49" s="481">
        <v>324500</v>
      </c>
    </row>
    <row r="50" spans="1:14" x14ac:dyDescent="0.2">
      <c r="A50" s="1504" t="s">
        <v>818</v>
      </c>
      <c r="B50" s="614">
        <v>2320</v>
      </c>
      <c r="C50" s="466">
        <v>207632</v>
      </c>
      <c r="D50" s="466">
        <v>47706</v>
      </c>
      <c r="E50" s="466">
        <v>7015</v>
      </c>
      <c r="F50" s="466">
        <v>2611</v>
      </c>
      <c r="G50" s="466">
        <v>2705</v>
      </c>
      <c r="H50" s="466">
        <v>2661</v>
      </c>
      <c r="I50" s="467">
        <v>0</v>
      </c>
      <c r="J50" s="467">
        <v>0</v>
      </c>
      <c r="K50" s="1672">
        <f>SUM(C50:J50)</f>
        <v>270330</v>
      </c>
      <c r="L50" s="466">
        <v>245400</v>
      </c>
    </row>
    <row r="51" spans="1:14" x14ac:dyDescent="0.2">
      <c r="A51" s="1504" t="s">
        <v>42</v>
      </c>
      <c r="B51" s="614">
        <v>2330</v>
      </c>
      <c r="C51" s="466">
        <v>0</v>
      </c>
      <c r="D51" s="466">
        <v>0</v>
      </c>
      <c r="E51" s="466">
        <v>0</v>
      </c>
      <c r="F51" s="466">
        <v>0</v>
      </c>
      <c r="G51" s="466">
        <v>0</v>
      </c>
      <c r="H51" s="466">
        <v>0</v>
      </c>
      <c r="I51" s="467">
        <v>0</v>
      </c>
      <c r="J51" s="467">
        <v>0</v>
      </c>
      <c r="K51" s="1672">
        <f>SUM(C51:J51)</f>
        <v>0</v>
      </c>
      <c r="L51" s="466">
        <v>179000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208362</v>
      </c>
      <c r="D53" s="1670">
        <f t="shared" ref="D53:L53" si="5">SUM(D49:D52)</f>
        <v>47706</v>
      </c>
      <c r="E53" s="1670">
        <f t="shared" si="5"/>
        <v>314274</v>
      </c>
      <c r="F53" s="1670">
        <f t="shared" si="5"/>
        <v>13365</v>
      </c>
      <c r="G53" s="1670">
        <f t="shared" si="5"/>
        <v>2705</v>
      </c>
      <c r="H53" s="1670">
        <f t="shared" si="5"/>
        <v>24508</v>
      </c>
      <c r="I53" s="1670">
        <f t="shared" si="5"/>
        <v>0</v>
      </c>
      <c r="J53" s="1670">
        <f t="shared" si="5"/>
        <v>0</v>
      </c>
      <c r="K53" s="1670">
        <f t="shared" si="5"/>
        <v>610920</v>
      </c>
      <c r="L53" s="1670">
        <f t="shared" si="5"/>
        <v>748900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950855</v>
      </c>
      <c r="D55" s="481">
        <v>188303</v>
      </c>
      <c r="E55" s="481">
        <v>4501</v>
      </c>
      <c r="F55" s="481">
        <v>4895</v>
      </c>
      <c r="G55" s="481">
        <v>0</v>
      </c>
      <c r="H55" s="481">
        <v>4901</v>
      </c>
      <c r="I55" s="467">
        <v>0</v>
      </c>
      <c r="J55" s="467">
        <v>0</v>
      </c>
      <c r="K55" s="1672">
        <f>SUM(C55:J55)</f>
        <v>1153455</v>
      </c>
      <c r="L55" s="481">
        <v>1178300</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row>
    <row r="57" spans="1:14" s="343" customFormat="1" ht="12.75" customHeight="1" thickBot="1" x14ac:dyDescent="0.25">
      <c r="A57" s="1668" t="s">
        <v>263</v>
      </c>
      <c r="B57" s="1673" t="s">
        <v>34</v>
      </c>
      <c r="C57" s="1674">
        <f>SUM(C55:C56)</f>
        <v>950855</v>
      </c>
      <c r="D57" s="1674">
        <f t="shared" ref="D57:K57" si="6">SUM(D55:D56)</f>
        <v>188303</v>
      </c>
      <c r="E57" s="1674">
        <f t="shared" si="6"/>
        <v>4501</v>
      </c>
      <c r="F57" s="1674">
        <f t="shared" si="6"/>
        <v>4895</v>
      </c>
      <c r="G57" s="1674">
        <f t="shared" si="6"/>
        <v>0</v>
      </c>
      <c r="H57" s="1674">
        <f t="shared" si="6"/>
        <v>4901</v>
      </c>
      <c r="I57" s="1674">
        <f t="shared" si="6"/>
        <v>0</v>
      </c>
      <c r="J57" s="1674">
        <f t="shared" si="6"/>
        <v>0</v>
      </c>
      <c r="K57" s="1674">
        <f t="shared" si="6"/>
        <v>1153455</v>
      </c>
      <c r="L57" s="1670">
        <f>SUM(L55:L56)</f>
        <v>1178300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150437</v>
      </c>
      <c r="D59" s="481">
        <v>25619</v>
      </c>
      <c r="E59" s="481">
        <v>2123</v>
      </c>
      <c r="F59" s="481">
        <v>0</v>
      </c>
      <c r="G59" s="481">
        <v>0</v>
      </c>
      <c r="H59" s="481">
        <v>3577</v>
      </c>
      <c r="I59" s="467">
        <v>0</v>
      </c>
      <c r="J59" s="467">
        <v>0</v>
      </c>
      <c r="K59" s="1672">
        <f t="shared" ref="K59:K64" si="7">SUM(C59:J59)</f>
        <v>181756</v>
      </c>
      <c r="L59" s="481">
        <v>184000</v>
      </c>
      <c r="M59" s="609"/>
      <c r="N59" s="609"/>
    </row>
    <row r="60" spans="1:14" s="343" customFormat="1" x14ac:dyDescent="0.2">
      <c r="A60" s="1504" t="s">
        <v>463</v>
      </c>
      <c r="B60" s="614">
        <v>2520</v>
      </c>
      <c r="C60" s="466">
        <v>172005</v>
      </c>
      <c r="D60" s="466">
        <v>69100</v>
      </c>
      <c r="E60" s="466">
        <v>13136</v>
      </c>
      <c r="F60" s="466">
        <v>638</v>
      </c>
      <c r="G60" s="466">
        <v>0</v>
      </c>
      <c r="H60" s="466">
        <v>0</v>
      </c>
      <c r="I60" s="467">
        <v>0</v>
      </c>
      <c r="J60" s="467">
        <v>0</v>
      </c>
      <c r="K60" s="1672">
        <f t="shared" si="7"/>
        <v>254879</v>
      </c>
      <c r="L60" s="466">
        <v>250000</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c r="M62" s="609"/>
      <c r="N62" s="609"/>
    </row>
    <row r="63" spans="1:14" s="609" customFormat="1" x14ac:dyDescent="0.2">
      <c r="A63" s="1504" t="s">
        <v>100</v>
      </c>
      <c r="B63" s="614">
        <v>2560</v>
      </c>
      <c r="C63" s="466">
        <v>184038</v>
      </c>
      <c r="D63" s="466">
        <v>0</v>
      </c>
      <c r="E63" s="466">
        <v>4699</v>
      </c>
      <c r="F63" s="466">
        <v>148241</v>
      </c>
      <c r="G63" s="466">
        <v>0</v>
      </c>
      <c r="H63" s="466">
        <v>3941</v>
      </c>
      <c r="I63" s="467">
        <v>2494</v>
      </c>
      <c r="J63" s="467">
        <v>0</v>
      </c>
      <c r="K63" s="1672">
        <f t="shared" si="7"/>
        <v>343413</v>
      </c>
      <c r="L63" s="466">
        <v>419200</v>
      </c>
    </row>
    <row r="64" spans="1:14" s="609" customFormat="1" x14ac:dyDescent="0.2">
      <c r="A64" s="1509" t="s">
        <v>101</v>
      </c>
      <c r="B64" s="630">
        <v>2570</v>
      </c>
      <c r="C64" s="481">
        <v>0</v>
      </c>
      <c r="D64" s="481">
        <v>0</v>
      </c>
      <c r="E64" s="481">
        <v>103196</v>
      </c>
      <c r="F64" s="481">
        <v>29066</v>
      </c>
      <c r="G64" s="481">
        <v>0</v>
      </c>
      <c r="H64" s="481">
        <v>0</v>
      </c>
      <c r="I64" s="467">
        <v>0</v>
      </c>
      <c r="J64" s="467">
        <v>0</v>
      </c>
      <c r="K64" s="1672">
        <f t="shared" si="7"/>
        <v>132262</v>
      </c>
      <c r="L64" s="481">
        <v>144000</v>
      </c>
    </row>
    <row r="65" spans="1:14" s="343" customFormat="1" ht="12.75" customHeight="1" thickBot="1" x14ac:dyDescent="0.25">
      <c r="A65" s="1668" t="s">
        <v>719</v>
      </c>
      <c r="B65" s="1669" t="s">
        <v>35</v>
      </c>
      <c r="C65" s="1670">
        <f>SUM(C59:C64)</f>
        <v>506480</v>
      </c>
      <c r="D65" s="1670">
        <f t="shared" ref="D65:L65" si="8">SUM(D59:D64)</f>
        <v>94719</v>
      </c>
      <c r="E65" s="1670">
        <f t="shared" si="8"/>
        <v>123154</v>
      </c>
      <c r="F65" s="1670">
        <f t="shared" si="8"/>
        <v>177945</v>
      </c>
      <c r="G65" s="1670">
        <f t="shared" si="8"/>
        <v>0</v>
      </c>
      <c r="H65" s="1670">
        <f t="shared" si="8"/>
        <v>7518</v>
      </c>
      <c r="I65" s="1670">
        <f t="shared" si="8"/>
        <v>2494</v>
      </c>
      <c r="J65" s="1670">
        <f t="shared" si="8"/>
        <v>0</v>
      </c>
      <c r="K65" s="1670">
        <f t="shared" si="8"/>
        <v>912310</v>
      </c>
      <c r="L65" s="1670">
        <f t="shared" si="8"/>
        <v>997200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c r="M69" s="609"/>
      <c r="N69" s="609"/>
    </row>
    <row r="70" spans="1:14" s="343" customFormat="1" x14ac:dyDescent="0.2">
      <c r="A70" s="1504" t="s">
        <v>403</v>
      </c>
      <c r="B70" s="614">
        <v>2640</v>
      </c>
      <c r="C70" s="466">
        <v>1044</v>
      </c>
      <c r="D70" s="466">
        <v>34</v>
      </c>
      <c r="E70" s="466">
        <v>0</v>
      </c>
      <c r="F70" s="466">
        <v>0</v>
      </c>
      <c r="G70" s="466">
        <v>0</v>
      </c>
      <c r="H70" s="466">
        <v>0</v>
      </c>
      <c r="I70" s="467">
        <v>0</v>
      </c>
      <c r="J70" s="467">
        <v>0</v>
      </c>
      <c r="K70" s="1672">
        <f>SUM(C70:J70)</f>
        <v>1078</v>
      </c>
      <c r="L70" s="466">
        <v>2000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c r="M71" s="609"/>
      <c r="N71" s="609"/>
    </row>
    <row r="72" spans="1:14" s="343" customFormat="1" ht="12.75" customHeight="1" thickBot="1" x14ac:dyDescent="0.25">
      <c r="A72" s="1668" t="s">
        <v>37</v>
      </c>
      <c r="B72" s="1675" t="s">
        <v>36</v>
      </c>
      <c r="C72" s="1670">
        <f>SUM(C67:C71)</f>
        <v>1044</v>
      </c>
      <c r="D72" s="1670">
        <f t="shared" ref="D72:K72" si="9">SUM(D67:D71)</f>
        <v>34</v>
      </c>
      <c r="E72" s="1670">
        <f t="shared" si="9"/>
        <v>0</v>
      </c>
      <c r="F72" s="1670">
        <f t="shared" si="9"/>
        <v>0</v>
      </c>
      <c r="G72" s="1670">
        <f t="shared" si="9"/>
        <v>0</v>
      </c>
      <c r="H72" s="1670">
        <f t="shared" si="9"/>
        <v>0</v>
      </c>
      <c r="I72" s="1670">
        <f t="shared" si="9"/>
        <v>0</v>
      </c>
      <c r="J72" s="1670">
        <f t="shared" si="9"/>
        <v>0</v>
      </c>
      <c r="K72" s="1670">
        <f t="shared" si="9"/>
        <v>1078</v>
      </c>
      <c r="L72" s="1670">
        <f>SUM(L67:L71)</f>
        <v>2000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300</v>
      </c>
      <c r="M73" s="609"/>
      <c r="N73" s="609"/>
    </row>
    <row r="74" spans="1:14" ht="12.75" customHeight="1" thickTop="1" thickBot="1" x14ac:dyDescent="0.25">
      <c r="A74" s="1668" t="s">
        <v>811</v>
      </c>
      <c r="B74" s="1676">
        <v>2000</v>
      </c>
      <c r="C74" s="1677">
        <f>SUM(C42,C47,C53,C57,C65,C72,C73)</f>
        <v>3467841</v>
      </c>
      <c r="D74" s="1677">
        <f t="shared" ref="D74:K74" si="10">SUM(D42,D47,D53,D57,D65,D72,D73)</f>
        <v>430188</v>
      </c>
      <c r="E74" s="1677">
        <f t="shared" si="10"/>
        <v>843388</v>
      </c>
      <c r="F74" s="1677">
        <f t="shared" si="10"/>
        <v>362658</v>
      </c>
      <c r="G74" s="1677">
        <f t="shared" si="10"/>
        <v>428981</v>
      </c>
      <c r="H74" s="1677">
        <f t="shared" si="10"/>
        <v>38486</v>
      </c>
      <c r="I74" s="1677">
        <f t="shared" si="10"/>
        <v>72820</v>
      </c>
      <c r="J74" s="1677">
        <f t="shared" si="10"/>
        <v>0</v>
      </c>
      <c r="K74" s="1677">
        <f t="shared" si="10"/>
        <v>5644362</v>
      </c>
      <c r="L74" s="1677">
        <f>SUM(L42,L47,L53,L57,L65,L72,L73)</f>
        <v>6300981</v>
      </c>
    </row>
    <row r="75" spans="1:14" s="259" customFormat="1" ht="15.75" customHeight="1" thickTop="1" thickBot="1" x14ac:dyDescent="0.25">
      <c r="A75" s="1610" t="s">
        <v>47</v>
      </c>
      <c r="B75" s="1611" t="s">
        <v>575</v>
      </c>
      <c r="C75" s="573">
        <v>0</v>
      </c>
      <c r="D75" s="573">
        <v>0</v>
      </c>
      <c r="E75" s="573">
        <v>3355</v>
      </c>
      <c r="F75" s="573">
        <v>0</v>
      </c>
      <c r="G75" s="573">
        <v>0</v>
      </c>
      <c r="H75" s="573">
        <v>0</v>
      </c>
      <c r="I75" s="531">
        <v>0</v>
      </c>
      <c r="J75" s="531">
        <v>0</v>
      </c>
      <c r="K75" s="1670">
        <f>SUM(C75:J75)</f>
        <v>3355</v>
      </c>
      <c r="L75" s="576">
        <v>2500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4457</v>
      </c>
      <c r="I78" s="477"/>
      <c r="J78" s="477"/>
      <c r="K78" s="1671">
        <f t="shared" ref="K78:K83" si="11">SUM(C78:J78)</f>
        <v>4457</v>
      </c>
      <c r="L78" s="481">
        <v>9200</v>
      </c>
    </row>
    <row r="79" spans="1:14" x14ac:dyDescent="0.2">
      <c r="A79" s="1504" t="s">
        <v>304</v>
      </c>
      <c r="B79" s="614">
        <v>4120</v>
      </c>
      <c r="C79" s="616"/>
      <c r="D79" s="616"/>
      <c r="E79" s="466">
        <v>0</v>
      </c>
      <c r="F79" s="616"/>
      <c r="G79" s="616"/>
      <c r="H79" s="466">
        <v>671171</v>
      </c>
      <c r="I79" s="477"/>
      <c r="J79" s="477"/>
      <c r="K79" s="1671">
        <f t="shared" si="11"/>
        <v>671171</v>
      </c>
      <c r="L79" s="466">
        <v>610000</v>
      </c>
    </row>
    <row r="80" spans="1:14" x14ac:dyDescent="0.2">
      <c r="A80" s="1504" t="s">
        <v>305</v>
      </c>
      <c r="B80" s="614">
        <v>4130</v>
      </c>
      <c r="C80" s="616"/>
      <c r="D80" s="616"/>
      <c r="E80" s="466">
        <v>0</v>
      </c>
      <c r="F80" s="616"/>
      <c r="G80" s="616"/>
      <c r="H80" s="466">
        <v>0</v>
      </c>
      <c r="I80" s="477"/>
      <c r="J80" s="477"/>
      <c r="K80" s="1671">
        <f t="shared" si="11"/>
        <v>0</v>
      </c>
      <c r="L80" s="466"/>
    </row>
    <row r="81" spans="1:12" x14ac:dyDescent="0.2">
      <c r="A81" s="1504" t="s">
        <v>697</v>
      </c>
      <c r="B81" s="614">
        <v>4140</v>
      </c>
      <c r="C81" s="616"/>
      <c r="D81" s="616"/>
      <c r="E81" s="466">
        <v>0</v>
      </c>
      <c r="F81" s="616"/>
      <c r="G81" s="616"/>
      <c r="H81" s="466">
        <v>0</v>
      </c>
      <c r="I81" s="477"/>
      <c r="J81" s="477"/>
      <c r="K81" s="1671">
        <f t="shared" si="11"/>
        <v>0</v>
      </c>
      <c r="L81" s="466"/>
    </row>
    <row r="82" spans="1:12" x14ac:dyDescent="0.2">
      <c r="A82" s="1504" t="s">
        <v>86</v>
      </c>
      <c r="B82" s="614">
        <v>4170</v>
      </c>
      <c r="C82" s="616"/>
      <c r="D82" s="616"/>
      <c r="E82" s="466">
        <v>0</v>
      </c>
      <c r="F82" s="616"/>
      <c r="G82" s="616"/>
      <c r="H82" s="466">
        <v>0</v>
      </c>
      <c r="I82" s="477"/>
      <c r="J82" s="477"/>
      <c r="K82" s="1671">
        <f t="shared" si="11"/>
        <v>0</v>
      </c>
      <c r="L82" s="466"/>
    </row>
    <row r="83" spans="1:12" x14ac:dyDescent="0.2">
      <c r="A83" s="1508" t="s">
        <v>698</v>
      </c>
      <c r="B83" s="628">
        <v>4190</v>
      </c>
      <c r="C83" s="616"/>
      <c r="D83" s="616"/>
      <c r="E83" s="466">
        <v>0</v>
      </c>
      <c r="F83" s="616"/>
      <c r="G83" s="616"/>
      <c r="H83" s="466">
        <v>0</v>
      </c>
      <c r="I83" s="477"/>
      <c r="J83" s="477"/>
      <c r="K83" s="1671">
        <f t="shared" si="11"/>
        <v>0</v>
      </c>
      <c r="L83" s="466"/>
    </row>
    <row r="84" spans="1:12" ht="13.5" thickBot="1" x14ac:dyDescent="0.25">
      <c r="A84" s="1668" t="s">
        <v>1485</v>
      </c>
      <c r="B84" s="1678">
        <v>4100</v>
      </c>
      <c r="C84" s="616"/>
      <c r="D84" s="616"/>
      <c r="E84" s="1670">
        <f>SUM(E78:E83)</f>
        <v>0</v>
      </c>
      <c r="F84" s="616"/>
      <c r="G84" s="616"/>
      <c r="H84" s="1670">
        <f>SUM(H78:H83)</f>
        <v>675628</v>
      </c>
      <c r="I84" s="477"/>
      <c r="J84" s="477"/>
      <c r="K84" s="1670">
        <f>SUM(K78:K83)</f>
        <v>675628</v>
      </c>
      <c r="L84" s="1670">
        <f>SUM(L78:L83)</f>
        <v>619200</v>
      </c>
    </row>
    <row r="85" spans="1:12" ht="12.75" customHeight="1" thickTop="1" thickBot="1" x14ac:dyDescent="0.25">
      <c r="A85" s="1511" t="s">
        <v>255</v>
      </c>
      <c r="B85" s="635">
        <v>4210</v>
      </c>
      <c r="C85" s="616"/>
      <c r="D85" s="616"/>
      <c r="E85" s="636"/>
      <c r="F85" s="616"/>
      <c r="G85" s="616"/>
      <c r="H85" s="535">
        <v>0</v>
      </c>
      <c r="I85" s="477"/>
      <c r="J85" s="477"/>
      <c r="K85" s="1677">
        <f>H85</f>
        <v>0</v>
      </c>
      <c r="L85" s="530"/>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row>
    <row r="87" spans="1:12" ht="14.25" thickTop="1" thickBot="1" x14ac:dyDescent="0.25">
      <c r="A87" s="1513" t="s">
        <v>700</v>
      </c>
      <c r="B87" s="639">
        <v>4230</v>
      </c>
      <c r="C87" s="616"/>
      <c r="D87" s="616"/>
      <c r="E87" s="638"/>
      <c r="F87" s="616"/>
      <c r="G87" s="616"/>
      <c r="H87" s="467">
        <v>0</v>
      </c>
      <c r="I87" s="477"/>
      <c r="J87" s="477"/>
      <c r="K87" s="1677">
        <f t="shared" si="12"/>
        <v>0</v>
      </c>
      <c r="L87" s="530"/>
    </row>
    <row r="88" spans="1:12" ht="12.75" customHeight="1" thickTop="1" thickBot="1" x14ac:dyDescent="0.25">
      <c r="A88" s="1513" t="s">
        <v>765</v>
      </c>
      <c r="B88" s="639">
        <v>4240</v>
      </c>
      <c r="C88" s="616"/>
      <c r="D88" s="616"/>
      <c r="E88" s="638"/>
      <c r="F88" s="616"/>
      <c r="G88" s="616"/>
      <c r="H88" s="467">
        <v>0</v>
      </c>
      <c r="I88" s="477"/>
      <c r="J88" s="477"/>
      <c r="K88" s="1677">
        <f t="shared" si="12"/>
        <v>0</v>
      </c>
      <c r="L88" s="530"/>
    </row>
    <row r="89" spans="1:12" ht="12.75" customHeight="1" thickTop="1" thickBot="1" x14ac:dyDescent="0.25">
      <c r="A89" s="1513" t="s">
        <v>701</v>
      </c>
      <c r="B89" s="639">
        <v>4270</v>
      </c>
      <c r="C89" s="616"/>
      <c r="D89" s="616"/>
      <c r="E89" s="638"/>
      <c r="F89" s="616"/>
      <c r="G89" s="616"/>
      <c r="H89" s="467">
        <v>0</v>
      </c>
      <c r="I89" s="477"/>
      <c r="J89" s="477"/>
      <c r="K89" s="1677">
        <f t="shared" si="12"/>
        <v>0</v>
      </c>
      <c r="L89" s="530"/>
    </row>
    <row r="90" spans="1:12" ht="12.75" customHeight="1" thickTop="1" thickBot="1" x14ac:dyDescent="0.25">
      <c r="A90" s="1513" t="s">
        <v>686</v>
      </c>
      <c r="B90" s="639">
        <v>4280</v>
      </c>
      <c r="C90" s="616"/>
      <c r="D90" s="616"/>
      <c r="E90" s="638"/>
      <c r="F90" s="616"/>
      <c r="G90" s="616"/>
      <c r="H90" s="467">
        <v>0</v>
      </c>
      <c r="I90" s="477"/>
      <c r="J90" s="477"/>
      <c r="K90" s="1677">
        <f t="shared" si="12"/>
        <v>0</v>
      </c>
      <c r="L90" s="530"/>
    </row>
    <row r="91" spans="1:12" ht="12.75" customHeight="1" thickTop="1" thickBot="1" x14ac:dyDescent="0.25">
      <c r="A91" s="1513" t="s">
        <v>687</v>
      </c>
      <c r="B91" s="639">
        <v>4290</v>
      </c>
      <c r="C91" s="616"/>
      <c r="D91" s="616"/>
      <c r="E91" s="638"/>
      <c r="F91" s="616"/>
      <c r="G91" s="616"/>
      <c r="H91" s="467">
        <v>0</v>
      </c>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row>
    <row r="94" spans="1:12" ht="12.75" customHeight="1" thickTop="1" thickBot="1" x14ac:dyDescent="0.25">
      <c r="A94" s="1513" t="s">
        <v>689</v>
      </c>
      <c r="B94" s="639">
        <v>4320</v>
      </c>
      <c r="C94" s="616"/>
      <c r="D94" s="616"/>
      <c r="E94" s="638"/>
      <c r="F94" s="616"/>
      <c r="G94" s="616"/>
      <c r="H94" s="467">
        <v>0</v>
      </c>
      <c r="I94" s="477"/>
      <c r="J94" s="477"/>
      <c r="K94" s="1677">
        <f t="shared" si="12"/>
        <v>0</v>
      </c>
      <c r="L94" s="530"/>
    </row>
    <row r="95" spans="1:12" ht="15" customHeight="1" thickTop="1" thickBot="1" x14ac:dyDescent="0.25">
      <c r="A95" s="1513" t="s">
        <v>1488</v>
      </c>
      <c r="B95" s="639">
        <v>4330</v>
      </c>
      <c r="C95" s="616"/>
      <c r="D95" s="616"/>
      <c r="E95" s="638"/>
      <c r="F95" s="616"/>
      <c r="G95" s="616"/>
      <c r="H95" s="467">
        <v>0</v>
      </c>
      <c r="I95" s="477"/>
      <c r="J95" s="477"/>
      <c r="K95" s="1677">
        <f t="shared" si="12"/>
        <v>0</v>
      </c>
      <c r="L95" s="530"/>
    </row>
    <row r="96" spans="1:12" ht="14.25" thickTop="1" thickBot="1" x14ac:dyDescent="0.25">
      <c r="A96" s="1513" t="s">
        <v>690</v>
      </c>
      <c r="B96" s="639">
        <v>4340</v>
      </c>
      <c r="C96" s="616"/>
      <c r="D96" s="616"/>
      <c r="E96" s="638"/>
      <c r="F96" s="616"/>
      <c r="G96" s="616"/>
      <c r="H96" s="467">
        <v>0</v>
      </c>
      <c r="I96" s="477"/>
      <c r="J96" s="477"/>
      <c r="K96" s="1677">
        <f t="shared" si="12"/>
        <v>0</v>
      </c>
      <c r="L96" s="530"/>
    </row>
    <row r="97" spans="1:14" ht="12.75" customHeight="1" thickTop="1" thickBot="1" x14ac:dyDescent="0.25">
      <c r="A97" s="1513" t="s">
        <v>763</v>
      </c>
      <c r="B97" s="639">
        <v>4370</v>
      </c>
      <c r="C97" s="616"/>
      <c r="D97" s="616"/>
      <c r="E97" s="638"/>
      <c r="F97" s="616"/>
      <c r="G97" s="616"/>
      <c r="H97" s="467">
        <v>0</v>
      </c>
      <c r="I97" s="477"/>
      <c r="J97" s="477"/>
      <c r="K97" s="1677">
        <f t="shared" si="12"/>
        <v>0</v>
      </c>
      <c r="L97" s="530"/>
    </row>
    <row r="98" spans="1:14" ht="14.25" thickTop="1" thickBot="1" x14ac:dyDescent="0.25">
      <c r="A98" s="1513" t="s">
        <v>764</v>
      </c>
      <c r="B98" s="639">
        <v>4380</v>
      </c>
      <c r="C98" s="616"/>
      <c r="D98" s="616"/>
      <c r="E98" s="642"/>
      <c r="F98" s="616"/>
      <c r="G98" s="616"/>
      <c r="H98" s="467">
        <v>0</v>
      </c>
      <c r="I98" s="477"/>
      <c r="J98" s="477"/>
      <c r="K98" s="1677">
        <f t="shared" si="12"/>
        <v>0</v>
      </c>
      <c r="L98" s="530"/>
    </row>
    <row r="99" spans="1:14" ht="14.25" thickTop="1" thickBot="1" x14ac:dyDescent="0.25">
      <c r="A99" s="1513" t="s">
        <v>367</v>
      </c>
      <c r="B99" s="639">
        <v>4390</v>
      </c>
      <c r="C99" s="616"/>
      <c r="D99" s="616"/>
      <c r="E99" s="532">
        <v>0</v>
      </c>
      <c r="F99" s="616"/>
      <c r="G99" s="616"/>
      <c r="H99" s="467">
        <v>0</v>
      </c>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675628</v>
      </c>
      <c r="I102" s="477"/>
      <c r="J102" s="477"/>
      <c r="K102" s="1677">
        <f>SUM(K84,K92,K100,K101)</f>
        <v>675628</v>
      </c>
      <c r="L102" s="1677">
        <f>SUM(L84,L92,L100,L101)</f>
        <v>619200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100000</v>
      </c>
      <c r="M113" s="613"/>
      <c r="N113" s="613"/>
    </row>
    <row r="114" spans="1:14" ht="12.75" customHeight="1" thickTop="1" thickBot="1" x14ac:dyDescent="0.25">
      <c r="A114" s="1668" t="s">
        <v>48</v>
      </c>
      <c r="B114" s="1682"/>
      <c r="C114" s="1670">
        <f>SUM(C33,C74,C75,C102,C112,C113)</f>
        <v>13257311</v>
      </c>
      <c r="D114" s="1670">
        <f t="shared" ref="D114:K114" si="13">SUM(D33,D74,D75,D102,D112,D113)</f>
        <v>2919482</v>
      </c>
      <c r="E114" s="1670">
        <f t="shared" si="13"/>
        <v>898820</v>
      </c>
      <c r="F114" s="1670">
        <f t="shared" si="13"/>
        <v>713442</v>
      </c>
      <c r="G114" s="1670">
        <f t="shared" si="13"/>
        <v>487731</v>
      </c>
      <c r="H114" s="1670">
        <f>SUM(H33,H74,H75,H102,H112,H113)</f>
        <v>715276</v>
      </c>
      <c r="I114" s="1670">
        <f t="shared" si="13"/>
        <v>121906</v>
      </c>
      <c r="J114" s="1670">
        <f t="shared" si="13"/>
        <v>0</v>
      </c>
      <c r="K114" s="1670">
        <f t="shared" si="13"/>
        <v>19113968</v>
      </c>
      <c r="L114" s="1670">
        <f>SUM(L33,L74,L75,L102,L112,L113)</f>
        <v>20190576</v>
      </c>
    </row>
    <row r="115" spans="1:14" ht="13.5" thickTop="1" x14ac:dyDescent="0.2">
      <c r="A115" s="2163" t="s">
        <v>996</v>
      </c>
      <c r="B115" s="2164"/>
      <c r="C115" s="618"/>
      <c r="D115" s="618"/>
      <c r="E115" s="618"/>
      <c r="F115" s="618"/>
      <c r="G115" s="618"/>
      <c r="H115" s="618"/>
      <c r="I115" s="618"/>
      <c r="J115" s="618"/>
      <c r="K115" s="1684">
        <f>'Revenues 9-14'!C268-'Expenditures 15-22'!K114</f>
        <v>2168067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v>0</v>
      </c>
      <c r="D120" s="466">
        <v>0</v>
      </c>
      <c r="E120" s="466">
        <v>0</v>
      </c>
      <c r="F120" s="466">
        <v>0</v>
      </c>
      <c r="G120" s="466">
        <v>0</v>
      </c>
      <c r="H120" s="466">
        <v>0</v>
      </c>
      <c r="I120" s="467">
        <v>0</v>
      </c>
      <c r="J120" s="467">
        <v>0</v>
      </c>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row>
    <row r="123" spans="1:14" ht="14.25" thickTop="1" thickBot="1" x14ac:dyDescent="0.25">
      <c r="A123" s="1504" t="s">
        <v>4</v>
      </c>
      <c r="B123" s="614">
        <v>2530</v>
      </c>
      <c r="C123" s="466">
        <v>0</v>
      </c>
      <c r="D123" s="466">
        <v>0</v>
      </c>
      <c r="E123" s="466">
        <v>3775</v>
      </c>
      <c r="F123" s="466">
        <v>0</v>
      </c>
      <c r="G123" s="466">
        <v>0</v>
      </c>
      <c r="H123" s="466">
        <v>0</v>
      </c>
      <c r="I123" s="467">
        <v>0</v>
      </c>
      <c r="J123" s="467">
        <v>0</v>
      </c>
      <c r="K123" s="1670">
        <f>SUM(C123:J123)</f>
        <v>3775</v>
      </c>
      <c r="L123" s="466">
        <v>10000</v>
      </c>
    </row>
    <row r="124" spans="1:14" ht="14.25" thickTop="1" thickBot="1" x14ac:dyDescent="0.25">
      <c r="A124" s="1504" t="s">
        <v>197</v>
      </c>
      <c r="B124" s="614">
        <v>2540</v>
      </c>
      <c r="C124" s="466">
        <v>1177988</v>
      </c>
      <c r="D124" s="466">
        <v>198435</v>
      </c>
      <c r="E124" s="466">
        <v>475110</v>
      </c>
      <c r="F124" s="466">
        <v>472339</v>
      </c>
      <c r="G124" s="466">
        <v>161989</v>
      </c>
      <c r="H124" s="466">
        <v>2125</v>
      </c>
      <c r="I124" s="467">
        <v>7000</v>
      </c>
      <c r="J124" s="467">
        <v>0</v>
      </c>
      <c r="K124" s="1670">
        <f>SUM(C124:J124)</f>
        <v>2494986</v>
      </c>
      <c r="L124" s="466">
        <v>2638000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row>
    <row r="126" spans="1:14" ht="14.25" thickTop="1" thickBot="1" x14ac:dyDescent="0.25">
      <c r="A126" s="1504" t="s">
        <v>100</v>
      </c>
      <c r="B126" s="614">
        <v>2560</v>
      </c>
      <c r="C126" s="654"/>
      <c r="D126" s="654"/>
      <c r="E126" s="654"/>
      <c r="F126" s="654"/>
      <c r="G126" s="466">
        <v>0</v>
      </c>
      <c r="H126" s="654"/>
      <c r="I126" s="474">
        <v>0</v>
      </c>
      <c r="J126" s="616"/>
      <c r="K126" s="1670">
        <f>SUM(C126:J126)</f>
        <v>0</v>
      </c>
      <c r="L126" s="466"/>
    </row>
    <row r="127" spans="1:14" ht="12.75" customHeight="1" thickTop="1" thickBot="1" x14ac:dyDescent="0.25">
      <c r="A127" s="1668" t="s">
        <v>719</v>
      </c>
      <c r="B127" s="1669" t="s">
        <v>35</v>
      </c>
      <c r="C127" s="1670">
        <f>SUM(C122:C126)</f>
        <v>1177988</v>
      </c>
      <c r="D127" s="1670">
        <f t="shared" ref="D127:L127" si="14">SUM(D122:D126)</f>
        <v>198435</v>
      </c>
      <c r="E127" s="1670">
        <f t="shared" si="14"/>
        <v>478885</v>
      </c>
      <c r="F127" s="1670">
        <f t="shared" si="14"/>
        <v>472339</v>
      </c>
      <c r="G127" s="1670">
        <f t="shared" si="14"/>
        <v>161989</v>
      </c>
      <c r="H127" s="1670">
        <f t="shared" si="14"/>
        <v>2125</v>
      </c>
      <c r="I127" s="1670">
        <f t="shared" si="14"/>
        <v>7000</v>
      </c>
      <c r="J127" s="1670">
        <f t="shared" si="14"/>
        <v>0</v>
      </c>
      <c r="K127" s="1670">
        <f t="shared" si="14"/>
        <v>2498761</v>
      </c>
      <c r="L127" s="1670">
        <f t="shared" si="14"/>
        <v>2648000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row>
    <row r="129" spans="1:14" ht="12.75" customHeight="1" thickBot="1" x14ac:dyDescent="0.25">
      <c r="A129" s="1686" t="s">
        <v>811</v>
      </c>
      <c r="B129" s="1687" t="s">
        <v>569</v>
      </c>
      <c r="C129" s="1677">
        <f>SUM(C120,C127,C128)</f>
        <v>1177988</v>
      </c>
      <c r="D129" s="1677">
        <f t="shared" ref="D129:L129" si="15">SUM(D120,D127,D128)</f>
        <v>198435</v>
      </c>
      <c r="E129" s="1677">
        <f t="shared" si="15"/>
        <v>478885</v>
      </c>
      <c r="F129" s="1677">
        <f t="shared" si="15"/>
        <v>472339</v>
      </c>
      <c r="G129" s="1677">
        <f t="shared" si="15"/>
        <v>161989</v>
      </c>
      <c r="H129" s="1677">
        <f t="shared" si="15"/>
        <v>2125</v>
      </c>
      <c r="I129" s="1677">
        <f t="shared" si="15"/>
        <v>7000</v>
      </c>
      <c r="J129" s="1677">
        <f t="shared" si="15"/>
        <v>0</v>
      </c>
      <c r="K129" s="1677">
        <f t="shared" si="15"/>
        <v>2498761</v>
      </c>
      <c r="L129" s="1677">
        <f t="shared" si="15"/>
        <v>2648000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v>0</v>
      </c>
      <c r="F133" s="468"/>
      <c r="G133" s="468"/>
      <c r="H133" s="641">
        <v>0</v>
      </c>
      <c r="I133" s="468"/>
      <c r="J133" s="468"/>
      <c r="K133" s="1821">
        <f>SUM(E133,H133)</f>
        <v>0</v>
      </c>
      <c r="L133" s="641"/>
      <c r="M133" s="206"/>
      <c r="N133" s="206"/>
    </row>
    <row r="134" spans="1:14" x14ac:dyDescent="0.2">
      <c r="A134" s="1504" t="s">
        <v>304</v>
      </c>
      <c r="B134" s="614">
        <v>4120</v>
      </c>
      <c r="C134" s="616"/>
      <c r="D134" s="616"/>
      <c r="E134" s="478">
        <v>0</v>
      </c>
      <c r="F134" s="616"/>
      <c r="G134" s="616"/>
      <c r="H134" s="481">
        <v>0</v>
      </c>
      <c r="I134" s="477"/>
      <c r="J134" s="616"/>
      <c r="K134" s="1672">
        <f>SUM(E134,H134)</f>
        <v>0</v>
      </c>
      <c r="L134" s="481"/>
    </row>
    <row r="135" spans="1:14" x14ac:dyDescent="0.2">
      <c r="A135" s="1504" t="s">
        <v>697</v>
      </c>
      <c r="B135" s="614">
        <v>4140</v>
      </c>
      <c r="C135" s="616"/>
      <c r="D135" s="616"/>
      <c r="E135" s="467">
        <v>0</v>
      </c>
      <c r="F135" s="616"/>
      <c r="G135" s="616"/>
      <c r="H135" s="466">
        <v>0</v>
      </c>
      <c r="I135" s="477"/>
      <c r="J135" s="616"/>
      <c r="K135" s="1672">
        <f>SUM(E135,H135)</f>
        <v>0</v>
      </c>
      <c r="L135" s="466"/>
    </row>
    <row r="136" spans="1:14" x14ac:dyDescent="0.2">
      <c r="A136" s="1508" t="s">
        <v>698</v>
      </c>
      <c r="B136" s="628">
        <v>4190</v>
      </c>
      <c r="C136" s="616"/>
      <c r="D136" s="616"/>
      <c r="E136" s="467">
        <v>0</v>
      </c>
      <c r="F136" s="616"/>
      <c r="G136" s="616"/>
      <c r="H136" s="466">
        <v>0</v>
      </c>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row>
    <row r="143" spans="1:14" x14ac:dyDescent="0.2">
      <c r="A143" s="1504" t="s">
        <v>88</v>
      </c>
      <c r="B143" s="614">
        <v>5120</v>
      </c>
      <c r="C143" s="616"/>
      <c r="D143" s="616"/>
      <c r="E143" s="616"/>
      <c r="F143" s="616"/>
      <c r="G143" s="616"/>
      <c r="H143" s="466">
        <v>0</v>
      </c>
      <c r="I143" s="468"/>
      <c r="J143" s="616"/>
      <c r="K143" s="1672">
        <f>SUM(H143)</f>
        <v>0</v>
      </c>
      <c r="L143" s="466"/>
    </row>
    <row r="144" spans="1:14" ht="12.75" customHeight="1" x14ac:dyDescent="0.2">
      <c r="A144" s="1504" t="s">
        <v>1170</v>
      </c>
      <c r="B144" s="628" t="s">
        <v>617</v>
      </c>
      <c r="C144" s="616"/>
      <c r="D144" s="616"/>
      <c r="E144" s="616"/>
      <c r="F144" s="616"/>
      <c r="G144" s="616"/>
      <c r="H144" s="466">
        <v>0</v>
      </c>
      <c r="I144" s="468"/>
      <c r="J144" s="616"/>
      <c r="K144" s="1672">
        <f>SUM(H144)</f>
        <v>0</v>
      </c>
      <c r="L144" s="466"/>
    </row>
    <row r="145" spans="1:14" x14ac:dyDescent="0.2">
      <c r="A145" s="1504" t="s">
        <v>89</v>
      </c>
      <c r="B145" s="614" t="s">
        <v>589</v>
      </c>
      <c r="C145" s="616"/>
      <c r="D145" s="616"/>
      <c r="E145" s="616"/>
      <c r="F145" s="616"/>
      <c r="G145" s="616"/>
      <c r="H145" s="466">
        <v>0</v>
      </c>
      <c r="I145" s="468"/>
      <c r="J145" s="616"/>
      <c r="K145" s="1672">
        <f>SUM(H145)</f>
        <v>0</v>
      </c>
      <c r="L145" s="466"/>
    </row>
    <row r="146" spans="1:14" ht="12.75" customHeight="1" x14ac:dyDescent="0.2">
      <c r="A146" s="1504" t="s">
        <v>619</v>
      </c>
      <c r="B146" s="614" t="s">
        <v>618</v>
      </c>
      <c r="C146" s="616"/>
      <c r="D146" s="616"/>
      <c r="E146" s="616"/>
      <c r="F146" s="616"/>
      <c r="G146" s="616"/>
      <c r="H146" s="466">
        <v>0</v>
      </c>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0" t="s">
        <v>620</v>
      </c>
      <c r="B151" s="2160"/>
      <c r="C151" s="1670">
        <f>SUM(C129,C130,C139,C149,C150)</f>
        <v>1177988</v>
      </c>
      <c r="D151" s="1670">
        <f t="shared" ref="D151:K151" si="16">SUM(D129,D130,D139,D149,D150)</f>
        <v>198435</v>
      </c>
      <c r="E151" s="1670">
        <f t="shared" si="16"/>
        <v>478885</v>
      </c>
      <c r="F151" s="1670">
        <f t="shared" si="16"/>
        <v>472339</v>
      </c>
      <c r="G151" s="1670">
        <f t="shared" si="16"/>
        <v>161989</v>
      </c>
      <c r="H151" s="1670">
        <f t="shared" si="16"/>
        <v>2125</v>
      </c>
      <c r="I151" s="1670">
        <f t="shared" si="16"/>
        <v>7000</v>
      </c>
      <c r="J151" s="1670">
        <f t="shared" si="16"/>
        <v>0</v>
      </c>
      <c r="K151" s="1670">
        <f t="shared" si="16"/>
        <v>2498761</v>
      </c>
      <c r="L151" s="1670">
        <f>SUM(L129,L130,L139,L149,L150)</f>
        <v>2648000</v>
      </c>
    </row>
    <row r="152" spans="1:14" ht="12.75" customHeight="1" thickTop="1" x14ac:dyDescent="0.2">
      <c r="A152" s="2183" t="s">
        <v>1178</v>
      </c>
      <c r="B152" s="2184"/>
      <c r="C152" s="618"/>
      <c r="D152" s="618"/>
      <c r="E152" s="618"/>
      <c r="F152" s="618"/>
      <c r="G152" s="618"/>
      <c r="H152" s="618"/>
      <c r="I152" s="618"/>
      <c r="J152" s="616"/>
      <c r="K152" s="1684">
        <f>'Revenues 9-14'!D268-'Expenditures 15-22'!K151</f>
        <v>157434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v>0</v>
      </c>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v>0</v>
      </c>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v>0</v>
      </c>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row>
    <row r="164" spans="1:14" x14ac:dyDescent="0.2">
      <c r="A164" s="1504" t="s">
        <v>88</v>
      </c>
      <c r="B164" s="614">
        <v>5120</v>
      </c>
      <c r="C164" s="616"/>
      <c r="D164" s="616"/>
      <c r="E164" s="616"/>
      <c r="F164" s="616"/>
      <c r="G164" s="616"/>
      <c r="H164" s="466">
        <v>0</v>
      </c>
      <c r="I164" s="616"/>
      <c r="J164" s="616"/>
      <c r="K164" s="1671">
        <f>SUM(C164:J164)</f>
        <v>0</v>
      </c>
      <c r="L164" s="466"/>
    </row>
    <row r="165" spans="1:14" ht="12.75" customHeight="1" x14ac:dyDescent="0.2">
      <c r="A165" s="1504" t="s">
        <v>1170</v>
      </c>
      <c r="B165" s="614" t="s">
        <v>617</v>
      </c>
      <c r="C165" s="616"/>
      <c r="D165" s="616"/>
      <c r="E165" s="616"/>
      <c r="F165" s="616"/>
      <c r="G165" s="616"/>
      <c r="H165" s="466">
        <v>0</v>
      </c>
      <c r="I165" s="616"/>
      <c r="J165" s="616"/>
      <c r="K165" s="1671">
        <f>SUM(C165:J165)</f>
        <v>0</v>
      </c>
      <c r="L165" s="466"/>
    </row>
    <row r="166" spans="1:14" x14ac:dyDescent="0.2">
      <c r="A166" s="1504" t="s">
        <v>89</v>
      </c>
      <c r="B166" s="628" t="s">
        <v>589</v>
      </c>
      <c r="C166" s="616"/>
      <c r="D166" s="616"/>
      <c r="E166" s="616"/>
      <c r="F166" s="616"/>
      <c r="G166" s="616"/>
      <c r="H166" s="466">
        <v>0</v>
      </c>
      <c r="I166" s="616"/>
      <c r="J166" s="616"/>
      <c r="K166" s="1671">
        <f>SUM(C166:J166)</f>
        <v>0</v>
      </c>
      <c r="L166" s="466"/>
    </row>
    <row r="167" spans="1:14" ht="12.75" customHeight="1" x14ac:dyDescent="0.2">
      <c r="A167" s="1504" t="s">
        <v>619</v>
      </c>
      <c r="B167" s="614" t="s">
        <v>618</v>
      </c>
      <c r="C167" s="616"/>
      <c r="D167" s="616"/>
      <c r="E167" s="616"/>
      <c r="F167" s="616"/>
      <c r="G167" s="616"/>
      <c r="H167" s="466">
        <v>0</v>
      </c>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165100</v>
      </c>
      <c r="I169" s="616"/>
      <c r="J169" s="616"/>
      <c r="K169" s="1671">
        <f>SUM(C169:H169)</f>
        <v>165100</v>
      </c>
      <c r="L169" s="656">
        <v>165200</v>
      </c>
    </row>
    <row r="170" spans="1:14" ht="33.75" customHeight="1" x14ac:dyDescent="0.2">
      <c r="A170" s="669" t="s">
        <v>1670</v>
      </c>
      <c r="B170" s="671" t="s">
        <v>31</v>
      </c>
      <c r="C170" s="616"/>
      <c r="D170" s="616"/>
      <c r="E170" s="616"/>
      <c r="F170" s="616"/>
      <c r="G170" s="616"/>
      <c r="H170" s="569">
        <v>595000</v>
      </c>
      <c r="I170" s="616"/>
      <c r="J170" s="616"/>
      <c r="K170" s="1671">
        <f>SUM(C170:J170)</f>
        <v>595000</v>
      </c>
      <c r="L170" s="569">
        <v>595000</v>
      </c>
    </row>
    <row r="171" spans="1:14" ht="15.75" customHeight="1" x14ac:dyDescent="0.2">
      <c r="A171" s="621" t="s">
        <v>766</v>
      </c>
      <c r="B171" s="672" t="s">
        <v>84</v>
      </c>
      <c r="C171" s="616"/>
      <c r="D171" s="616"/>
      <c r="E171" s="466">
        <v>0</v>
      </c>
      <c r="F171" s="616"/>
      <c r="G171" s="616"/>
      <c r="H171" s="569">
        <v>475</v>
      </c>
      <c r="I171" s="477"/>
      <c r="J171" s="616"/>
      <c r="K171" s="1671">
        <f>SUM(C171:J171)</f>
        <v>475</v>
      </c>
      <c r="L171" s="569">
        <v>3000</v>
      </c>
    </row>
    <row r="172" spans="1:14" ht="12.75" customHeight="1" thickBot="1" x14ac:dyDescent="0.25">
      <c r="A172" s="1668" t="s">
        <v>638</v>
      </c>
      <c r="B172" s="1669" t="s">
        <v>492</v>
      </c>
      <c r="C172" s="616"/>
      <c r="D172" s="616"/>
      <c r="E172" s="1677">
        <f>SUM(E168,E169,E170,E171)</f>
        <v>0</v>
      </c>
      <c r="F172" s="616"/>
      <c r="G172" s="616"/>
      <c r="H172" s="1677">
        <f>SUM(H168,H169,H170,H171)</f>
        <v>760575</v>
      </c>
      <c r="I172" s="638"/>
      <c r="J172" s="616"/>
      <c r="K172" s="1677">
        <f>SUM(K168,K169,K170,K171)</f>
        <v>760575</v>
      </c>
      <c r="L172" s="1677">
        <f>SUM(L168,L169,L170,L171)</f>
        <v>763200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760575</v>
      </c>
      <c r="I174" s="638"/>
      <c r="J174" s="616"/>
      <c r="K174" s="1677">
        <f>SUM(K160,K172,K173)</f>
        <v>760575</v>
      </c>
      <c r="L174" s="1677">
        <f>SUM(L160,L172,L173)</f>
        <v>763200</v>
      </c>
    </row>
    <row r="175" spans="1:14" ht="13.5" thickTop="1" x14ac:dyDescent="0.2">
      <c r="A175" s="2163" t="s">
        <v>996</v>
      </c>
      <c r="B175" s="2164"/>
      <c r="C175" s="616"/>
      <c r="D175" s="616"/>
      <c r="E175" s="616"/>
      <c r="F175" s="616"/>
      <c r="G175" s="616"/>
      <c r="H175" s="618"/>
      <c r="I175" s="616"/>
      <c r="J175" s="616"/>
      <c r="K175" s="1684">
        <f>'Revenues 9-14'!E268-'Expenditures 15-22'!K174</f>
        <v>21970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v>0</v>
      </c>
      <c r="D180" s="466">
        <v>0</v>
      </c>
      <c r="E180" s="466">
        <v>0</v>
      </c>
      <c r="F180" s="466">
        <v>0</v>
      </c>
      <c r="G180" s="466">
        <v>0</v>
      </c>
      <c r="H180" s="466">
        <v>0</v>
      </c>
      <c r="I180" s="467">
        <v>0</v>
      </c>
      <c r="J180" s="467">
        <v>0</v>
      </c>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41937</v>
      </c>
      <c r="D182" s="466">
        <v>0</v>
      </c>
      <c r="E182" s="466">
        <v>1872903</v>
      </c>
      <c r="F182" s="466">
        <v>0</v>
      </c>
      <c r="G182" s="466">
        <v>0</v>
      </c>
      <c r="H182" s="466">
        <v>0</v>
      </c>
      <c r="I182" s="467">
        <v>0</v>
      </c>
      <c r="J182" s="467">
        <v>0</v>
      </c>
      <c r="K182" s="1671">
        <f>SUM(C182:J182)</f>
        <v>1914840</v>
      </c>
      <c r="L182" s="466">
        <v>1944500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row>
    <row r="184" spans="1:14" ht="12.75" customHeight="1" thickTop="1" thickBot="1" x14ac:dyDescent="0.25">
      <c r="A184" s="1691" t="s">
        <v>811</v>
      </c>
      <c r="B184" s="1669" t="s">
        <v>569</v>
      </c>
      <c r="C184" s="1677">
        <f>SUM(C180,C182,C183)</f>
        <v>41937</v>
      </c>
      <c r="D184" s="1677">
        <f t="shared" ref="D184:J184" si="17">SUM(D180,D182,D183)</f>
        <v>0</v>
      </c>
      <c r="E184" s="1677">
        <f t="shared" si="17"/>
        <v>1872903</v>
      </c>
      <c r="F184" s="1677">
        <f t="shared" si="17"/>
        <v>0</v>
      </c>
      <c r="G184" s="1677">
        <f t="shared" si="17"/>
        <v>0</v>
      </c>
      <c r="H184" s="1677">
        <f t="shared" si="17"/>
        <v>0</v>
      </c>
      <c r="I184" s="1677">
        <f t="shared" si="17"/>
        <v>0</v>
      </c>
      <c r="J184" s="1677">
        <f t="shared" si="17"/>
        <v>0</v>
      </c>
      <c r="K184" s="1677">
        <f>SUM(K180,K182,K183)</f>
        <v>1914840</v>
      </c>
      <c r="L184" s="1677">
        <f>SUM(L180, L182:L183)</f>
        <v>1944500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row>
    <row r="189" spans="1:14" x14ac:dyDescent="0.2">
      <c r="A189" s="1504" t="s">
        <v>304</v>
      </c>
      <c r="B189" s="614">
        <v>4120</v>
      </c>
      <c r="C189" s="616"/>
      <c r="D189" s="616"/>
      <c r="E189" s="466">
        <v>0</v>
      </c>
      <c r="F189" s="616"/>
      <c r="G189" s="616"/>
      <c r="H189" s="466">
        <v>0</v>
      </c>
      <c r="I189" s="477"/>
      <c r="J189" s="616"/>
      <c r="K189" s="1671">
        <f t="shared" si="18"/>
        <v>0</v>
      </c>
      <c r="L189" s="466"/>
    </row>
    <row r="190" spans="1:14" x14ac:dyDescent="0.2">
      <c r="A190" s="1504" t="s">
        <v>305</v>
      </c>
      <c r="B190" s="628">
        <v>4130</v>
      </c>
      <c r="C190" s="616"/>
      <c r="D190" s="616"/>
      <c r="E190" s="466">
        <v>0</v>
      </c>
      <c r="F190" s="616"/>
      <c r="G190" s="616"/>
      <c r="H190" s="466">
        <v>0</v>
      </c>
      <c r="I190" s="477"/>
      <c r="J190" s="616"/>
      <c r="K190" s="1671">
        <f t="shared" si="18"/>
        <v>0</v>
      </c>
      <c r="L190" s="466"/>
    </row>
    <row r="191" spans="1:14" x14ac:dyDescent="0.2">
      <c r="A191" s="1504" t="s">
        <v>697</v>
      </c>
      <c r="B191" s="614">
        <v>4140</v>
      </c>
      <c r="C191" s="616"/>
      <c r="D191" s="616"/>
      <c r="E191" s="466">
        <v>0</v>
      </c>
      <c r="F191" s="616"/>
      <c r="G191" s="616"/>
      <c r="H191" s="466">
        <v>0</v>
      </c>
      <c r="I191" s="477"/>
      <c r="J191" s="616"/>
      <c r="K191" s="1671">
        <f t="shared" si="18"/>
        <v>0</v>
      </c>
      <c r="L191" s="466"/>
    </row>
    <row r="192" spans="1:14" x14ac:dyDescent="0.2">
      <c r="A192" s="1504" t="s">
        <v>86</v>
      </c>
      <c r="B192" s="614">
        <v>4170</v>
      </c>
      <c r="C192" s="616"/>
      <c r="D192" s="616"/>
      <c r="E192" s="466">
        <v>0</v>
      </c>
      <c r="F192" s="616"/>
      <c r="G192" s="616"/>
      <c r="H192" s="466">
        <v>0</v>
      </c>
      <c r="I192" s="477"/>
      <c r="J192" s="616"/>
      <c r="K192" s="1671">
        <f t="shared" si="18"/>
        <v>0</v>
      </c>
      <c r="L192" s="466"/>
    </row>
    <row r="193" spans="1:14" x14ac:dyDescent="0.2">
      <c r="A193" s="1508" t="s">
        <v>698</v>
      </c>
      <c r="B193" s="628">
        <v>4190</v>
      </c>
      <c r="C193" s="616"/>
      <c r="D193" s="616"/>
      <c r="E193" s="466">
        <v>0</v>
      </c>
      <c r="F193" s="616"/>
      <c r="G193" s="616"/>
      <c r="H193" s="466">
        <v>0</v>
      </c>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row>
    <row r="200" spans="1:14" x14ac:dyDescent="0.2">
      <c r="A200" s="1504" t="s">
        <v>88</v>
      </c>
      <c r="B200" s="614">
        <v>5120</v>
      </c>
      <c r="C200" s="616"/>
      <c r="D200" s="616"/>
      <c r="E200" s="616"/>
      <c r="F200" s="616"/>
      <c r="G200" s="616"/>
      <c r="H200" s="466">
        <v>0</v>
      </c>
      <c r="I200" s="616"/>
      <c r="J200" s="616"/>
      <c r="K200" s="1671">
        <f>SUM(H200)</f>
        <v>0</v>
      </c>
      <c r="L200" s="466"/>
    </row>
    <row r="201" spans="1:14" ht="12.75" customHeight="1" x14ac:dyDescent="0.2">
      <c r="A201" s="1504" t="s">
        <v>1170</v>
      </c>
      <c r="B201" s="628" t="s">
        <v>617</v>
      </c>
      <c r="C201" s="616"/>
      <c r="D201" s="616"/>
      <c r="E201" s="616"/>
      <c r="F201" s="616"/>
      <c r="G201" s="616"/>
      <c r="H201" s="466">
        <v>0</v>
      </c>
      <c r="I201" s="616"/>
      <c r="J201" s="616"/>
      <c r="K201" s="1671">
        <f>SUM(H201)</f>
        <v>0</v>
      </c>
      <c r="L201" s="466"/>
    </row>
    <row r="202" spans="1:14" x14ac:dyDescent="0.2">
      <c r="A202" s="1504" t="s">
        <v>89</v>
      </c>
      <c r="B202" s="614" t="s">
        <v>589</v>
      </c>
      <c r="C202" s="616"/>
      <c r="D202" s="616"/>
      <c r="E202" s="616"/>
      <c r="F202" s="616"/>
      <c r="G202" s="616"/>
      <c r="H202" s="466">
        <v>0</v>
      </c>
      <c r="I202" s="616"/>
      <c r="J202" s="616"/>
      <c r="K202" s="1671">
        <f>SUM(H202)</f>
        <v>0</v>
      </c>
      <c r="L202" s="466"/>
    </row>
    <row r="203" spans="1:14" x14ac:dyDescent="0.2">
      <c r="A203" s="1516" t="s">
        <v>619</v>
      </c>
      <c r="B203" s="614" t="s">
        <v>618</v>
      </c>
      <c r="C203" s="616"/>
      <c r="D203" s="616"/>
      <c r="E203" s="616"/>
      <c r="F203" s="616"/>
      <c r="G203" s="616"/>
      <c r="H203" s="471">
        <v>0</v>
      </c>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row>
    <row r="206" spans="1:14" ht="30" customHeight="1" x14ac:dyDescent="0.2">
      <c r="A206" s="681" t="s">
        <v>1671</v>
      </c>
      <c r="B206" s="672" t="s">
        <v>31</v>
      </c>
      <c r="C206" s="616"/>
      <c r="D206" s="616"/>
      <c r="E206" s="616"/>
      <c r="F206" s="616"/>
      <c r="G206" s="616"/>
      <c r="H206" s="466">
        <v>0</v>
      </c>
      <c r="I206" s="616"/>
      <c r="J206" s="616"/>
      <c r="K206" s="1671">
        <f>SUM(H206)</f>
        <v>0</v>
      </c>
      <c r="L206" s="466"/>
    </row>
    <row r="207" spans="1:14" ht="15.75" customHeight="1" x14ac:dyDescent="0.2">
      <c r="A207" s="621" t="s">
        <v>766</v>
      </c>
      <c r="B207" s="672" t="s">
        <v>84</v>
      </c>
      <c r="C207" s="616"/>
      <c r="D207" s="616"/>
      <c r="E207" s="616"/>
      <c r="F207" s="616"/>
      <c r="G207" s="616"/>
      <c r="H207" s="467">
        <v>0</v>
      </c>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41937</v>
      </c>
      <c r="D210" s="1670">
        <f>SUM(D184,D185)</f>
        <v>0</v>
      </c>
      <c r="E210" s="1670">
        <f>SUM(E184,E185,E196)</f>
        <v>1872903</v>
      </c>
      <c r="F210" s="1670">
        <f>SUM(F184,F185)</f>
        <v>0</v>
      </c>
      <c r="G210" s="1670">
        <f>SUM(G184,G185)</f>
        <v>0</v>
      </c>
      <c r="H210" s="1670">
        <f>SUM(H184,H185,H196,H208,H209)</f>
        <v>0</v>
      </c>
      <c r="I210" s="1670">
        <f>SUM(I184,I185)</f>
        <v>0</v>
      </c>
      <c r="J210" s="1670">
        <f>SUM(J184,J185)</f>
        <v>0</v>
      </c>
      <c r="K210" s="1671">
        <f>SUM(K184,K185,K196,K208,K209)</f>
        <v>1914840</v>
      </c>
      <c r="L210" s="1670">
        <f>SUM(L184,L185,L196,L208,L209)</f>
        <v>1944500</v>
      </c>
    </row>
    <row r="211" spans="1:14" ht="13.5" thickTop="1" x14ac:dyDescent="0.2">
      <c r="A211" s="2163" t="s">
        <v>996</v>
      </c>
      <c r="B211" s="2164"/>
      <c r="C211" s="618"/>
      <c r="D211" s="618"/>
      <c r="E211" s="618"/>
      <c r="F211" s="618"/>
      <c r="G211" s="618"/>
      <c r="H211" s="618"/>
      <c r="I211" s="616"/>
      <c r="J211" s="616"/>
      <c r="K211" s="1684">
        <f>'Revenues 9-14'!F268-'Expenditures 15-22'!K210</f>
        <v>111814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135415</v>
      </c>
      <c r="E215" s="616"/>
      <c r="F215" s="616"/>
      <c r="G215" s="616"/>
      <c r="H215" s="616"/>
      <c r="I215" s="616"/>
      <c r="J215" s="616"/>
      <c r="K215" s="1671">
        <f>D215</f>
        <v>135415</v>
      </c>
      <c r="L215" s="466">
        <v>142779</v>
      </c>
    </row>
    <row r="216" spans="1:14" x14ac:dyDescent="0.2">
      <c r="A216" s="1504" t="s">
        <v>163</v>
      </c>
      <c r="B216" s="614" t="s">
        <v>967</v>
      </c>
      <c r="C216" s="616"/>
      <c r="D216" s="467">
        <v>0</v>
      </c>
      <c r="E216" s="616"/>
      <c r="F216" s="616"/>
      <c r="G216" s="616"/>
      <c r="H216" s="616"/>
      <c r="I216" s="616"/>
      <c r="J216" s="616"/>
      <c r="K216" s="1671">
        <f t="shared" ref="K216:K228" si="19">D216</f>
        <v>0</v>
      </c>
      <c r="L216" s="466"/>
    </row>
    <row r="217" spans="1:14" x14ac:dyDescent="0.2">
      <c r="A217" s="1504" t="s">
        <v>164</v>
      </c>
      <c r="B217" s="614">
        <v>1200</v>
      </c>
      <c r="C217" s="616"/>
      <c r="D217" s="466">
        <v>165477</v>
      </c>
      <c r="E217" s="616"/>
      <c r="F217" s="616"/>
      <c r="G217" s="616"/>
      <c r="H217" s="616"/>
      <c r="I217" s="616"/>
      <c r="J217" s="616"/>
      <c r="K217" s="1671">
        <f t="shared" si="19"/>
        <v>165477</v>
      </c>
      <c r="L217" s="466">
        <v>191350</v>
      </c>
    </row>
    <row r="218" spans="1:14" x14ac:dyDescent="0.2">
      <c r="A218" s="1504" t="s">
        <v>278</v>
      </c>
      <c r="B218" s="614" t="s">
        <v>968</v>
      </c>
      <c r="C218" s="616"/>
      <c r="D218" s="467">
        <v>0</v>
      </c>
      <c r="E218" s="616"/>
      <c r="F218" s="616"/>
      <c r="G218" s="616"/>
      <c r="H218" s="616"/>
      <c r="I218" s="616"/>
      <c r="J218" s="616"/>
      <c r="K218" s="1671">
        <f t="shared" si="19"/>
        <v>0</v>
      </c>
      <c r="L218" s="466"/>
    </row>
    <row r="219" spans="1:14" x14ac:dyDescent="0.2">
      <c r="A219" s="1504" t="s">
        <v>279</v>
      </c>
      <c r="B219" s="614">
        <v>1250</v>
      </c>
      <c r="C219" s="616"/>
      <c r="D219" s="466">
        <v>0</v>
      </c>
      <c r="E219" s="616"/>
      <c r="F219" s="616"/>
      <c r="G219" s="616"/>
      <c r="H219" s="616"/>
      <c r="I219" s="616"/>
      <c r="J219" s="616"/>
      <c r="K219" s="1671">
        <f t="shared" si="19"/>
        <v>0</v>
      </c>
      <c r="L219" s="466"/>
    </row>
    <row r="220" spans="1:14" x14ac:dyDescent="0.2">
      <c r="A220" s="1504" t="s">
        <v>280</v>
      </c>
      <c r="B220" s="614" t="s">
        <v>161</v>
      </c>
      <c r="C220" s="616"/>
      <c r="D220" s="467">
        <v>0</v>
      </c>
      <c r="E220" s="616"/>
      <c r="F220" s="616"/>
      <c r="G220" s="616"/>
      <c r="H220" s="616"/>
      <c r="I220" s="616"/>
      <c r="J220" s="616"/>
      <c r="K220" s="1671">
        <f t="shared" si="19"/>
        <v>0</v>
      </c>
      <c r="L220" s="466"/>
    </row>
    <row r="221" spans="1:14" x14ac:dyDescent="0.2">
      <c r="A221" s="1504" t="s">
        <v>962</v>
      </c>
      <c r="B221" s="614">
        <v>1300</v>
      </c>
      <c r="C221" s="616"/>
      <c r="D221" s="466">
        <v>0</v>
      </c>
      <c r="E221" s="616"/>
      <c r="F221" s="616"/>
      <c r="G221" s="616"/>
      <c r="H221" s="616"/>
      <c r="I221" s="616"/>
      <c r="J221" s="616"/>
      <c r="K221" s="1671">
        <f t="shared" si="19"/>
        <v>0</v>
      </c>
      <c r="L221" s="466"/>
    </row>
    <row r="222" spans="1:14" x14ac:dyDescent="0.2">
      <c r="A222" s="1504" t="s">
        <v>723</v>
      </c>
      <c r="B222" s="614">
        <v>1400</v>
      </c>
      <c r="C222" s="616"/>
      <c r="D222" s="466">
        <v>0</v>
      </c>
      <c r="E222" s="616"/>
      <c r="F222" s="616"/>
      <c r="G222" s="616"/>
      <c r="H222" s="616"/>
      <c r="I222" s="616"/>
      <c r="J222" s="616"/>
      <c r="K222" s="1671">
        <f t="shared" si="19"/>
        <v>0</v>
      </c>
      <c r="L222" s="466"/>
    </row>
    <row r="223" spans="1:14" x14ac:dyDescent="0.2">
      <c r="A223" s="1504" t="s">
        <v>963</v>
      </c>
      <c r="B223" s="614">
        <v>1500</v>
      </c>
      <c r="C223" s="616"/>
      <c r="D223" s="466">
        <v>0</v>
      </c>
      <c r="E223" s="616"/>
      <c r="F223" s="616"/>
      <c r="G223" s="616"/>
      <c r="H223" s="616"/>
      <c r="I223" s="616"/>
      <c r="J223" s="616"/>
      <c r="K223" s="1671">
        <f t="shared" si="19"/>
        <v>0</v>
      </c>
      <c r="L223" s="466"/>
    </row>
    <row r="224" spans="1:14" x14ac:dyDescent="0.2">
      <c r="A224" s="1504" t="s">
        <v>964</v>
      </c>
      <c r="B224" s="614">
        <v>1600</v>
      </c>
      <c r="C224" s="616"/>
      <c r="D224" s="466">
        <v>4456</v>
      </c>
      <c r="E224" s="616"/>
      <c r="F224" s="616"/>
      <c r="G224" s="616"/>
      <c r="H224" s="616"/>
      <c r="I224" s="616"/>
      <c r="J224" s="616"/>
      <c r="K224" s="1671">
        <f t="shared" si="19"/>
        <v>4456</v>
      </c>
      <c r="L224" s="466">
        <v>7621</v>
      </c>
    </row>
    <row r="225" spans="1:12" x14ac:dyDescent="0.2">
      <c r="A225" s="1504" t="s">
        <v>987</v>
      </c>
      <c r="B225" s="614">
        <v>1650</v>
      </c>
      <c r="C225" s="616"/>
      <c r="D225" s="466">
        <v>0</v>
      </c>
      <c r="E225" s="616"/>
      <c r="F225" s="616"/>
      <c r="G225" s="616"/>
      <c r="H225" s="616"/>
      <c r="I225" s="616"/>
      <c r="J225" s="616"/>
      <c r="K225" s="1671">
        <f t="shared" si="19"/>
        <v>0</v>
      </c>
      <c r="L225" s="466"/>
    </row>
    <row r="226" spans="1:12" x14ac:dyDescent="0.2">
      <c r="A226" s="1504" t="s">
        <v>724</v>
      </c>
      <c r="B226" s="614" t="s">
        <v>162</v>
      </c>
      <c r="C226" s="616"/>
      <c r="D226" s="467">
        <v>0</v>
      </c>
      <c r="E226" s="616"/>
      <c r="F226" s="616"/>
      <c r="G226" s="616"/>
      <c r="H226" s="616"/>
      <c r="I226" s="616"/>
      <c r="J226" s="616"/>
      <c r="K226" s="1671">
        <f t="shared" si="19"/>
        <v>0</v>
      </c>
      <c r="L226" s="466"/>
    </row>
    <row r="227" spans="1:12" x14ac:dyDescent="0.2">
      <c r="A227" s="1504" t="s">
        <v>1087</v>
      </c>
      <c r="B227" s="614">
        <v>1800</v>
      </c>
      <c r="C227" s="616"/>
      <c r="D227" s="466">
        <v>0</v>
      </c>
      <c r="E227" s="616"/>
      <c r="F227" s="616"/>
      <c r="G227" s="616"/>
      <c r="H227" s="616"/>
      <c r="I227" s="616"/>
      <c r="J227" s="616"/>
      <c r="K227" s="1671">
        <f t="shared" si="19"/>
        <v>0</v>
      </c>
      <c r="L227" s="466"/>
    </row>
    <row r="228" spans="1:12" x14ac:dyDescent="0.2">
      <c r="A228" s="1504" t="s">
        <v>1088</v>
      </c>
      <c r="B228" s="614">
        <v>1900</v>
      </c>
      <c r="C228" s="616"/>
      <c r="D228" s="466">
        <v>0</v>
      </c>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305348</v>
      </c>
      <c r="E229" s="616"/>
      <c r="F229" s="616"/>
      <c r="G229" s="616"/>
      <c r="H229" s="616"/>
      <c r="I229" s="616"/>
      <c r="J229" s="616"/>
      <c r="K229" s="1670">
        <f>SUM(K215:K228)</f>
        <v>305348</v>
      </c>
      <c r="L229" s="1670">
        <f>SUM(L215:L228)</f>
        <v>341750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4901</v>
      </c>
      <c r="E232" s="616"/>
      <c r="F232" s="616"/>
      <c r="G232" s="616"/>
      <c r="H232" s="616"/>
      <c r="I232" s="616"/>
      <c r="J232" s="616"/>
      <c r="K232" s="1671">
        <f t="shared" ref="K232:K237" si="20">D232</f>
        <v>4901</v>
      </c>
      <c r="L232" s="466">
        <v>4700</v>
      </c>
    </row>
    <row r="233" spans="1:12" x14ac:dyDescent="0.2">
      <c r="A233" s="1504" t="s">
        <v>1090</v>
      </c>
      <c r="B233" s="614">
        <v>2120</v>
      </c>
      <c r="C233" s="616"/>
      <c r="D233" s="466">
        <v>0</v>
      </c>
      <c r="E233" s="616"/>
      <c r="F233" s="616"/>
      <c r="G233" s="616"/>
      <c r="H233" s="616"/>
      <c r="I233" s="616"/>
      <c r="J233" s="616"/>
      <c r="K233" s="1671">
        <f t="shared" si="20"/>
        <v>0</v>
      </c>
      <c r="L233" s="466"/>
    </row>
    <row r="234" spans="1:12" x14ac:dyDescent="0.2">
      <c r="A234" s="1504" t="s">
        <v>198</v>
      </c>
      <c r="B234" s="614">
        <v>2130</v>
      </c>
      <c r="C234" s="616"/>
      <c r="D234" s="466">
        <v>46533</v>
      </c>
      <c r="E234" s="616"/>
      <c r="F234" s="616"/>
      <c r="G234" s="616"/>
      <c r="H234" s="616"/>
      <c r="I234" s="616"/>
      <c r="J234" s="616"/>
      <c r="K234" s="1671">
        <f t="shared" si="20"/>
        <v>46533</v>
      </c>
      <c r="L234" s="466">
        <v>43905</v>
      </c>
    </row>
    <row r="235" spans="1:12" x14ac:dyDescent="0.2">
      <c r="A235" s="1504" t="s">
        <v>199</v>
      </c>
      <c r="B235" s="614">
        <v>2140</v>
      </c>
      <c r="C235" s="616"/>
      <c r="D235" s="466">
        <v>4446</v>
      </c>
      <c r="E235" s="616"/>
      <c r="F235" s="616"/>
      <c r="G235" s="616"/>
      <c r="H235" s="616"/>
      <c r="I235" s="616"/>
      <c r="J235" s="616"/>
      <c r="K235" s="1671">
        <f t="shared" si="20"/>
        <v>4446</v>
      </c>
      <c r="L235" s="466">
        <v>4300</v>
      </c>
    </row>
    <row r="236" spans="1:12" x14ac:dyDescent="0.2">
      <c r="A236" s="1504" t="s">
        <v>200</v>
      </c>
      <c r="B236" s="614">
        <v>2150</v>
      </c>
      <c r="C236" s="616"/>
      <c r="D236" s="466">
        <v>6232</v>
      </c>
      <c r="E236" s="616"/>
      <c r="F236" s="616"/>
      <c r="G236" s="616"/>
      <c r="H236" s="616"/>
      <c r="I236" s="616"/>
      <c r="J236" s="616"/>
      <c r="K236" s="1671">
        <f t="shared" si="20"/>
        <v>6232</v>
      </c>
      <c r="L236" s="466">
        <v>6300</v>
      </c>
    </row>
    <row r="237" spans="1:12" x14ac:dyDescent="0.2">
      <c r="A237" s="1504" t="s">
        <v>165</v>
      </c>
      <c r="B237" s="614">
        <v>2190</v>
      </c>
      <c r="C237" s="616"/>
      <c r="D237" s="466">
        <v>2158</v>
      </c>
      <c r="E237" s="616"/>
      <c r="F237" s="616"/>
      <c r="G237" s="616"/>
      <c r="H237" s="616"/>
      <c r="I237" s="616"/>
      <c r="J237" s="616"/>
      <c r="K237" s="1671">
        <f t="shared" si="20"/>
        <v>2158</v>
      </c>
      <c r="L237" s="466">
        <v>2000</v>
      </c>
    </row>
    <row r="238" spans="1:12" ht="12.75" customHeight="1" thickBot="1" x14ac:dyDescent="0.25">
      <c r="A238" s="1668" t="s">
        <v>560</v>
      </c>
      <c r="B238" s="1675" t="s">
        <v>716</v>
      </c>
      <c r="C238" s="616"/>
      <c r="D238" s="1670">
        <f>SUM(D232:D237)</f>
        <v>64270</v>
      </c>
      <c r="E238" s="616"/>
      <c r="F238" s="616"/>
      <c r="G238" s="616"/>
      <c r="H238" s="616"/>
      <c r="I238" s="616"/>
      <c r="J238" s="616"/>
      <c r="K238" s="1670">
        <f>SUM(K232:K237)</f>
        <v>64270</v>
      </c>
      <c r="L238" s="1670">
        <f>SUM(L232:L237)</f>
        <v>61205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10431</v>
      </c>
      <c r="E240" s="616"/>
      <c r="F240" s="616"/>
      <c r="G240" s="616"/>
      <c r="H240" s="616"/>
      <c r="I240" s="616"/>
      <c r="J240" s="616"/>
      <c r="K240" s="1672">
        <f>D240</f>
        <v>10431</v>
      </c>
      <c r="L240" s="481">
        <v>10900</v>
      </c>
    </row>
    <row r="241" spans="1:12" x14ac:dyDescent="0.2">
      <c r="A241" s="1504" t="s">
        <v>815</v>
      </c>
      <c r="B241" s="614">
        <v>2220</v>
      </c>
      <c r="C241" s="616"/>
      <c r="D241" s="466">
        <v>64341</v>
      </c>
      <c r="E241" s="616"/>
      <c r="F241" s="616"/>
      <c r="G241" s="616"/>
      <c r="H241" s="616"/>
      <c r="I241" s="616"/>
      <c r="J241" s="616"/>
      <c r="K241" s="1672">
        <f>D241</f>
        <v>64341</v>
      </c>
      <c r="L241" s="466">
        <v>72005</v>
      </c>
    </row>
    <row r="242" spans="1:12" x14ac:dyDescent="0.2">
      <c r="A242" s="1504" t="s">
        <v>816</v>
      </c>
      <c r="B242" s="614">
        <v>2230</v>
      </c>
      <c r="C242" s="616"/>
      <c r="D242" s="466">
        <v>0</v>
      </c>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74772</v>
      </c>
      <c r="E243" s="616"/>
      <c r="F243" s="616"/>
      <c r="G243" s="616"/>
      <c r="H243" s="616"/>
      <c r="I243" s="616"/>
      <c r="J243" s="616"/>
      <c r="K243" s="1670">
        <f>SUM(K240:K242)</f>
        <v>74772</v>
      </c>
      <c r="L243" s="1670">
        <f>SUM(L240:L242)</f>
        <v>82905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146</v>
      </c>
      <c r="E245" s="616"/>
      <c r="F245" s="616"/>
      <c r="G245" s="616"/>
      <c r="H245" s="616"/>
      <c r="I245" s="616"/>
      <c r="J245" s="616"/>
      <c r="K245" s="1672">
        <f>D245</f>
        <v>146</v>
      </c>
      <c r="L245" s="481">
        <v>400</v>
      </c>
    </row>
    <row r="246" spans="1:12" x14ac:dyDescent="0.2">
      <c r="A246" s="1504" t="s">
        <v>818</v>
      </c>
      <c r="B246" s="614">
        <v>2320</v>
      </c>
      <c r="C246" s="616"/>
      <c r="D246" s="466">
        <v>9544</v>
      </c>
      <c r="E246" s="616"/>
      <c r="F246" s="616"/>
      <c r="G246" s="616"/>
      <c r="H246" s="616"/>
      <c r="I246" s="616"/>
      <c r="J246" s="616"/>
      <c r="K246" s="1672">
        <f t="shared" ref="K246:K256" si="21">D246</f>
        <v>9544</v>
      </c>
      <c r="L246" s="466">
        <v>12400</v>
      </c>
    </row>
    <row r="247" spans="1:12" x14ac:dyDescent="0.2">
      <c r="A247" s="1504" t="s">
        <v>819</v>
      </c>
      <c r="B247" s="614">
        <v>2330</v>
      </c>
      <c r="C247" s="616"/>
      <c r="D247" s="466">
        <v>2500</v>
      </c>
      <c r="E247" s="616"/>
      <c r="F247" s="616"/>
      <c r="G247" s="616"/>
      <c r="H247" s="616"/>
      <c r="I247" s="616"/>
      <c r="J247" s="616"/>
      <c r="K247" s="1672">
        <f t="shared" si="21"/>
        <v>2500</v>
      </c>
      <c r="L247" s="466">
        <v>2400</v>
      </c>
    </row>
    <row r="248" spans="1:12" x14ac:dyDescent="0.2">
      <c r="A248" s="1505" t="s">
        <v>299</v>
      </c>
      <c r="B248" s="602" t="s">
        <v>281</v>
      </c>
      <c r="C248" s="616"/>
      <c r="D248" s="474">
        <v>0</v>
      </c>
      <c r="E248" s="616"/>
      <c r="F248" s="616"/>
      <c r="G248" s="616"/>
      <c r="H248" s="616"/>
      <c r="I248" s="616"/>
      <c r="J248" s="616"/>
      <c r="K248" s="1672">
        <f t="shared" si="21"/>
        <v>0</v>
      </c>
      <c r="L248" s="466"/>
    </row>
    <row r="249" spans="1:12" x14ac:dyDescent="0.2">
      <c r="A249" s="1506" t="s">
        <v>1802</v>
      </c>
      <c r="B249" s="683" t="s">
        <v>282</v>
      </c>
      <c r="C249" s="616"/>
      <c r="D249" s="474">
        <v>0</v>
      </c>
      <c r="E249" s="616"/>
      <c r="F249" s="616"/>
      <c r="G249" s="616"/>
      <c r="H249" s="616"/>
      <c r="I249" s="616"/>
      <c r="J249" s="616"/>
      <c r="K249" s="1672">
        <f t="shared" si="21"/>
        <v>0</v>
      </c>
      <c r="L249" s="466"/>
    </row>
    <row r="250" spans="1:12" x14ac:dyDescent="0.2">
      <c r="A250" s="1505" t="s">
        <v>1803</v>
      </c>
      <c r="B250" s="602" t="s">
        <v>283</v>
      </c>
      <c r="C250" s="616"/>
      <c r="D250" s="474">
        <v>0</v>
      </c>
      <c r="E250" s="616"/>
      <c r="F250" s="616"/>
      <c r="G250" s="616"/>
      <c r="H250" s="616"/>
      <c r="I250" s="616"/>
      <c r="J250" s="616"/>
      <c r="K250" s="1672">
        <f t="shared" si="21"/>
        <v>0</v>
      </c>
      <c r="L250" s="466"/>
    </row>
    <row r="251" spans="1:12" x14ac:dyDescent="0.2">
      <c r="A251" s="1505" t="s">
        <v>238</v>
      </c>
      <c r="B251" s="602" t="s">
        <v>284</v>
      </c>
      <c r="C251" s="616"/>
      <c r="D251" s="474">
        <v>0</v>
      </c>
      <c r="E251" s="616"/>
      <c r="F251" s="616"/>
      <c r="G251" s="616"/>
      <c r="H251" s="616"/>
      <c r="I251" s="616"/>
      <c r="J251" s="616"/>
      <c r="K251" s="1672">
        <f t="shared" si="21"/>
        <v>0</v>
      </c>
      <c r="L251" s="466"/>
    </row>
    <row r="252" spans="1:12" x14ac:dyDescent="0.2">
      <c r="A252" s="1505" t="s">
        <v>702</v>
      </c>
      <c r="B252" s="602" t="s">
        <v>285</v>
      </c>
      <c r="C252" s="616"/>
      <c r="D252" s="474">
        <v>0</v>
      </c>
      <c r="E252" s="616"/>
      <c r="F252" s="616"/>
      <c r="G252" s="616"/>
      <c r="H252" s="616"/>
      <c r="I252" s="616"/>
      <c r="J252" s="616"/>
      <c r="K252" s="1672">
        <f t="shared" si="21"/>
        <v>0</v>
      </c>
      <c r="L252" s="466"/>
    </row>
    <row r="253" spans="1:12" x14ac:dyDescent="0.2">
      <c r="A253" s="1505" t="s">
        <v>239</v>
      </c>
      <c r="B253" s="602" t="s">
        <v>286</v>
      </c>
      <c r="C253" s="616"/>
      <c r="D253" s="474">
        <v>0</v>
      </c>
      <c r="E253" s="616"/>
      <c r="F253" s="616"/>
      <c r="G253" s="616"/>
      <c r="H253" s="616"/>
      <c r="I253" s="616"/>
      <c r="J253" s="616"/>
      <c r="K253" s="1672">
        <f t="shared" si="21"/>
        <v>0</v>
      </c>
      <c r="L253" s="466"/>
    </row>
    <row r="254" spans="1:12" ht="22.5" x14ac:dyDescent="0.2">
      <c r="A254" s="1505" t="s">
        <v>1029</v>
      </c>
      <c r="B254" s="683" t="s">
        <v>287</v>
      </c>
      <c r="C254" s="616"/>
      <c r="D254" s="474">
        <v>0</v>
      </c>
      <c r="E254" s="616"/>
      <c r="F254" s="616"/>
      <c r="G254" s="616"/>
      <c r="H254" s="616"/>
      <c r="I254" s="616"/>
      <c r="J254" s="616"/>
      <c r="K254" s="1672">
        <f t="shared" si="21"/>
        <v>0</v>
      </c>
      <c r="L254" s="466"/>
    </row>
    <row r="255" spans="1:12" x14ac:dyDescent="0.2">
      <c r="A255" s="1505" t="s">
        <v>1030</v>
      </c>
      <c r="B255" s="602" t="s">
        <v>288</v>
      </c>
      <c r="C255" s="616"/>
      <c r="D255" s="474">
        <v>0</v>
      </c>
      <c r="E255" s="616"/>
      <c r="F255" s="616"/>
      <c r="G255" s="616"/>
      <c r="H255" s="616"/>
      <c r="I255" s="616"/>
      <c r="J255" s="616"/>
      <c r="K255" s="1672">
        <f t="shared" si="21"/>
        <v>0</v>
      </c>
      <c r="L255" s="466"/>
    </row>
    <row r="256" spans="1:12" x14ac:dyDescent="0.2">
      <c r="A256" s="1505" t="s">
        <v>971</v>
      </c>
      <c r="B256" s="614" t="s">
        <v>289</v>
      </c>
      <c r="C256" s="616"/>
      <c r="D256" s="474">
        <v>0</v>
      </c>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12190</v>
      </c>
      <c r="E257" s="616"/>
      <c r="F257" s="616"/>
      <c r="G257" s="616"/>
      <c r="H257" s="616"/>
      <c r="I257" s="616"/>
      <c r="J257" s="616"/>
      <c r="K257" s="1670">
        <f>SUM(K245:K256)</f>
        <v>12190</v>
      </c>
      <c r="L257" s="1670">
        <f>SUM(L245:L256)</f>
        <v>15200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67413</v>
      </c>
      <c r="E259" s="616"/>
      <c r="F259" s="616"/>
      <c r="G259" s="616"/>
      <c r="H259" s="616"/>
      <c r="I259" s="616"/>
      <c r="J259" s="616"/>
      <c r="K259" s="1672">
        <f>D259</f>
        <v>67413</v>
      </c>
      <c r="L259" s="481">
        <v>71300</v>
      </c>
    </row>
    <row r="260" spans="1:14" s="597" customFormat="1" x14ac:dyDescent="0.2">
      <c r="A260" s="1522" t="s">
        <v>1801</v>
      </c>
      <c r="B260" s="628">
        <v>2490</v>
      </c>
      <c r="C260" s="616"/>
      <c r="D260" s="466">
        <v>0</v>
      </c>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67413</v>
      </c>
      <c r="E261" s="616"/>
      <c r="F261" s="616"/>
      <c r="G261" s="616"/>
      <c r="H261" s="616"/>
      <c r="I261" s="616"/>
      <c r="J261" s="616"/>
      <c r="K261" s="1670">
        <f>SUM(K259:K260)</f>
        <v>67413</v>
      </c>
      <c r="L261" s="1670">
        <f>SUM(L259:L260)</f>
        <v>71300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2181</v>
      </c>
      <c r="E263" s="616"/>
      <c r="F263" s="616"/>
      <c r="G263" s="616"/>
      <c r="H263" s="616"/>
      <c r="I263" s="616"/>
      <c r="J263" s="616"/>
      <c r="K263" s="1672">
        <f>D263</f>
        <v>2181</v>
      </c>
      <c r="L263" s="481">
        <v>2100</v>
      </c>
    </row>
    <row r="264" spans="1:14" x14ac:dyDescent="0.2">
      <c r="A264" s="1504" t="s">
        <v>463</v>
      </c>
      <c r="B264" s="685">
        <v>2520</v>
      </c>
      <c r="C264" s="616"/>
      <c r="D264" s="466">
        <v>32487</v>
      </c>
      <c r="E264" s="616"/>
      <c r="F264" s="616"/>
      <c r="G264" s="616"/>
      <c r="H264" s="616"/>
      <c r="I264" s="616"/>
      <c r="J264" s="616"/>
      <c r="K264" s="1672">
        <f t="shared" ref="K264:K269" si="22">D264</f>
        <v>32487</v>
      </c>
      <c r="L264" s="466">
        <v>48000</v>
      </c>
    </row>
    <row r="265" spans="1:14" x14ac:dyDescent="0.2">
      <c r="A265" s="1504" t="s">
        <v>4</v>
      </c>
      <c r="B265" s="614">
        <v>2530</v>
      </c>
      <c r="C265" s="616"/>
      <c r="D265" s="466">
        <v>0</v>
      </c>
      <c r="E265" s="616"/>
      <c r="F265" s="616"/>
      <c r="G265" s="616"/>
      <c r="H265" s="616"/>
      <c r="I265" s="616"/>
      <c r="J265" s="616"/>
      <c r="K265" s="1672">
        <f t="shared" si="22"/>
        <v>0</v>
      </c>
      <c r="L265" s="466"/>
    </row>
    <row r="266" spans="1:14" x14ac:dyDescent="0.2">
      <c r="A266" s="1504" t="s">
        <v>197</v>
      </c>
      <c r="B266" s="614">
        <v>2540</v>
      </c>
      <c r="C266" s="616"/>
      <c r="D266" s="466">
        <v>222392</v>
      </c>
      <c r="E266" s="616"/>
      <c r="F266" s="616"/>
      <c r="G266" s="616"/>
      <c r="H266" s="616"/>
      <c r="I266" s="616"/>
      <c r="J266" s="616"/>
      <c r="K266" s="1672">
        <f t="shared" si="22"/>
        <v>222392</v>
      </c>
      <c r="L266" s="466">
        <v>235000</v>
      </c>
    </row>
    <row r="267" spans="1:14" x14ac:dyDescent="0.2">
      <c r="A267" s="1504" t="s">
        <v>953</v>
      </c>
      <c r="B267" s="614">
        <v>2550</v>
      </c>
      <c r="C267" s="616"/>
      <c r="D267" s="466">
        <v>5423</v>
      </c>
      <c r="E267" s="616"/>
      <c r="F267" s="616"/>
      <c r="G267" s="616"/>
      <c r="H267" s="616"/>
      <c r="I267" s="616"/>
      <c r="J267" s="616"/>
      <c r="K267" s="1672">
        <f t="shared" si="22"/>
        <v>5423</v>
      </c>
      <c r="L267" s="466">
        <v>5640</v>
      </c>
    </row>
    <row r="268" spans="1:14" x14ac:dyDescent="0.2">
      <c r="A268" s="1504" t="s">
        <v>100</v>
      </c>
      <c r="B268" s="614">
        <v>2560</v>
      </c>
      <c r="C268" s="616"/>
      <c r="D268" s="466">
        <v>33271</v>
      </c>
      <c r="E268" s="616"/>
      <c r="F268" s="616"/>
      <c r="G268" s="616"/>
      <c r="H268" s="616"/>
      <c r="I268" s="616"/>
      <c r="J268" s="616"/>
      <c r="K268" s="1672">
        <f t="shared" si="22"/>
        <v>33271</v>
      </c>
      <c r="L268" s="466">
        <v>36900</v>
      </c>
    </row>
    <row r="269" spans="1:14" x14ac:dyDescent="0.2">
      <c r="A269" s="1504" t="s">
        <v>101</v>
      </c>
      <c r="B269" s="614">
        <v>2570</v>
      </c>
      <c r="C269" s="616"/>
      <c r="D269" s="466">
        <v>0</v>
      </c>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295754</v>
      </c>
      <c r="E270" s="616"/>
      <c r="F270" s="616"/>
      <c r="G270" s="616"/>
      <c r="H270" s="616"/>
      <c r="I270" s="616"/>
      <c r="J270" s="616"/>
      <c r="K270" s="1670">
        <f>SUM(K263:K269)</f>
        <v>295754</v>
      </c>
      <c r="L270" s="1670">
        <f>SUM(L263:L269)</f>
        <v>327640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row>
    <row r="273" spans="1:12" x14ac:dyDescent="0.2">
      <c r="A273" s="1504" t="s">
        <v>607</v>
      </c>
      <c r="B273" s="628">
        <v>2620</v>
      </c>
      <c r="C273" s="616"/>
      <c r="D273" s="466">
        <v>0</v>
      </c>
      <c r="E273" s="616"/>
      <c r="F273" s="616"/>
      <c r="G273" s="616"/>
      <c r="H273" s="616"/>
      <c r="I273" s="616"/>
      <c r="J273" s="616"/>
      <c r="K273" s="1672">
        <f>D273</f>
        <v>0</v>
      </c>
      <c r="L273" s="466"/>
    </row>
    <row r="274" spans="1:12" ht="12" customHeight="1" x14ac:dyDescent="0.2">
      <c r="A274" s="1504" t="s">
        <v>1061</v>
      </c>
      <c r="B274" s="614">
        <v>2630</v>
      </c>
      <c r="C274" s="616"/>
      <c r="D274" s="466">
        <v>0</v>
      </c>
      <c r="E274" s="616"/>
      <c r="F274" s="616"/>
      <c r="G274" s="616"/>
      <c r="H274" s="616"/>
      <c r="I274" s="616"/>
      <c r="J274" s="616"/>
      <c r="K274" s="1672">
        <f>D274</f>
        <v>0</v>
      </c>
      <c r="L274" s="466"/>
    </row>
    <row r="275" spans="1:12" x14ac:dyDescent="0.2">
      <c r="A275" s="1504" t="s">
        <v>403</v>
      </c>
      <c r="B275" s="614">
        <v>2640</v>
      </c>
      <c r="C275" s="616"/>
      <c r="D275" s="466">
        <v>34</v>
      </c>
      <c r="E275" s="616"/>
      <c r="F275" s="616"/>
      <c r="G275" s="616"/>
      <c r="H275" s="616"/>
      <c r="I275" s="616"/>
      <c r="J275" s="616"/>
      <c r="K275" s="1672">
        <f>D275</f>
        <v>34</v>
      </c>
      <c r="L275" s="466"/>
    </row>
    <row r="276" spans="1:12" x14ac:dyDescent="0.2">
      <c r="A276" s="1504" t="s">
        <v>404</v>
      </c>
      <c r="B276" s="614">
        <v>2660</v>
      </c>
      <c r="C276" s="616"/>
      <c r="D276" s="466">
        <v>0</v>
      </c>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34</v>
      </c>
      <c r="E277" s="616"/>
      <c r="F277" s="616"/>
      <c r="G277" s="616"/>
      <c r="H277" s="616"/>
      <c r="I277" s="616"/>
      <c r="J277" s="616"/>
      <c r="K277" s="1670">
        <f>SUM(K272:K276)</f>
        <v>34</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514433</v>
      </c>
      <c r="E279" s="616"/>
      <c r="F279" s="616"/>
      <c r="G279" s="616"/>
      <c r="H279" s="616"/>
      <c r="I279" s="616"/>
      <c r="J279" s="616"/>
      <c r="K279" s="1677">
        <f>SUM(K238,K243,K257,K261,K270,K277,K278)</f>
        <v>514433</v>
      </c>
      <c r="L279" s="1677">
        <f>SUM(L238,L243,L257,L261,L270,L277,L278)</f>
        <v>558250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t="s">
        <v>1169</v>
      </c>
      <c r="E282" s="616"/>
      <c r="F282" s="616"/>
      <c r="G282" s="616"/>
      <c r="H282" s="616"/>
      <c r="I282" s="616"/>
      <c r="J282" s="616"/>
      <c r="K282" s="1671" t="str">
        <f>D282</f>
        <v xml:space="preserve"> </v>
      </c>
      <c r="L282" s="467"/>
    </row>
    <row r="283" spans="1:12" x14ac:dyDescent="0.2">
      <c r="A283" s="1504" t="s">
        <v>304</v>
      </c>
      <c r="B283" s="614">
        <v>4120</v>
      </c>
      <c r="C283" s="616"/>
      <c r="D283" s="466">
        <v>0</v>
      </c>
      <c r="E283" s="616"/>
      <c r="F283" s="616"/>
      <c r="G283" s="616"/>
      <c r="H283" s="616"/>
      <c r="I283" s="616"/>
      <c r="J283" s="616"/>
      <c r="K283" s="1671">
        <f>D283</f>
        <v>0</v>
      </c>
      <c r="L283" s="466"/>
    </row>
    <row r="284" spans="1:12" x14ac:dyDescent="0.2">
      <c r="A284" s="1504" t="s">
        <v>697</v>
      </c>
      <c r="B284" s="614">
        <v>4140</v>
      </c>
      <c r="C284" s="616"/>
      <c r="D284" s="467">
        <v>0</v>
      </c>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row>
    <row r="289" spans="1:14" x14ac:dyDescent="0.2">
      <c r="A289" s="1504" t="s">
        <v>88</v>
      </c>
      <c r="B289" s="614">
        <v>5120</v>
      </c>
      <c r="C289" s="616"/>
      <c r="D289" s="616"/>
      <c r="E289" s="616"/>
      <c r="F289" s="616"/>
      <c r="G289" s="616"/>
      <c r="H289" s="466">
        <v>0</v>
      </c>
      <c r="I289" s="616"/>
      <c r="J289" s="616"/>
      <c r="K289" s="1671">
        <f>H289</f>
        <v>0</v>
      </c>
      <c r="L289" s="466"/>
    </row>
    <row r="290" spans="1:14" ht="12.75" customHeight="1" x14ac:dyDescent="0.2">
      <c r="A290" s="1504" t="s">
        <v>1170</v>
      </c>
      <c r="B290" s="628" t="s">
        <v>617</v>
      </c>
      <c r="C290" s="616"/>
      <c r="D290" s="616"/>
      <c r="E290" s="616"/>
      <c r="F290" s="616"/>
      <c r="G290" s="616"/>
      <c r="H290" s="466">
        <v>0</v>
      </c>
      <c r="I290" s="616"/>
      <c r="J290" s="616"/>
      <c r="K290" s="1671">
        <f>H290</f>
        <v>0</v>
      </c>
      <c r="L290" s="466"/>
    </row>
    <row r="291" spans="1:14" x14ac:dyDescent="0.2">
      <c r="A291" s="1504" t="s">
        <v>89</v>
      </c>
      <c r="B291" s="614" t="s">
        <v>589</v>
      </c>
      <c r="C291" s="616"/>
      <c r="D291" s="616"/>
      <c r="E291" s="616"/>
      <c r="F291" s="616"/>
      <c r="G291" s="616"/>
      <c r="H291" s="466">
        <v>0</v>
      </c>
      <c r="I291" s="616"/>
      <c r="J291" s="616"/>
      <c r="K291" s="1671">
        <f>H291</f>
        <v>0</v>
      </c>
      <c r="L291" s="466"/>
    </row>
    <row r="292" spans="1:14" x14ac:dyDescent="0.2">
      <c r="A292" s="1504" t="s">
        <v>762</v>
      </c>
      <c r="B292" s="614" t="s">
        <v>618</v>
      </c>
      <c r="C292" s="616"/>
      <c r="D292" s="616"/>
      <c r="E292" s="616"/>
      <c r="F292" s="616"/>
      <c r="G292" s="616"/>
      <c r="H292" s="466">
        <v>0</v>
      </c>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70">
        <f>SUM(D229,D279,D280,D285)</f>
        <v>819781</v>
      </c>
      <c r="E295" s="616"/>
      <c r="F295" s="616"/>
      <c r="G295" s="616"/>
      <c r="H295" s="1670">
        <f>H293</f>
        <v>0</v>
      </c>
      <c r="I295" s="616"/>
      <c r="J295" s="616"/>
      <c r="K295" s="1670">
        <f>SUM(K229,K279,K280,K285,K293,K294)</f>
        <v>819781</v>
      </c>
      <c r="L295" s="1670">
        <f>SUM(L229,L279,L280,L285,L293,L294)</f>
        <v>900000</v>
      </c>
    </row>
    <row r="296" spans="1:14" ht="13.5" thickTop="1" x14ac:dyDescent="0.2">
      <c r="A296" s="2163" t="s">
        <v>996</v>
      </c>
      <c r="B296" s="2164"/>
      <c r="C296" s="616"/>
      <c r="D296" s="618"/>
      <c r="E296" s="616"/>
      <c r="F296" s="616"/>
      <c r="G296" s="616"/>
      <c r="H296" s="687"/>
      <c r="I296" s="616"/>
      <c r="J296" s="616"/>
      <c r="K296" s="1684">
        <f>'Revenues 9-14'!G268-'Expenditures 15-22'!K295</f>
        <v>21471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1212657</v>
      </c>
      <c r="H301" s="466">
        <v>7330</v>
      </c>
      <c r="I301" s="467">
        <v>0</v>
      </c>
      <c r="J301" s="467">
        <v>0</v>
      </c>
      <c r="K301" s="1671">
        <f>SUM(C301:J301)</f>
        <v>1219987</v>
      </c>
      <c r="L301" s="467">
        <v>1700000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1212657</v>
      </c>
      <c r="H303" s="1677">
        <f t="shared" si="23"/>
        <v>7330</v>
      </c>
      <c r="I303" s="1677">
        <f t="shared" si="23"/>
        <v>0</v>
      </c>
      <c r="J303" s="1677">
        <f t="shared" si="23"/>
        <v>0</v>
      </c>
      <c r="K303" s="1677">
        <f t="shared" si="23"/>
        <v>1219987</v>
      </c>
      <c r="L303" s="1677">
        <f t="shared" si="23"/>
        <v>1700000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v>0</v>
      </c>
      <c r="F306" s="616"/>
      <c r="G306" s="616"/>
      <c r="H306" s="467">
        <v>0</v>
      </c>
      <c r="I306" s="616"/>
      <c r="J306" s="616"/>
      <c r="K306" s="1671">
        <f>SUM(E306,H306)</f>
        <v>0</v>
      </c>
      <c r="L306" s="467"/>
    </row>
    <row r="307" spans="1:14" x14ac:dyDescent="0.2">
      <c r="A307" s="1504" t="s">
        <v>304</v>
      </c>
      <c r="B307" s="614">
        <v>4120</v>
      </c>
      <c r="C307" s="616"/>
      <c r="D307" s="616"/>
      <c r="E307" s="467">
        <v>0</v>
      </c>
      <c r="F307" s="616"/>
      <c r="G307" s="616"/>
      <c r="H307" s="467">
        <v>0</v>
      </c>
      <c r="I307" s="477"/>
      <c r="J307" s="616"/>
      <c r="K307" s="1671">
        <f>SUM(E307,H307)</f>
        <v>0</v>
      </c>
      <c r="L307" s="466"/>
    </row>
    <row r="308" spans="1:14" x14ac:dyDescent="0.2">
      <c r="A308" s="1504" t="s">
        <v>697</v>
      </c>
      <c r="B308" s="614">
        <v>4140</v>
      </c>
      <c r="C308" s="616"/>
      <c r="D308" s="616"/>
      <c r="E308" s="467">
        <v>0</v>
      </c>
      <c r="F308" s="616"/>
      <c r="G308" s="616"/>
      <c r="H308" s="467">
        <v>0</v>
      </c>
      <c r="I308" s="477"/>
      <c r="J308" s="616"/>
      <c r="K308" s="1671">
        <f>SUM(E308,H308)</f>
        <v>0</v>
      </c>
      <c r="L308" s="466"/>
    </row>
    <row r="309" spans="1:14" ht="12.75" customHeight="1" x14ac:dyDescent="0.2">
      <c r="A309" s="1508" t="s">
        <v>698</v>
      </c>
      <c r="B309" s="628">
        <v>4190</v>
      </c>
      <c r="C309" s="616"/>
      <c r="D309" s="616"/>
      <c r="E309" s="467">
        <v>0</v>
      </c>
      <c r="F309" s="616"/>
      <c r="G309" s="616"/>
      <c r="H309" s="467">
        <v>0</v>
      </c>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70">
        <f>SUM(C303)</f>
        <v>0</v>
      </c>
      <c r="D312" s="1670">
        <f>SUM(D303)</f>
        <v>0</v>
      </c>
      <c r="E312" s="1670">
        <f>SUM(E303,E310)</f>
        <v>0</v>
      </c>
      <c r="F312" s="1670">
        <f>SUM(F303)</f>
        <v>0</v>
      </c>
      <c r="G312" s="1670">
        <f>SUM(G303)</f>
        <v>1212657</v>
      </c>
      <c r="H312" s="1670">
        <f>SUM(H303,H310)</f>
        <v>7330</v>
      </c>
      <c r="I312" s="1670">
        <f>SUM(I303)</f>
        <v>0</v>
      </c>
      <c r="J312" s="1670">
        <f>SUM(J303)</f>
        <v>0</v>
      </c>
      <c r="K312" s="1670">
        <f>SUM(K303,K310,K311)</f>
        <v>1219987</v>
      </c>
      <c r="L312" s="1670">
        <f>SUM(L303,L310,L311)</f>
        <v>1700000</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-1122675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c r="M319" s="665"/>
      <c r="N319" s="665"/>
    </row>
    <row r="320" spans="1:14" s="674" customFormat="1" x14ac:dyDescent="0.2">
      <c r="A320" s="1523" t="s">
        <v>1802</v>
      </c>
      <c r="B320" s="698" t="s">
        <v>282</v>
      </c>
      <c r="C320" s="467">
        <v>0</v>
      </c>
      <c r="D320" s="467">
        <v>0</v>
      </c>
      <c r="E320" s="467">
        <v>0</v>
      </c>
      <c r="F320" s="467">
        <v>0</v>
      </c>
      <c r="G320" s="467">
        <v>0</v>
      </c>
      <c r="H320" s="467">
        <v>0</v>
      </c>
      <c r="I320" s="467">
        <v>0</v>
      </c>
      <c r="J320" s="467">
        <v>0</v>
      </c>
      <c r="K320" s="1671">
        <f t="shared" ref="K320:K327" si="24">SUM(C320:J320)</f>
        <v>0</v>
      </c>
      <c r="L320" s="467"/>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c r="M326" s="665"/>
      <c r="N326" s="665"/>
    </row>
    <row r="327" spans="1:14" s="674" customFormat="1" x14ac:dyDescent="0.2">
      <c r="A327" s="1519" t="s">
        <v>971</v>
      </c>
      <c r="B327" s="697" t="s">
        <v>289</v>
      </c>
      <c r="C327" s="467">
        <v>0</v>
      </c>
      <c r="D327" s="467">
        <v>0</v>
      </c>
      <c r="E327" s="467">
        <v>0</v>
      </c>
      <c r="F327" s="467">
        <v>0</v>
      </c>
      <c r="G327" s="467">
        <v>0</v>
      </c>
      <c r="H327" s="467">
        <v>0</v>
      </c>
      <c r="I327" s="467">
        <v>0</v>
      </c>
      <c r="J327" s="467">
        <v>0</v>
      </c>
      <c r="K327" s="1671">
        <f t="shared" si="24"/>
        <v>0</v>
      </c>
      <c r="L327" s="467"/>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v>0</v>
      </c>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v>0</v>
      </c>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row>
    <row r="338" spans="1:14" ht="12.75" customHeight="1" x14ac:dyDescent="0.2">
      <c r="A338" s="1518" t="s">
        <v>1170</v>
      </c>
      <c r="B338" s="690" t="s">
        <v>617</v>
      </c>
      <c r="C338" s="638"/>
      <c r="D338" s="638"/>
      <c r="E338" s="638"/>
      <c r="F338" s="638"/>
      <c r="G338" s="638"/>
      <c r="H338" s="478">
        <v>0</v>
      </c>
      <c r="I338" s="638"/>
      <c r="J338" s="638"/>
      <c r="K338" s="1671">
        <f>H338</f>
        <v>0</v>
      </c>
      <c r="L338" s="478"/>
    </row>
    <row r="339" spans="1:14" x14ac:dyDescent="0.2">
      <c r="A339" s="1504" t="s">
        <v>901</v>
      </c>
      <c r="B339" s="628">
        <v>5150</v>
      </c>
      <c r="C339" s="638"/>
      <c r="D339" s="638"/>
      <c r="E339" s="638"/>
      <c r="F339" s="638"/>
      <c r="G339" s="638"/>
      <c r="H339" s="467">
        <v>0</v>
      </c>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6" t="s">
        <v>996</v>
      </c>
      <c r="B343" s="217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row>
    <row r="349" spans="1:14" x14ac:dyDescent="0.2">
      <c r="A349" s="1504" t="s">
        <v>197</v>
      </c>
      <c r="B349" s="614">
        <v>2540</v>
      </c>
      <c r="C349" s="466">
        <v>3649</v>
      </c>
      <c r="D349" s="466">
        <v>0</v>
      </c>
      <c r="E349" s="466">
        <v>0</v>
      </c>
      <c r="F349" s="466">
        <v>0</v>
      </c>
      <c r="G349" s="466">
        <v>0</v>
      </c>
      <c r="H349" s="466">
        <v>0</v>
      </c>
      <c r="I349" s="467">
        <v>0</v>
      </c>
      <c r="J349" s="467">
        <v>0</v>
      </c>
      <c r="K349" s="1671">
        <f>SUM(C349:J349)</f>
        <v>3649</v>
      </c>
      <c r="L349" s="466">
        <v>25000</v>
      </c>
    </row>
    <row r="350" spans="1:14" ht="12.75" customHeight="1" thickBot="1" x14ac:dyDescent="0.25">
      <c r="A350" s="1668" t="s">
        <v>719</v>
      </c>
      <c r="B350" s="1669" t="s">
        <v>35</v>
      </c>
      <c r="C350" s="1670">
        <f>SUM(C348:C349)</f>
        <v>3649</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3649</v>
      </c>
      <c r="L350" s="1670">
        <f t="shared" si="26"/>
        <v>25000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8" t="s">
        <v>624</v>
      </c>
      <c r="B352" s="1675" t="s">
        <v>569</v>
      </c>
      <c r="C352" s="1670">
        <f>SUM(C350:C351)</f>
        <v>3649</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3649</v>
      </c>
      <c r="L352" s="1670">
        <f t="shared" si="27"/>
        <v>25000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v>0</v>
      </c>
      <c r="I354" s="701"/>
      <c r="J354" s="616"/>
      <c r="K354" s="1699">
        <f>H354</f>
        <v>0</v>
      </c>
      <c r="L354" s="471"/>
    </row>
    <row r="355" spans="1:14" ht="12.75" customHeight="1" x14ac:dyDescent="0.2">
      <c r="A355" s="1513" t="s">
        <v>1851</v>
      </c>
      <c r="B355" s="690" t="s">
        <v>1844</v>
      </c>
      <c r="C355" s="616"/>
      <c r="D355" s="616"/>
      <c r="E355" s="616"/>
      <c r="F355" s="616"/>
      <c r="G355" s="616"/>
      <c r="H355" s="467">
        <v>0</v>
      </c>
      <c r="I355" s="701"/>
      <c r="J355" s="616"/>
      <c r="K355" s="1743">
        <f>H355</f>
        <v>0</v>
      </c>
      <c r="L355" s="467"/>
    </row>
    <row r="356" spans="1:14" ht="12.75" customHeight="1" x14ac:dyDescent="0.2">
      <c r="A356" s="1834" t="s">
        <v>698</v>
      </c>
      <c r="B356" s="683" t="s">
        <v>558</v>
      </c>
      <c r="C356" s="616"/>
      <c r="D356" s="616"/>
      <c r="E356" s="616"/>
      <c r="F356" s="616"/>
      <c r="G356" s="616"/>
      <c r="H356" s="479">
        <v>0</v>
      </c>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row>
    <row r="361" spans="1:14" ht="12.75" customHeight="1" x14ac:dyDescent="0.2">
      <c r="A361" s="1505" t="s">
        <v>619</v>
      </c>
      <c r="B361" s="602" t="s">
        <v>618</v>
      </c>
      <c r="C361" s="616"/>
      <c r="D361" s="616"/>
      <c r="E361" s="616"/>
      <c r="F361" s="616"/>
      <c r="G361" s="616"/>
      <c r="H361" s="467">
        <v>0</v>
      </c>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3649</v>
      </c>
      <c r="D367" s="1670">
        <f t="shared" si="28"/>
        <v>0</v>
      </c>
      <c r="E367" s="1670">
        <f t="shared" si="28"/>
        <v>0</v>
      </c>
      <c r="F367" s="1670">
        <f t="shared" si="28"/>
        <v>0</v>
      </c>
      <c r="G367" s="1670">
        <f t="shared" si="28"/>
        <v>0</v>
      </c>
      <c r="H367" s="1670">
        <f t="shared" si="28"/>
        <v>0</v>
      </c>
      <c r="I367" s="1670">
        <f t="shared" si="28"/>
        <v>0</v>
      </c>
      <c r="J367" s="1670">
        <f t="shared" si="28"/>
        <v>0</v>
      </c>
      <c r="K367" s="1670">
        <f t="shared" si="28"/>
        <v>3649</v>
      </c>
      <c r="L367" s="1670">
        <f t="shared" si="28"/>
        <v>25000</v>
      </c>
    </row>
    <row r="368" spans="1:14" ht="13.5" thickTop="1" x14ac:dyDescent="0.2">
      <c r="A368" s="2163" t="s">
        <v>996</v>
      </c>
      <c r="B368" s="2164"/>
      <c r="C368" s="654"/>
      <c r="D368" s="654"/>
      <c r="E368" s="626"/>
      <c r="F368" s="626"/>
      <c r="G368" s="626"/>
      <c r="H368" s="626"/>
      <c r="I368" s="626"/>
      <c r="J368" s="623"/>
      <c r="K368" s="1671">
        <f>'Revenues 9-14'!K268-'Expenditures 15-22'!K367</f>
        <v>-1205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d21dc803-237d-4c68-8692-8d731fd29118"/>
    <ds:schemaRef ds:uri="http://schemas.microsoft.com/office/infopath/2007/PartnerControls"/>
    <ds:schemaRef ds:uri="http://purl.org/dc/elements/1.1/"/>
    <ds:schemaRef ds:uri="http://www.w3.org/XML/1998/namespace"/>
    <ds:schemaRef ds:uri="http://schemas.openxmlformats.org/package/2006/metadata/core-properties"/>
    <ds:schemaRef ds:uri="http://schemas.microsoft.com/office/2006/metadata/properties"/>
    <ds:schemaRef ds:uri="4d435f69-8686-490b-bd6d-b153bf22ab50"/>
    <ds:schemaRef ds:uri="6ce3111e-7420-4802-b50a-75d4e9a0b980"/>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2019-10-10T20:06:31Z</cp:lastPrinted>
  <dcterms:created xsi:type="dcterms:W3CDTF">2003-10-29T19:06:34Z</dcterms:created>
  <dcterms:modified xsi:type="dcterms:W3CDTF">2019-12-05T16:59:47Z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