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370EBA7-B522-43FB-90DB-E36A0E47339F}" xr6:coauthVersionLast="36" xr6:coauthVersionMax="36" xr10:uidLastSave="{00000000-0000-0000-0000-000000000000}"/>
  <bookViews>
    <workbookView xWindow="-3015" yWindow="135"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I8" i="11"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F52" i="34"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7" i="108"/>
  <c r="G27" i="108"/>
  <c r="F31" i="108"/>
  <c r="F36"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N22" i="3"/>
  <c r="B283" i="106" s="1"/>
  <c r="D283" i="106" s="1"/>
  <c r="D7" i="118"/>
  <c r="D8" i="118"/>
  <c r="D9" i="118"/>
  <c r="H14" i="118"/>
  <c r="H19" i="118"/>
  <c r="H24" i="118"/>
  <c r="H29" i="118"/>
  <c r="D11" i="37"/>
  <c r="J22" i="37"/>
  <c r="L22" i="37"/>
  <c r="D24" i="37"/>
  <c r="B4270" i="106" s="1"/>
  <c r="D4270" i="106" s="1"/>
  <c r="L5" i="11"/>
  <c r="B2056" i="106" s="1"/>
  <c r="D2056" i="106" s="1"/>
  <c r="H28" i="118" l="1"/>
  <c r="K76" i="4"/>
  <c r="B3586" i="106" s="1"/>
  <c r="D3586" i="106" s="1"/>
  <c r="G26" i="108"/>
  <c r="I210" i="29"/>
  <c r="B7071" i="106" s="1"/>
  <c r="D7071" i="106" s="1"/>
  <c r="H112" i="29"/>
  <c r="B7018" i="106" s="1"/>
  <c r="D7018" i="106" s="1"/>
  <c r="L367" i="29"/>
  <c r="E34" i="108"/>
  <c r="F37" i="108"/>
  <c r="D37" i="108"/>
  <c r="E26" i="108"/>
  <c r="F44" i="34"/>
  <c r="F19" i="7"/>
  <c r="B1807" i="106" s="1"/>
  <c r="D1807" i="106" s="1"/>
  <c r="G38" i="108"/>
  <c r="B1124" i="106"/>
  <c r="D1124" i="106" s="1"/>
  <c r="B1274" i="106"/>
  <c r="D1274" i="106" s="1"/>
  <c r="D36" i="108"/>
  <c r="K28" i="118"/>
  <c r="O27" i="118" s="1"/>
  <c r="O29" i="118" s="1"/>
  <c r="D22" i="37"/>
  <c r="H33" i="118"/>
  <c r="L342" i="29"/>
  <c r="B7727" i="106"/>
  <c r="D7727" i="106" s="1"/>
  <c r="F27" i="108"/>
  <c r="B7078" i="106"/>
  <c r="D7078" i="106" s="1"/>
  <c r="J41" i="3"/>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14" i="29" l="1"/>
  <c r="D44" i="36"/>
  <c r="D41" i="108"/>
  <c r="E43" i="108" s="1"/>
  <c r="L16" i="11"/>
  <c r="B2061" i="106" s="1"/>
  <c r="D2061" i="106" s="1"/>
  <c r="I7" i="4"/>
  <c r="B4444" i="106" s="1"/>
  <c r="D4444"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F177" i="34" l="1"/>
  <c r="F179" i="34" s="1"/>
  <c r="B6266" i="106"/>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<sst xmlns="http://schemas.openxmlformats.org/spreadsheetml/2006/main" count="5095" uniqueCount="2094">
  <si>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</si>
  <si>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</si>
  <si>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</si>
  <si>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</si>
  <si>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</si>
  <si>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</si>
  <si>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</si>
  <si>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</si>
  <si>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</si>
  <si>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</si>
  <si>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</si>
  <si>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</si>
  <si>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</si>
  <si>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</si>
  <si>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</si>
  <si>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</si>
  <si>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</si>
  <si>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</si>
  <si>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</si>
  <si>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</si>
  <si>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</si>
  <si>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</si>
  <si>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</si>
  <si>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</si>
  <si>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</si>
  <si>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</si>
  <si>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</si>
  <si>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</si>
  <si>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</si>
  <si>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</si>
  <si>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</si>
  <si>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</si>
  <si>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</si>
  <si>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</si>
  <si>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</si>
  <si>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</si>
  <si>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</si>
  <si>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</si>
  <si>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</si>
  <si>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</si>
  <si>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</si>
  <si>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</si>
  <si>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</si>
  <si>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</si>
  <si>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</si>
  <si>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</si>
  <si>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</si>
  <si>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</si>
  <si>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</si>
  <si>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</si>
  <si>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</si>
  <si>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</si>
  <si>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</si>
  <si>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</si>
  <si>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</si>
  <si>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</si>
  <si>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</si>
  <si>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</si>
  <si>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</si>
  <si>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</si>
  <si>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</si>
  <si>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</si>
  <si>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</si>
  <si>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</si>
  <si>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</si>
  <si>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</si>
  <si>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</si>
  <si>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</si>
  <si>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</si>
  <si>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</si>
  <si>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</si>
  <si>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</si>
  <si>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</si>
  <si>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</si>
  <si>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</si>
  <si>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</si>
  <si>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</si>
  <si>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</si>
  <si>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</si>
  <si>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</si>
  <si>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</si>
  <si>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</si>
  <si>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</si>
  <si>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</si>
  <si>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</si>
  <si>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</si>
  <si>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</si>
  <si>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</si>
  <si>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</si>
  <si>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</si>
  <si>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</si>
  <si>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</si>
  <si>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</si>
  <si>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</si>
  <si>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</si>
  <si>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</si>
  <si>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</si>
  <si>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</si>
  <si>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</si>
  <si>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</si>
  <si>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</si>
  <si>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</si>
  <si>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</si>
  <si>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</si>
  <si>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</si>
  <si>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</si>
  <si>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</si>
  <si>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</si>
  <si>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</si>
  <si>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</si>
  <si>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</si>
  <si>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</si>
  <si>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</si>
  <si>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</si>
  <si>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</si>
  <si>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</si>
  <si>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</si>
  <si>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</si>
  <si>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</si>
  <si>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</si>
  <si>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</si>
  <si>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</si>
  <si>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</si>
  <si>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</si>
  <si>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</si>
  <si>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</si>
  <si>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</si>
  <si>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</si>
  <si>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</si>
  <si>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</si>
  <si>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</si>
  <si>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</si>
  <si>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</si>
  <si>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</si>
  <si>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</si>
  <si>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</si>
  <si>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</si>
  <si>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</si>
  <si>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</si>
  <si>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</si>
  <si>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</si>
  <si>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</si>
  <si>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</si>
  <si>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</si>
  <si>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</si>
  <si>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</si>
  <si>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</si>
  <si>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</si>
  <si>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</si>
  <si>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</si>
  <si>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</si>
  <si>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</si>
  <si>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</si>
  <si>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</si>
  <si>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</si>
  <si>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</si>
  <si>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</si>
  <si>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</si>
  <si>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</si>
  <si>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</si>
  <si>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</si>
  <si>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</si>
  <si>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</si>
  <si>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</si>
  <si>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</si>
  <si>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</si>
  <si>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</si>
  <si>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</si>
  <si>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</si>
  <si>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</si>
  <si>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</si>
  <si>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</si>
  <si>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</si>
  <si>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</si>
  <si>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</si>
  <si>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</si>
  <si>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</si>
  <si>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</si>
  <si>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</si>
  <si>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</si>
  <si>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</si>
  <si>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</si>
  <si>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</si>
  <si>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</si>
  <si>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</si>
  <si>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</si>
  <si>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</si>
  <si>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</si>
  <si>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</si>
  <si>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</si>
  <si>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</si>
  <si>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</si>
  <si>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</si>
  <si>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</si>
  <si>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</si>
  <si>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</si>
  <si>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</si>
  <si>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</si>
  <si>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</si>
  <si>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</si>
  <si>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</si>
  <si>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</si>
  <si>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</si>
  <si>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</si>
  <si>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</si>
  <si>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</si>
  <si>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</si>
  <si>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</si>
  <si>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</si>
  <si>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</si>
  <si>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</si>
  <si>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</si>
  <si>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</si>
  <si>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</si>
  <si>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</si>
  <si>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</si>
  <si>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</si>
  <si>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</si>
  <si>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</si>
  <si>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</si>
  <si>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</si>
  <si>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</si>
  <si>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</si>
  <si>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</si>
  <si>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</si>
  <si>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</si>
  <si>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</si>
  <si>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</si>
  <si>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</si>
  <si>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</si>
  <si>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</si>
  <si>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</si>
  <si>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</si>
  <si>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</si>
  <si>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</si>
  <si>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</si>
  <si>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</si>
  <si>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</si>
  <si>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</si>
  <si>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</si>
  <si>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</si>
  <si>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</si>
  <si>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</si>
  <si>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</si>
  <si>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</si>
  <si>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</si>
  <si>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</si>
  <si>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</si>
  <si>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</si>
  <si>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</si>
  <si>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</si>
  <si>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</si>
  <si>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</si>
  <si>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</si>
  <si>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</si>
  <si>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</si>
  <si>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</si>
  <si>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</si>
  <si>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</si>
  <si>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</si>
  <si>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</si>
  <si>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</si>
  <si>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</si>
  <si>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</si>
  <si>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</si>
  <si>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</si>
  <si>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</si>
  <si>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</si>
  <si>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</si>
  <si>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</si>
  <si>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</si>
  <si>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</si>
  <si>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</si>
  <si>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</si>
  <si>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</si>
  <si>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</si>
  <si>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</si>
  <si>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</si>
  <si>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</si>
  <si>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</si>
  <si>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</si>
  <si>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</si>
  <si>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</si>
  <si>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</si>
  <si>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</si>
  <si>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</si>
  <si>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</si>
  <si>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</si>
  <si>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</si>
  <si>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</si>
  <si>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</si>
  <si>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</si>
  <si>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</si>
  <si>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</si>
  <si>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</si>
  <si>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</si>
  <si>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</si>
  <si>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</si>
  <si>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</si>
  <si>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</si>
  <si>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</si>
  <si>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</si>
  <si>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</si>
  <si>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</si>
  <si>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</si>
  <si>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</si>
  <si>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</si>
  <si>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</si>
  <si>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</si>
  <si>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</si>
  <si>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</si>
  <si>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</si>
  <si>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</si>
  <si>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</si>
  <si>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</si>
  <si>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</si>
  <si>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</si>
  <si>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</si>
  <si>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</si>
  <si>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</si>
  <si>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</si>
  <si>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</si>
  <si>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</si>
  <si>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</si>
  <si>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</si>
  <si>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</si>
  <si>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</si>
  <si>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</si>
  <si>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</si>
  <si>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</si>
  <si>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</si>
  <si>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</si>
  <si>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</si>
  <si>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</si>
  <si>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</si>
  <si>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</si>
  <si>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</si>
  <si>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</si>
  <si>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</si>
  <si>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</si>
  <si>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</si>
  <si>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</si>
  <si>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</si>
  <si>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</si>
  <si>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</si>
  <si>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</si>
  <si>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</si>
  <si>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</si>
  <si>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</si>
  <si>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</si>
  <si>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</si>
  <si>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</si>
  <si>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</si>
  <si>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</si>
  <si>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</si>
  <si>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</si>
  <si>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</si>
  <si>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</si>
  <si>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</si>
  <si>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</si>
  <si>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</si>
  <si>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</si>
  <si>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</si>
  <si>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</si>
  <si>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</si>
  <si>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</si>
  <si>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</si>
  <si>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</si>
  <si>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</si>
  <si>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</si>
  <si>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</si>
  <si>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</si>
  <si>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</si>
  <si>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</si>
  <si>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</si>
  <si>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</si>
  <si>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</si>
  <si>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</si>
  <si>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</si>
  <si>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</si>
  <si>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</si>
  <si>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</si>
  <si>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</si>
  <si>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</si>
  <si>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</si>
  <si>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</si>
  <si>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</si>
  <si>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</si>
  <si>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</si>
  <si>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</si>
  <si>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</si>
  <si>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</si>
  <si>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</si>
  <si>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</si>
  <si>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</si>
  <si>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</si>
  <si>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</si>
  <si>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</si>
  <si>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</si>
  <si>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</si>
  <si>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</si>
  <si>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</si>
  <si>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</si>
  <si>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</si>
  <si>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</si>
  <si>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</si>
  <si>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</si>
  <si>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</si>
  <si>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</si>
  <si>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</si>
  <si>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</si>
  <si>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</si>
  <si>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</si>
  <si>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</si>
  <si>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</si>
  <si>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</si>
  <si>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</si>
  <si>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</si>
  <si>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</si>
  <si>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</si>
  <si>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</si>
  <si>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</si>
  <si>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</si>
  <si>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</si>
  <si>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</si>
  <si>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</si>
  <si>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</si>
  <si>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</si>
  <si>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</si>
  <si>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</si>
  <si>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</si>
  <si>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</si>
  <si>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</si>
  <si>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</si>
  <si>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</si>
  <si>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</si>
  <si>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</si>
  <si>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</si>
  <si>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</si>
  <si>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</si>
  <si>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</si>
  <si>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</si>
  <si>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</si>
  <si>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</si>
  <si>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</si>
  <si>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</si>
  <si>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</si>
  <si>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</si>
  <si>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</si>
  <si>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</si>
  <si>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</si>
  <si>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</si>
  <si>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</si>
  <si>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</si>
  <si>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</si>
  <si>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</si>
  <si>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</si>
  <si>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</si>
  <si>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</si>
  <si>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</si>
  <si>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</si>
  <si>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</si>
  <si>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</si>
  <si>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</si>
  <si>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</si>
  <si>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</si>
  <si>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</si>
  <si>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</si>
  <si>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</si>
  <si>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</si>
  <si>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</si>
  <si>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</si>
  <si>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</si>
  <si>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</si>
  <si>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</si>
  <si>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</si>
  <si>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</si>
  <si>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</si>
  <si>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</si>
  <si>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</si>
  <si>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</si>
  <si>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</si>
  <si>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</si>
  <si>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</si>
  <si>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</si>
  <si>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</si>
  <si>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</si>
  <si>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</si>
  <si>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</si>
  <si>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</si>
  <si>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</si>
  <si>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</si>
  <si>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</si>
  <si>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</si>
  <si>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</si>
  <si>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</si>
  <si>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</si>
  <si>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</si>
  <si>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</si>
  <si>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</si>
  <si>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</si>
  <si>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</si>
  <si>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</si>
  <si>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</si>
  <si>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</si>
  <si>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</si>
  <si>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</si>
  <si>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</si>
  <si>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</si>
  <si>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</si>
  <si>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</si>
  <si>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</si>
  <si>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</si>
  <si>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</si>
  <si>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</si>
  <si>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</si>
  <si>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</si>
  <si>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</si>
  <si>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</si>
  <si>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</si>
  <si>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</si>
  <si>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</si>
  <si>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</si>
  <si>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</si>
  <si>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</si>
  <si>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</si>
  <si>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</si>
  <si>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</si>
  <si>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</si>
  <si>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</si>
  <si>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</si>
  <si>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</si>
  <si>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</si>
  <si>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</si>
  <si>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</si>
  <si>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</si>
  <si>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</si>
  <si>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</si>
  <si>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</si>
  <si>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</si>
  <si>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</si>
  <si>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</si>
  <si>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</si>
  <si>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</si>
  <si>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</si>
  <si>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</si>
  <si>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</si>
  <si>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</si>
  <si>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</si>
  <si>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</si>
  <si>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</si>
  <si>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</si>
  <si>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</si>
  <si>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</si>
  <si>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</si>
  <si>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</si>
  <si>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</si>
  <si>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</si>
  <si>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</si>
  <si>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</si>
  <si>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</si>
  <si>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</si>
  <si>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</si>
  <si>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</si>
  <si>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</si>
  <si>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</si>
  <si>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</si>
  <si>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</si>
  <si>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</si>
  <si>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</si>
  <si>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</si>
  <si>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</si>
  <si>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</si>
  <si>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</si>
  <si>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</si>
  <si>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</si>
  <si>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</si>
  <si>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</si>
  <si>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</si>
  <si>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</si>
  <si>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</si>
  <si>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</si>
  <si>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</si>
  <si>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</si>
  <si>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</si>
  <si>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</si>
  <si>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</si>
  <si>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</si>
  <si>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</si>
  <si>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</si>
  <si>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</si>
  <si>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</si>
  <si>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</si>
  <si>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</si>
  <si>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</si>
  <si>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</si>
  <si>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</si>
  <si>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</si>
  <si>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</si>
  <si>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</si>
  <si>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</si>
  <si>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</si>
  <si>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</si>
  <si>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</si>
  <si>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</si>
  <si>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</si>
  <si>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</si>
  <si>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</si>
  <si>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</si>
  <si>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</si>
  <si>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</si>
  <si>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</si>
  <si>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</si>
  <si>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</si>
  <si>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</si>
  <si>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</si>
  <si>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</si>
  <si>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</si>
  <si>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</si>
  <si>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</si>
  <si>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</si>
  <si>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</si>
  <si>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</si>
  <si>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</si>
  <si>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</si>
  <si>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</si>
  <si>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</si>
  <si>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</si>
  <si>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</si>
  <si>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</si>
  <si>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</si>
  <si>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</si>
  <si>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</si>
  <si>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</si>
  <si>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</si>
  <si>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</si>
  <si>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</si>
  <si>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</si>
  <si>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</si>
  <si>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</si>
  <si>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</si>
  <si>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</si>
  <si>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</si>
  <si>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</si>
  <si>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</si>
  <si>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</si>
  <si>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</si>
  <si>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</si>
  <si>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</si>
  <si>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</si>
  <si>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</si>
  <si>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</si>
  <si>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</si>
  <si>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</si>
  <si>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</si>
  <si>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</si>
  <si>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</si>
  <si>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</si>
  <si>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</si>
  <si>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</si>
  <si>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</si>
  <si>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</si>
  <si>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</si>
  <si>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</si>
  <si>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</si>
  <si>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</si>
  <si>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</si>
  <si>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</si>
  <si>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</si>
  <si>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</si>
  <si>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</si>
  <si>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</si>
  <si>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</si>
  <si>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</si>
  <si>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</si>
  <si>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</si>
  <si>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</si>
  <si>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</si>
  <si>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</si>
  <si>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</si>
  <si>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</si>
  <si>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</si>
  <si>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</si>
  <si>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</si>
  <si>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</si>
  <si>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</si>
  <si>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</si>
  <si>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</si>
  <si>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</si>
  <si>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</si>
  <si>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</si>
  <si>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</si>
  <si>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</si>
  <si>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</si>
  <si>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</si>
  <si>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</si>
  <si>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</si>
  <si>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</si>
  <si>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</si>
  <si>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</si>
  <si>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</si>
  <si>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</si>
  <si>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</si>
  <si>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</si>
  <si>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</si>
  <si>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</si>
  <si>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</si>
  <si>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</si>
  <si>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</si>
  <si>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</si>
  <si>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</si>
  <si>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</si>
  <si>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</si>
  <si>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</si>
  <si>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</si>
  <si>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</si>
  <si>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</si>
  <si>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</si>
  <si>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</si>
  <si>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</si>
  <si>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</si>
  <si>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</si>
  <si>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</si>
  <si>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</si>
  <si>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</si>
  <si>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</si>
  <si>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</si>
  <si>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</si>
  <si>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</si>
  <si>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</si>
  <si>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</si>
  <si>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</si>
  <si>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</si>
  <si>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</si>
  <si>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</si>
  <si>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</si>
  <si>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</si>
  <si>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</si>
  <si>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</si>
  <si>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</si>
  <si>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</si>
  <si>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</si>
  <si>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</si>
  <si>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</si>
  <si>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</si>
  <si>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</si>
  <si>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</si>
  <si>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</si>
  <si>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</si>
  <si>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</si>
  <si>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</si>
  <si>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</si>
  <si>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</si>
  <si>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</si>
  <si>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</si>
  <si>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</si>
  <si>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</si>
  <si>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</si>
  <si>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</si>
  <si>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</si>
  <si>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</si>
  <si>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</si>
  <si>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</si>
  <si>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</si>
  <si>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</si>
  <si>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</si>
  <si>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</si>
  <si>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</si>
  <si>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</si>
  <si>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</si>
  <si>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</si>
  <si>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</si>
  <si>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</si>
  <si>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</si>
  <si>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</si>
  <si>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</si>
  <si>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</si>
  <si>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</si>
  <si>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</si>
  <si>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</si>
  <si>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</si>
  <si>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</si>
  <si>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</si>
  <si>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</si>
  <si>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</si>
  <si>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</si>
  <si>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</si>
  <si>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</si>
  <si>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</si>
  <si>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</si>
  <si>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</si>
  <si>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</si>
  <si>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</si>
  <si>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</si>
  <si>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</si>
  <si>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</si>
  <si>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</si>
  <si>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</si>
  <si>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</si>
  <si>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</si>
  <si>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</si>
  <si>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</si>
  <si>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</si>
  <si>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</si>
  <si>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</si>
  <si>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</si>
  <si>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</si>
  <si>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</si>
  <si>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</si>
  <si>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</si>
  <si>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</si>
  <si>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</si>
  <si>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</si>
  <si>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</si>
  <si>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</si>
  <si>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</si>
  <si>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</si>
  <si>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</si>
  <si>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</si>
  <si>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</si>
  <si>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</si>
  <si>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</si>
  <si>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</si>
  <si>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</si>
  <si>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</si>
  <si>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</si>
  <si>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</si>
  <si>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</si>
  <si>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</si>
  <si>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</si>
  <si>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</si>
  <si>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</si>
  <si>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</si>
  <si>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</si>
  <si>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</si>
  <si>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</si>
  <si>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</si>
  <si>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</si>
  <si>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</si>
  <si>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</si>
  <si>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</si>
  <si>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</si>
  <si>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</si>
  <si>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</si>
  <si>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</si>
  <si>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</si>
  <si>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</si>
  <si>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</si>
  <si>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</si>
  <si>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</si>
  <si>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</si>
  <si>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</si>
  <si>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</si>
  <si>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</si>
  <si>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</si>
  <si>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</si>
  <si>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</si>
  <si>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</si>
  <si>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</si>
  <si>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</si>
  <si>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</si>
  <si>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</si>
  <si>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</si>
  <si>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</si>
  <si>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</si>
  <si>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</si>
  <si>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</si>
  <si>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</si>
  <si>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</si>
  <si>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</si>
  <si>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</si>
  <si>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</si>
  <si>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</si>
  <si>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</si>
  <si>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</si>
  <si>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</si>
  <si>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</si>
  <si>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</si>
  <si>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</si>
  <si>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</si>
  <si>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</si>
  <si>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</si>
  <si>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</si>
  <si>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</si>
  <si>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</si>
  <si>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</si>
  <si>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</si>
  <si>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</si>
  <si>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</si>
  <si>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</si>
  <si>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</si>
  <si>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</si>
  <si>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</si>
  <si>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</si>
  <si>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</si>
  <si>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</si>
  <si>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</si>
  <si>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</si>
  <si>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</si>
  <si>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</si>
  <si>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</si>
  <si>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</si>
  <si>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</si>
  <si>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</si>
  <si>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</si>
  <si>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</si>
  <si>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</si>
  <si>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</si>
  <si>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</si>
  <si>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</si>
  <si>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</si>
  <si>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</si>
  <si>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</si>
  <si>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</si>
  <si>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</si>
  <si>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</si>
  <si>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</si>
  <si>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</si>
  <si>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</si>
  <si>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</si>
  <si>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</si>
  <si>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</si>
  <si>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</si>
  <si>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</si>
  <si>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</si>
  <si>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</si>
  <si>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</si>
  <si>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</si>
  <si>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</si>
  <si>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</si>
  <si>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</si>
  <si>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</si>
  <si>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</si>
  <si>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</si>
  <si>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</si>
  <si>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</si>
  <si>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</si>
  <si>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</si>
  <si>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</si>
  <si>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</si>
  <si>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</si>
  <si>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</si>
  <si>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</si>
  <si>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</si>
  <si>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</si>
  <si>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</si>
  <si>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</si>
  <si>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</si>
  <si>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</si>
  <si>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</si>
  <si>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</si>
  <si>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</si>
  <si>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</si>
  <si>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</si>
  <si>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</si>
  <si>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</si>
  <si>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</si>
  <si>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</si>
  <si>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</si>
  <si>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</si>
  <si>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</si>
  <si>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</si>
  <si>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</si>
  <si>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</si>
  <si>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</si>
  <si>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</si>
  <si>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</si>
  <si>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</si>
  <si>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</si>
  <si>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</si>
  <si>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</si>
  <si>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</si>
  <si>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</si>
  <si>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</si>
  <si>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</si>
  <si>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</si>
  <si>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</si>
  <si>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</si>
  <si>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</si>
  <si>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</si>
  <si>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</si>
  <si>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</si>
  <si>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</si>
  <si>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</si>
  <si>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</si>
  <si>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</si>
  <si>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</si>
  <si>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</si>
  <si>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</si>
  <si>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</si>
  <si>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</si>
  <si>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</si>
  <si>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</si>
  <si>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</si>
  <si>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</si>
  <si>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</si>
  <si>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</si>
  <si>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</si>
  <si>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</si>
  <si>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</si>
  <si>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</si>
  <si>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</si>
  <si>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</si>
  <si>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</si>
  <si>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</si>
  <si>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</si>
  <si>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</si>
  <si>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</si>
  <si>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</si>
  <si>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</si>
  <si>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</si>
  <si>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</si>
  <si>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</si>
  <si>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</si>
  <si>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</si>
  <si>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</si>
  <si>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</si>
  <si>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</si>
  <si>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</si>
  <si>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</si>
  <si>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</si>
  <si>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</si>
  <si>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</si>
  <si>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</si>
  <si>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</si>
  <si>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</si>
  <si>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</si>
  <si>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</si>
  <si>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</si>
  <si>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</si>
  <si>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</si>
  <si>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</si>
  <si>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</si>
  <si>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</si>
  <si>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</si>
  <si>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</si>
  <si>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</si>
  <si>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</si>
  <si>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</si>
  <si>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</si>
  <si>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</si>
  <si>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</si>
  <si>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</si>
  <si>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</si>
  <si>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</si>
  <si>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</si>
  <si>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</si>
  <si>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</si>
  <si>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</si>
  <si>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</si>
  <si>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</si>
  <si>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</si>
  <si>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</si>
  <si>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</si>
  <si>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</si>
  <si>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</si>
  <si>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</si>
  <si>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</si>
  <si>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</si>
  <si>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</si>
  <si>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</si>
  <si>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</si>
  <si>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</si>
  <si>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</si>
  <si>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</si>
  <si>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</si>
  <si>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</si>
  <si>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</si>
  <si>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</si>
  <si>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</si>
  <si>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</si>
  <si>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</si>
  <si>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</si>
  <si>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</si>
  <si>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</si>
  <si>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</si>
  <si>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</si>
  <si>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</si>
  <si>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</si>
  <si>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</si>
  <si>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</si>
  <si>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</si>
  <si>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</si>
  <si>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</si>
  <si>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</si>
  <si>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</si>
  <si>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</si>
  <si>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</si>
  <si>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</si>
  <si>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</si>
  <si>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</si>
  <si>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</si>
  <si>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</si>
  <si>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</si>
  <si>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</si>
  <si>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</si>
  <si>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</si>
  <si>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</si>
  <si>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</si>
  <si>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</si>
  <si>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</si>
  <si>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</si>
  <si>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</si>
  <si>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</si>
  <si>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</si>
  <si>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</si>
  <si>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</si>
  <si>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</si>
  <si>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</si>
  <si>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</si>
  <si>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</si>
  <si>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</si>
  <si>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</si>
  <si>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</si>
  <si>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</si>
  <si>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</si>
  <si>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</si>
  <si>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</si>
  <si>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</si>
  <si>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</si>
  <si>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</si>
  <si>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</si>
  <si>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</si>
  <si>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</si>
  <si>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</si>
  <si>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</si>
  <si>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</si>
  <si>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</si>
  <si>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</si>
  <si>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</si>
  <si>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</si>
  <si>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</si>
  <si>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</si>
  <si>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</si>
  <si>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</si>
  <si>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</si>
  <si>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</si>
  <si>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</si>
  <si>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</si>
  <si>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</si>
  <si>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</si>
  <si>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</si>
  <si>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</si>
  <si>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</si>
  <si>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</si>
  <si>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</si>
  <si>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</si>
  <si>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</si>
  <si>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</si>
  <si>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</si>
  <si>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</si>
  <si>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</si>
  <si>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</si>
  <si>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</si>
  <si>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</si>
  <si>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</si>
  <si>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</si>
  <si>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</si>
  <si>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</si>
  <si>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</si>
  <si>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</si>
  <si>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</si>
  <si>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</si>
  <si>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</si>
  <si>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</si>
  <si>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</si>
  <si>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</si>
  <si>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</si>
  <si>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</si>
  <si>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</si>
  <si>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</si>
  <si>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</si>
  <si>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</si>
  <si>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</si>
  <si>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</si>
  <si>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</si>
  <si>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</si>
  <si>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</si>
  <si>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</si>
  <si>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</si>
  <si>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</si>
  <si>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</si>
  <si>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</si>
  <si>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</si>
  <si>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</si>
  <si>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</si>
  <si>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</si>
  <si>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</si>
  <si>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</si>
  <si>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</si>
  <si>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</si>
  <si>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</si>
  <si>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</si>
  <si>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</si>
  <si>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</si>
  <si>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</si>
  <si>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</si>
  <si>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</si>
  <si>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</si>
  <si>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</si>
  <si>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</si>
  <si>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</si>
  <si>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</si>
  <si>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</si>
  <si>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</si>
  <si>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</si>
  <si>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</si>
  <si>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</si>
  <si>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</si>
  <si>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</si>
  <si>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</si>
  <si>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</si>
  <si>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</si>
  <si>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</si>
  <si>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</si>
  <si>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</si>
  <si>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</si>
  <si>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</si>
  <si>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</si>
  <si>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</si>
  <si>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</si>
  <si>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</si>
  <si>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</si>
  <si>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</si>
  <si>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</si>
  <si>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</si>
  <si>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</si>
  <si>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</si>
  <si>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</si>
  <si>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</si>
  <si>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</si>
  <si>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</si>
  <si>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</si>
  <si>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</si>
  <si>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</si>
  <si>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</si>
  <si>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</si>
  <si>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</si>
  <si>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</si>
  <si>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</si>
  <si>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</si>
  <si>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</si>
  <si>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</si>
  <si>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</si>
  <si>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</si>
  <si>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</si>
  <si>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</si>
  <si>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</si>
  <si>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</si>
  <si>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</si>
  <si>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</si>
  <si>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</si>
  <si>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</si>
  <si>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</si>
  <si>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</si>
  <si>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</si>
  <si>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</si>
  <si>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</si>
  <si>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</si>
  <si>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</si>
  <si>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</si>
  <si>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</si>
  <si>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</si>
  <si>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</si>
  <si>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</si>
  <si>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</si>
  <si>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</si>
  <si>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</si>
  <si>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</si>
  <si>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</si>
  <si>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</si>
  <si>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</si>
  <si>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</si>
  <si>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</si>
  <si>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</si>
  <si>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</si>
  <si>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</si>
  <si>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</si>
  <si>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</si>
  <si>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</si>
  <si>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</si>
  <si>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</si>
  <si>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</si>
  <si>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</si>
  <si>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</si>
  <si>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</si>
  <si>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</si>
  <si>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</si>
  <si>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</si>
  <si>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</si>
  <si>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</si>
  <si>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</si>
  <si>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</si>
  <si>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</si>
  <si>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</si>
  <si>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</si>
  <si>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</si>
  <si>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</si>
  <si>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</si>
  <si>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</si>
  <si>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</si>
  <si>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</si>
  <si>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</si>
  <si>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</si>
  <si>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</si>
  <si>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</si>
  <si>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</si>
  <si>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</si>
  <si>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</si>
  <si>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</si>
  <si>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</si>
  <si>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</si>
  <si>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</si>
  <si>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</si>
  <si>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</si>
  <si>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</si>
  <si>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</si>
  <si>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</si>
  <si>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</si>
  <si>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</si>
  <si>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</si>
  <si>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</si>
  <si>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</si>
  <si>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</si>
  <si>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</si>
  <si>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</si>
  <si>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</si>
  <si>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</si>
  <si>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</si>
  <si>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</si>
  <si>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</si>
  <si>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</si>
  <si>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</si>
  <si>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</si>
  <si>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</si>
  <si>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</si>
  <si>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</si>
  <si>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</si>
  <si>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</si>
  <si>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</si>
  <si>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</si>
  <si>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</si>
  <si>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</si>
  <si>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</si>
  <si>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</si>
  <si>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</si>
  <si>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</si>
  <si>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</si>
  <si>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</si>
  <si>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</si>
  <si>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</si>
  <si>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</si>
  <si>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</si>
  <si>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</si>
  <si>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</si>
  <si>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</si>
  <si>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</si>
  <si>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</si>
  <si>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</si>
  <si>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</si>
  <si>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</si>
  <si>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</si>
  <si>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</si>
  <si>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</si>
  <si>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</si>
  <si>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</si>
  <si>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</si>
  <si>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</si>
  <si>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</si>
  <si>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</si>
  <si>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</si>
  <si>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</si>
  <si>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</si>
  <si>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</si>
  <si>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</si>
  <si>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</si>
  <si>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</si>
  <si>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</si>
  <si>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</si>
  <si>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</si>
  <si>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</si>
  <si>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</si>
  <si>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</si>
  <si>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</si>
  <si>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</si>
  <si>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</si>
  <si>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</si>
  <si>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</si>
  <si>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</si>
  <si>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</si>
  <si>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</si>
  <si>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</si>
  <si>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</si>
  <si>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</si>
  <si>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</si>
  <si>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</si>
  <si>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</si>
  <si>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</si>
  <si>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</si>
  <si>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</si>
  <si>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</si>
  <si>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</si>
  <si>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</si>
  <si>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</si>
  <si>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</si>
  <si>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</si>
  <si>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</si>
  <si>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</si>
  <si>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</si>
  <si>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</si>
  <si>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</si>
  <si>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</si>
  <si>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</si>
  <si>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</si>
  <si>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</si>
  <si>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</si>
  <si>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</si>
  <si>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</si>
  <si>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</si>
  <si>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</si>
  <si>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</si>
  <si>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</si>
  <si>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</si>
  <si>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</si>
  <si>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</si>
  <si>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</si>
  <si>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</si>
  <si>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</si>
  <si>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</si>
  <si>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</si>
  <si>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</si>
  <si>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</si>
  <si>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</si>
  <si>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</si>
  <si>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</si>
  <si>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</si>
  <si>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</si>
  <si>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</si>
  <si>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</si>
  <si>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</si>
  <si>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</si>
  <si>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</si>
  <si>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</si>
  <si>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</si>
  <si>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</si>
  <si>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</si>
  <si>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</si>
  <si>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</si>
  <si>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</si>
  <si>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</si>
  <si>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</si>
  <si>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</si>
  <si>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</si>
  <si>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</si>
  <si>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</si>
  <si>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</si>
  <si>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</si>
  <si>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</si>
  <si>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</si>
  <si>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</si>
  <si>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</si>
  <si>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</si>
  <si>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</si>
  <si>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</si>
  <si>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</si>
  <si>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</si>
  <si>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</si>
  <si>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</si>
  <si>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</si>
  <si>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</si>
  <si>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</si>
  <si>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</si>
  <si>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</si>
  <si>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</si>
  <si>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</si>
  <si>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</si>
  <si>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</si>
  <si>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</si>
  <si>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</si>
  <si>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</si>
  <si>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</si>
  <si>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</si>
  <si>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</si>
  <si>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</si>
  <si>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</si>
  <si>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</si>
  <si>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</si>
  <si>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</si>
  <si>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</si>
  <si>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</si>
  <si>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</si>
  <si>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</si>
  <si>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</si>
  <si>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</si>
  <si>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</si>
  <si>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</si>
  <si>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</si>
  <si>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</si>
  <si>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</si>
  <si>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</si>
  <si>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</si>
  <si>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</si>
  <si>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</si>
  <si>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</si>
  <si>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</si>
  <si>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</si>
  <si>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</si>
  <si>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</si>
  <si>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</si>
  <si>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</si>
  <si>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</si>
  <si>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</si>
  <si>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</si>
  <si>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</si>
  <si>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</si>
  <si>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</si>
  <si>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</si>
  <si>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</si>
  <si>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</si>
  <si>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</si>
  <si>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</si>
  <si>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</si>
  <si>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</si>
  <si>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</si>
  <si>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</si>
  <si>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</si>
  <si>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</si>
  <si>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</si>
  <si>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</si>
  <si>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</si>
  <si>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</si>
  <si>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</si>
  <si>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</si>
  <si>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</si>
  <si>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</si>
  <si>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</si>
  <si>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</si>
  <si>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</si>
  <si>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</si>
  <si>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</si>
  <si>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</si>
  <si>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</si>
  <si>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</si>
  <si>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</si>
  <si>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</si>
  <si>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</si>
  <si>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</si>
  <si>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</si>
  <si>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</si>
  <si>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</si>
  <si>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</si>
  <si>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</si>
  <si>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</si>
  <si>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</si>
  <si>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</si>
  <si>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</si>
  <si>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</si>
  <si>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</si>
  <si>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</si>
  <si>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</si>
  <si>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</si>
  <si>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</si>
  <si>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</si>
  <si>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</si>
  <si>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</si>
  <si>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</si>
  <si>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</si>
  <si>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</si>
  <si>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</si>
  <si>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</si>
  <si>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</si>
  <si>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</si>
  <si>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</si>
  <si>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</si>
  <si>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</si>
  <si>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</si>
  <si>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</si>
  <si>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</si>
  <si>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</si>
  <si>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</si>
  <si>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</si>
  <si>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</si>
  <si>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</si>
  <si>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</si>
  <si>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</si>
  <si>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</si>
  <si>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</si>
  <si>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</si>
  <si>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</si>
  <si>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</si>
  <si>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</si>
  <si>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</si>
  <si>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</si>
  <si>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</si>
  <si>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</si>
  <si>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</si>
  <si>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</si>
  <si>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</si>
  <si>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</si>
  <si>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</si>
  <si>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</si>
  <si>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</si>
  <si>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</si>
  <si>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</si>
  <si>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</si>
  <si>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</si>
  <si>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</si>
  <si>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</si>
  <si>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</si>
  <si>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</si>
  <si>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</si>
  <si>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</si>
  <si>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</si>
  <si>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</si>
  <si>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</si>
  <si>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</si>
  <si>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</si>
  <si>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</si>
  <si>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</si>
  <si>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</si>
  <si>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</si>
  <si>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</si>
  <si>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</si>
  <si>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</si>
  <si>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</si>
  <si>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</si>
  <si>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</si>
  <si>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</si>
  <si>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</si>
  <si>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</si>
  <si>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</si>
  <si>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</si>
  <si>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</si>
  <si>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</si>
  <si>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</si>
  <si>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</si>
  <si>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</si>
  <si>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</si>
  <si>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</si>
  <si>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</si>
  <si>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</si>
  <si>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</si>
  <si>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</si>
  <si>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</si>
  <si>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</si>
  <si>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</si>
  <si>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</si>
  <si>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</si>
  <si>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</si>
  <si>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</si>
  <si>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</si>
  <si>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</si>
  <si>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</si>
  <si>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</si>
  <si>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</si>
  <si>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</si>
  <si>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</si>
  <si>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</si>
  <si>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</si>
  <si>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</si>
  <si>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</si>
  <si>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</si>
  <si>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</si>
  <si>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</si>
  <si>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</si>
  <si>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</si>
  <si>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</si>
  <si>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</si>
  <si>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</si>
  <si>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</si>
  <si>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</si>
  <si>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</si>
  <si>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</si>
  <si>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</si>
  <si>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</si>
  <si>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</si>
  <si>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</si>
  <si>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</si>
  <si>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</si>
  <si>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</si>
  <si>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</si>
  <si>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</si>
  <si>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</si>
  <si>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</si>
  <si>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</si>
  <si>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</si>
  <si>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</si>
  <si>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</si>
  <si>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</si>
  <si>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</si>
  <si>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</si>
  <si>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</si>
  <si>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</si>
  <si>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</si>
  <si>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</si>
  <si>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</si>
  <si>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</si>
  <si>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</si>
  <si>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</si>
  <si>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</si>
  <si>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</si>
  <si>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</si>
  <si>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</si>
  <si>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</si>
  <si>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</si>
  <si>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</si>
  <si>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</si>
  <si>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</si>
  <si>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</si>
  <si>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</si>
  <si>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</si>
  <si>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</si>
  <si>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</si>
  <si>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</si>
  <si>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</si>
  <si>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</si>
  <si>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</si>
  <si>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</si>
  <si>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</si>
  <si>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</si>
  <si>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</si>
  <si>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</si>
  <si>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</si>
  <si>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</si>
  <si>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</si>
  <si>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</si>
  <si>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</si>
  <si>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</si>
  <si>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</si>
  <si>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</si>
  <si>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</si>
  <si>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</si>
  <si>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</si>
  <si>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</si>
  <si>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</si>
  <si>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</si>
  <si>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</si>
  <si>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</si>
  <si>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</si>
  <si>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</si>
  <si>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</si>
  <si>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</si>
  <si>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</si>
  <si>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</si>
  <si>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</si>
  <si>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</si>
  <si>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</si>
  <si>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</si>
  <si>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</si>
  <si>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</si>
  <si>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</si>
  <si>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</si>
  <si>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</si>
  <si>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</si>
  <si>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</si>
  <si>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</si>
  <si>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</si>
  <si>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</si>
  <si>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</si>
  <si>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</si>
  <si>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</si>
  <si>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</si>
  <si>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</si>
  <si>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</si>
  <si>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</si>
  <si>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</si>
  <si>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</si>
  <si>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</si>
  <si>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</si>
  <si>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</si>
  <si>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</si>
  <si>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</si>
  <si>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</si>
  <si>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</si>
  <si>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</si>
  <si>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</si>
  <si>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</si>
  <si>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</si>
  <si>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</si>
  <si>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</si>
  <si>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</si>
  <si>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</si>
  <si>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</si>
  <si>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</si>
  <si>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</si>
  <si>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</si>
  <si>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</si>
  <si>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</si>
  <si>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</si>
  <si>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</si>
  <si>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</si>
  <si>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</si>
  <si>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</si>
  <si>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</si>
  <si>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</si>
  <si>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</si>
  <si>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</si>
  <si>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</si>
  <si>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</si>
  <si>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</si>
  <si>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</si>
  <si>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</si>
  <si>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</si>
  <si>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</si>
  <si>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</si>
  <si>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</si>
  <si>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</si>
  <si>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</si>
  <si>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</si>
  <si>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</si>
  <si>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</si>
  <si>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</si>
  <si>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</si>
  <si>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</si>
  <si>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</si>
  <si>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</si>
  <si>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</si>
  <si>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</si>
  <si>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</si>
  <si>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</si>
  <si>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</si>
  <si>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</si>
  <si>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</si>
  <si>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</si>
  <si>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</si>
  <si>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</si>
  <si>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</si>
  <si>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</si>
  <si>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</si>
  <si>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</si>
  <si>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</si>
  <si>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</si>
  <si>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</si>
  <si>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</si>
  <si>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</si>
  <si>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</si>
  <si>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</si>
  <si>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</si>
  <si>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</si>
  <si>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</si>
  <si>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</si>
  <si>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</si>
  <si>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</si>
  <si>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</si>
  <si>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</si>
  <si>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</si>
  <si>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</si>
  <si>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</si>
  <si>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</si>
  <si>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</si>
  <si>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</si>
  <si>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</si>
  <si>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</si>
  <si>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</si>
  <si>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</si>
  <si>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</si>
  <si>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</si>
  <si>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</si>
  <si>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</si>
  <si>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</si>
  <si>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</si>
  <si>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</si>
  <si>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</si>
  <si>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</si>
  <si>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</si>
  <si>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</si>
  <si>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</si>
  <si>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</si>
  <si>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</si>
  <si>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</si>
  <si>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</si>
  <si>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</si>
  <si>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</si>
  <si>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</si>
  <si>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</si>
  <si>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</si>
  <si>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</si>
  <si>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</si>
  <si>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</si>
  <si>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</si>
  <si>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</si>
  <si>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</si>
  <si>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</si>
  <si>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</si>
  <si>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</si>
  <si>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</si>
  <si>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</si>
  <si>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</si>
  <si>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</si>
  <si>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</si>
  <si>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</si>
  <si>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</si>
  <si>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</si>
  <si>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</si>
  <si>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</si>
  <si>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</si>
  <si>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</si>
  <si>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</si>
  <si>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</si>
  <si>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</si>
  <si>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</si>
  <si>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</si>
  <si>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</si>
  <si>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</si>
  <si>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</si>
  <si>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</si>
  <si>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</si>
  <si>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</si>
  <si>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</si>
  <si>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</si>
  <si>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</si>
  <si>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</si>
  <si>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</si>
  <si>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</si>
  <si>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</si>
  <si>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</si>
  <si>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</si>
  <si>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</si>
  <si>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</si>
  <si>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</si>
  <si>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</si>
  <si>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</si>
  <si>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</si>
  <si>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</si>
  <si>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</si>
  <si>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</si>
  <si>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</si>
  <si>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</si>
  <si>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</si>
  <si>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</si>
  <si>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</si>
  <si>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</si>
  <si>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</si>
  <si>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</si>
  <si>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</si>
  <si>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</si>
  <si>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</si>
  <si>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</si>
  <si>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</si>
  <si>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</si>
  <si>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</si>
  <si>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</si>
  <si>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</si>
  <si>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</si>
  <si>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</si>
  <si>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</si>
  <si>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</si>
  <si>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</si>
  <si>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</si>
  <si>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</si>
  <si>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</si>
  <si>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</si>
  <si>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</si>
  <si>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</si>
  <si>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</si>
  <si>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</si>
  <si>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</si>
  <si>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</si>
  <si>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</si>
  <si>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</si>
  <si>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</si>
  <si>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</si>
  <si>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</si>
  <si>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</si>
  <si>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</si>
  <si>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</si>
  <si>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</si>
  <si>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</si>
  <si>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</si>
  <si>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</si>
  <si>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</si>
  <si>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</si>
  <si>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</si>
  <si>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</si>
  <si>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</si>
  <si>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</si>
  <si>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</si>
  <si>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</si>
  <si>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</si>
  <si>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</si>
  <si>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</si>
  <si>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</si>
  <si>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</si>
  <si>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</si>
  <si>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</si>
  <si>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</si>
  <si>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</si>
  <si>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</si>
  <si>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</si>
  <si>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</si>
  <si>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</si>
  <si>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</si>
  <si>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</si>
  <si>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</si>
  <si>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</si>
  <si>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</si>
  <si>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</si>
  <si>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</si>
  <si>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</si>
  <si>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</si>
  <si>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</si>
  <si>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</si>
  <si>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</si>
  <si>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</si>
  <si>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</si>
  <si>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</si>
  <si>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</si>
  <si>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</si>
  <si>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</si>
  <si>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</si>
  <si>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</si>
  <si>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</si>
  <si>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</si>
  <si>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</si>
  <si>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</si>
  <si>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</si>
  <si>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</si>
  <si>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</si>
  <si>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</si>
  <si>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</si>
  <si>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</si>
  <si>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</si>
  <si>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</si>
  <si>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</si>
  <si>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</si>
  <si>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</si>
  <si>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</si>
  <si>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</si>
  <si>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</si>
  <si>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</si>
  <si>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</si>
  <si>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</si>
  <si>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</si>
  <si>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</si>
  <si>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</si>
  <si>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</si>
  <si>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</si>
  <si>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</si>
  <si>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</si>
  <si>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</si>
  <si>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</si>
  <si>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</si>
  <si>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</si>
  <si>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</si>
  <si>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</si>
  <si>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</si>
  <si>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</si>
  <si>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</si>
  <si>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</si>
  <si>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</si>
  <si>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</si>
  <si>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</si>
  <si>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</si>
  <si>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</si>
  <si>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</si>
  <si>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</si>
  <si>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</si>
  <si>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</si>
  <si>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</si>
  <si>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</si>
  <si>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</si>
  <si>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</si>
  <si>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</si>
  <si>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</si>
  <si>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WILL</t>
  </si>
  <si>
    <t>1605 S WASHINGTON</t>
  </si>
  <si>
    <t>LOCKPORT</t>
  </si>
  <si>
    <t>X</t>
  </si>
  <si>
    <t>GASSENSMITH &amp; MICHALESKO, LTD.</t>
  </si>
  <si>
    <t>JOHN MICHALESKO</t>
  </si>
  <si>
    <t>323 SPRINGFIELD AVE</t>
  </si>
  <si>
    <t>JOLIET</t>
  </si>
  <si>
    <t>IL</t>
  </si>
  <si>
    <t>815-744-6200</t>
  </si>
  <si>
    <t>815-744-3822</t>
  </si>
  <si>
    <t>066-004945</t>
  </si>
  <si>
    <t>JAMES CALABRESE</t>
  </si>
  <si>
    <t>815-838-0408</t>
  </si>
  <si>
    <t>GO SCHOOL BONDS SERIES 2012A</t>
  </si>
  <si>
    <t>GO ALT REV BONDS SERIES 2012B</t>
  </si>
  <si>
    <t>Lockport Area Benefit Plan (LABP)</t>
  </si>
  <si>
    <t>Il Association of School Board's Workers' Comp</t>
  </si>
  <si>
    <t>ISDLAF</t>
  </si>
  <si>
    <t>Hinshaw &amp; Culbertson</t>
  </si>
  <si>
    <t>Lockport Area Special Education Cooperative (LASEC)</t>
  </si>
  <si>
    <t>Associated Tech Partners (ATP)</t>
  </si>
  <si>
    <t>Ed-Instruction-Other</t>
  </si>
  <si>
    <t>Leaf</t>
  </si>
  <si>
    <t>20-2540-300</t>
  </si>
  <si>
    <t>Unimax</t>
  </si>
  <si>
    <t>O&amp;M - Operations plant services - Other</t>
  </si>
  <si>
    <t>x</t>
  </si>
  <si>
    <t>Taft SD 90</t>
  </si>
  <si>
    <t>10-1000-300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</si>
</sst>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55" fillId="0" borderId="4" xfId="0" applyNumberFormat="1" applyFont="1" applyBorder="1" applyAlignment="1" applyProtection="1">
      <alignment horizontal="right" wrapText="1"/>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2067</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2067</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56099090002</v>
      </c>
      <c r="B13" s="2019"/>
      <c r="C13" s="2019"/>
      <c r="D13" s="2019"/>
      <c r="E13" s="2019"/>
      <c r="F13" s="2019"/>
      <c r="G13" s="2019"/>
      <c r="H13" s="2020"/>
      <c r="I13" s="31"/>
      <c r="J13" s="30"/>
      <c r="K13" s="28"/>
      <c r="L13" s="30"/>
      <c r="M13" s="30"/>
      <c r="N13" s="30"/>
      <c r="O13" s="30"/>
      <c r="P13" s="30"/>
      <c r="Q13" s="30"/>
      <c r="R13" s="30"/>
      <c r="S13" s="30"/>
      <c r="T13" s="2023" t="s">
        <v>2068</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2064</v>
      </c>
      <c r="B15" s="2021"/>
      <c r="C15" s="2021"/>
      <c r="D15" s="2021"/>
      <c r="E15" s="2021"/>
      <c r="F15" s="2021"/>
      <c r="G15" s="2021"/>
      <c r="H15" s="2022"/>
      <c r="T15" s="2027" t="s">
        <v>2069</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2092</v>
      </c>
      <c r="B17" s="1978"/>
      <c r="C17" s="1978"/>
      <c r="D17" s="1978"/>
      <c r="E17" s="1978"/>
      <c r="F17" s="1978"/>
      <c r="G17" s="1978"/>
      <c r="H17" s="2003"/>
      <c r="T17" s="2034" t="s">
        <v>2070</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2065</v>
      </c>
      <c r="B19" s="1963"/>
      <c r="C19" s="1963"/>
      <c r="D19" s="1963"/>
      <c r="E19" s="1963"/>
      <c r="F19" s="1963"/>
      <c r="G19" s="1963"/>
      <c r="H19" s="1943"/>
      <c r="I19" s="30"/>
      <c r="J19" s="99"/>
      <c r="K19" s="40"/>
      <c r="L19" s="38"/>
      <c r="M19" s="112" t="s">
        <v>315</v>
      </c>
      <c r="P19" s="27"/>
      <c r="Q19" s="27"/>
      <c r="R19" s="27"/>
      <c r="S19" s="31"/>
      <c r="T19" s="2017" t="s">
        <v>2071</v>
      </c>
      <c r="U19" s="1942"/>
      <c r="V19" s="1942"/>
      <c r="W19" s="1943"/>
      <c r="X19" s="2032" t="s">
        <v>2072</v>
      </c>
      <c r="Y19" s="2033"/>
      <c r="Z19" s="2030">
        <v>60435</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2066</v>
      </c>
      <c r="B21" s="1942"/>
      <c r="C21" s="1942"/>
      <c r="D21" s="1942"/>
      <c r="E21" s="1942"/>
      <c r="F21" s="1942"/>
      <c r="G21" s="1942"/>
      <c r="H21" s="1943"/>
      <c r="I21" s="1997" t="s">
        <v>678</v>
      </c>
      <c r="J21" s="1992"/>
      <c r="K21" s="1992"/>
      <c r="L21" s="1992"/>
      <c r="M21" s="1992"/>
      <c r="N21" s="1992"/>
      <c r="O21" s="1992"/>
      <c r="P21" s="1992"/>
      <c r="Q21" s="1992"/>
      <c r="R21" s="1992"/>
      <c r="S21" s="1998"/>
      <c r="T21" s="2041" t="s">
        <v>2073</v>
      </c>
      <c r="U21" s="2042"/>
      <c r="V21" s="2042"/>
      <c r="W21" s="2042"/>
      <c r="X21" s="2047" t="s">
        <v>2074</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t="s">
        <v>2075</v>
      </c>
      <c r="U23" s="2040"/>
      <c r="V23" s="2040"/>
      <c r="W23" s="2040"/>
      <c r="X23" s="2044">
        <v>44530</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60441</v>
      </c>
      <c r="B25" s="1942"/>
      <c r="C25" s="1942"/>
      <c r="D25" s="1942"/>
      <c r="E25" s="1942"/>
      <c r="F25" s="1942"/>
      <c r="G25" s="1942"/>
      <c r="H25" s="1943"/>
      <c r="I25" s="113"/>
      <c r="J25" s="1966"/>
      <c r="K25" s="1966"/>
      <c r="L25" s="1966"/>
      <c r="M25" s="1966"/>
      <c r="N25" s="1966"/>
      <c r="O25" s="1966"/>
      <c r="P25" s="1966"/>
      <c r="Q25" s="1966"/>
      <c r="R25" s="1966"/>
      <c r="S25" s="1967"/>
      <c r="T25" s="2037"/>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2067</v>
      </c>
      <c r="M29" s="40" t="s">
        <v>99</v>
      </c>
      <c r="N29" s="32" t="s">
        <v>1523</v>
      </c>
      <c r="O29" s="32"/>
      <c r="P29" s="32"/>
      <c r="Q29" s="32"/>
      <c r="R29" s="32"/>
      <c r="S29" s="123"/>
      <c r="T29" s="6"/>
      <c r="U29" s="6"/>
      <c r="V29" s="6"/>
      <c r="W29" s="6"/>
      <c r="X29" s="6"/>
      <c r="Y29" s="6"/>
      <c r="Z29" s="6"/>
      <c r="AA29" s="132"/>
    </row>
    <row r="30" spans="1:27" ht="13.5" customHeight="1" x14ac:dyDescent="0.2">
      <c r="A30" s="153"/>
      <c r="B30" s="136" t="s">
        <v>2091</v>
      </c>
      <c r="C30" s="124" t="s">
        <v>1164</v>
      </c>
      <c r="D30" s="28"/>
      <c r="E30" s="28"/>
      <c r="F30" s="140"/>
      <c r="G30" s="114"/>
      <c r="H30" s="114"/>
      <c r="I30" s="54"/>
      <c r="J30" s="102"/>
      <c r="K30" s="28" t="s">
        <v>576</v>
      </c>
      <c r="L30" s="148" t="s">
        <v>2067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2076</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2077</v>
      </c>
      <c r="B42" s="1961"/>
      <c r="C42" s="1962"/>
      <c r="D42" s="1960"/>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00" workbookViewId="0">
      <selection activeCell="D55" sqref="D5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1472552</v>
      </c>
      <c r="C4" s="1524">
        <v>747571</v>
      </c>
      <c r="D4" s="1752">
        <f>B4-C4</f>
        <v>724981</v>
      </c>
      <c r="E4" s="1524">
        <v>1492841</v>
      </c>
      <c r="F4" s="1752">
        <f>E4-C4</f>
        <v>745270</v>
      </c>
    </row>
    <row r="5" spans="1:6" ht="13.7" customHeight="1" x14ac:dyDescent="0.2">
      <c r="A5" s="715" t="s">
        <v>870</v>
      </c>
      <c r="B5" s="1750">
        <f>'Revenues 9-14'!D5</f>
        <v>261097</v>
      </c>
      <c r="C5" s="585">
        <v>135922</v>
      </c>
      <c r="D5" s="1753">
        <f t="shared" ref="D5:D18" si="0">B5-C5</f>
        <v>125175</v>
      </c>
      <c r="E5" s="585">
        <v>271426</v>
      </c>
      <c r="F5" s="1753">
        <f>E5-C5</f>
        <v>135504</v>
      </c>
    </row>
    <row r="6" spans="1:6" ht="13.7" customHeight="1" x14ac:dyDescent="0.2">
      <c r="A6" s="715" t="s">
        <v>411</v>
      </c>
      <c r="B6" s="1750">
        <f>'Revenues 9-14'!E5</f>
        <v>366726</v>
      </c>
      <c r="C6" s="585">
        <v>184039</v>
      </c>
      <c r="D6" s="1753">
        <f t="shared" si="0"/>
        <v>182687</v>
      </c>
      <c r="E6" s="585">
        <v>367510</v>
      </c>
      <c r="F6" s="1753">
        <f t="shared" ref="F6:F18" si="1">E6-C6</f>
        <v>183471</v>
      </c>
    </row>
    <row r="7" spans="1:6" ht="13.7" customHeight="1" x14ac:dyDescent="0.2">
      <c r="A7" s="715" t="s">
        <v>155</v>
      </c>
      <c r="B7" s="1750">
        <f>'Revenues 9-14'!F5</f>
        <v>19653</v>
      </c>
      <c r="C7" s="585">
        <v>9752</v>
      </c>
      <c r="D7" s="1753">
        <f t="shared" si="0"/>
        <v>9901</v>
      </c>
      <c r="E7" s="585">
        <v>19475</v>
      </c>
      <c r="F7" s="1753">
        <f t="shared" si="1"/>
        <v>9723</v>
      </c>
    </row>
    <row r="8" spans="1:6" ht="13.7" customHeight="1" x14ac:dyDescent="0.2">
      <c r="A8" s="715" t="s">
        <v>1179</v>
      </c>
      <c r="B8" s="1750">
        <f>'Revenues 9-14'!G5</f>
        <v>15032</v>
      </c>
      <c r="C8" s="585">
        <v>7340</v>
      </c>
      <c r="D8" s="1753">
        <f t="shared" si="0"/>
        <v>7692</v>
      </c>
      <c r="E8" s="585">
        <v>14657</v>
      </c>
      <c r="F8" s="1753">
        <f t="shared" si="1"/>
        <v>7317</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7530</v>
      </c>
      <c r="C10" s="585">
        <v>2549</v>
      </c>
      <c r="D10" s="1753">
        <f t="shared" si="0"/>
        <v>4981</v>
      </c>
      <c r="E10" s="585">
        <v>5089</v>
      </c>
      <c r="F10" s="1753">
        <f t="shared" si="1"/>
        <v>2540</v>
      </c>
    </row>
    <row r="11" spans="1:6" x14ac:dyDescent="0.2">
      <c r="A11" s="715" t="s">
        <v>409</v>
      </c>
      <c r="B11" s="1750">
        <f>'Revenues 9-14'!J5</f>
        <v>9749</v>
      </c>
      <c r="C11" s="585">
        <v>4893</v>
      </c>
      <c r="D11" s="1753">
        <f t="shared" si="0"/>
        <v>4856</v>
      </c>
      <c r="E11" s="585">
        <v>9771</v>
      </c>
      <c r="F11" s="1753">
        <f t="shared" si="1"/>
        <v>4878</v>
      </c>
    </row>
    <row r="12" spans="1:6" ht="13.7" customHeight="1" x14ac:dyDescent="0.2">
      <c r="A12" s="715" t="s">
        <v>157</v>
      </c>
      <c r="B12" s="1750">
        <f>'Revenues 9-14'!K5</f>
        <v>0</v>
      </c>
      <c r="C12" s="585">
        <v>0</v>
      </c>
      <c r="D12" s="1753">
        <f t="shared" si="0"/>
        <v>0</v>
      </c>
      <c r="E12" s="585">
        <v>0</v>
      </c>
      <c r="F12" s="1753">
        <f t="shared" si="1"/>
        <v>0</v>
      </c>
    </row>
    <row r="13" spans="1:6" ht="13.7" customHeight="1" x14ac:dyDescent="0.2">
      <c r="A13" s="715" t="s">
        <v>936</v>
      </c>
      <c r="B13" s="1750">
        <f>SUM('Revenues 9-14'!C6:D6)</f>
        <v>11464</v>
      </c>
      <c r="C13" s="585">
        <v>4180</v>
      </c>
      <c r="D13" s="1753">
        <f t="shared" si="0"/>
        <v>7284</v>
      </c>
      <c r="E13" s="585">
        <v>8346</v>
      </c>
      <c r="F13" s="1753">
        <f t="shared" si="1"/>
        <v>4166</v>
      </c>
    </row>
    <row r="14" spans="1:6" ht="13.7" customHeight="1" x14ac:dyDescent="0.2">
      <c r="A14" s="715" t="s">
        <v>410</v>
      </c>
      <c r="B14" s="1750">
        <f>SUM('Revenues 9-14'!C7:D7,'Revenues 9-14'!F7:H7)</f>
        <v>34684</v>
      </c>
      <c r="C14" s="585">
        <v>17058</v>
      </c>
      <c r="D14" s="1753">
        <f t="shared" si="0"/>
        <v>17626</v>
      </c>
      <c r="E14" s="585">
        <v>34064</v>
      </c>
      <c r="F14" s="1753">
        <f t="shared" si="1"/>
        <v>17006</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18733</v>
      </c>
      <c r="C16" s="585">
        <v>8801</v>
      </c>
      <c r="D16" s="1753">
        <f t="shared" si="0"/>
        <v>9932</v>
      </c>
      <c r="E16" s="585">
        <v>17575</v>
      </c>
      <c r="F16" s="1753">
        <f t="shared" si="1"/>
        <v>8774</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2217220</v>
      </c>
      <c r="C19" s="1751">
        <f>SUM(C4:C18)</f>
        <v>1122105</v>
      </c>
      <c r="D19" s="1751">
        <f>SUM(D4:D18)</f>
        <v>1095115</v>
      </c>
      <c r="E19" s="1751">
        <f>SUM(E4:E18)</f>
        <v>2240754</v>
      </c>
      <c r="F19" s="1751">
        <f>SUM(F4:F18)</f>
        <v>1118649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9" colorId="8" zoomScale="110" zoomScaleNormal="110" workbookViewId="0">
      <selection activeCell="D55" sqref="D5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1956</v>
      </c>
      <c r="D2" s="723" t="s">
        <v>1957</v>
      </c>
      <c r="E2" s="723" t="s">
        <v>1958</v>
      </c>
      <c r="F2" s="1884" t="s">
        <v>1959</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2078</v>
      </c>
      <c r="B31" s="733">
        <v>41052</v>
      </c>
      <c r="C31" s="734">
        <v>3200000</v>
      </c>
      <c r="D31" s="735">
        <v>6</v>
      </c>
      <c r="E31" s="734">
        <v>2670000</v>
      </c>
      <c r="F31" s="734"/>
      <c r="G31" s="734"/>
      <c r="H31" s="734">
        <v>125000</v>
      </c>
      <c r="I31" s="1756">
        <f>((E31+F31)-H31)+G31</f>
        <v>2545000</v>
      </c>
      <c r="J31" s="734">
        <v>2521839</v>
      </c>
      <c r="K31" s="736"/>
    </row>
    <row r="32" spans="1:11" ht="12" customHeight="1" x14ac:dyDescent="0.2">
      <c r="A32" s="732" t="s">
        <v>2079</v>
      </c>
      <c r="B32" s="733">
        <v>41052</v>
      </c>
      <c r="C32" s="734">
        <v>1960000</v>
      </c>
      <c r="D32" s="735">
        <v>6</v>
      </c>
      <c r="E32" s="734">
        <v>1545000</v>
      </c>
      <c r="F32" s="734"/>
      <c r="G32" s="734"/>
      <c r="H32" s="734">
        <v>90000</v>
      </c>
      <c r="I32" s="1756">
        <f>((E32+F32)-H32)+G32</f>
        <v>1455000</v>
      </c>
      <c r="J32" s="734">
        <v>1441759</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5160000</v>
      </c>
      <c r="D49" s="745"/>
      <c r="E49" s="1756">
        <f t="shared" ref="E49:J49" si="2">SUM(E31:E48)</f>
        <v>4215000</v>
      </c>
      <c r="F49" s="1756">
        <f t="shared" si="2"/>
        <v>0</v>
      </c>
      <c r="G49" s="1756">
        <f t="shared" si="2"/>
        <v>0</v>
      </c>
      <c r="H49" s="1756">
        <f t="shared" si="2"/>
        <v>215000</v>
      </c>
      <c r="I49" s="1756">
        <f t="shared" si="2"/>
        <v>4000000</v>
      </c>
      <c r="J49" s="1756">
        <f t="shared" si="2"/>
        <v>3963598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D55" sqref="D5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1964</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34684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34684</v>
      </c>
      <c r="I12" s="1758">
        <f>SUM(I5:I11)</f>
        <v>0</v>
      </c>
      <c r="J12" s="1758">
        <f>SUM(J5:J11)</f>
        <v>0</v>
      </c>
      <c r="K12" s="1758">
        <f>SUM(K5:K11)</f>
        <v>0</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34684</v>
      </c>
      <c r="I14" s="771"/>
      <c r="J14" s="773"/>
      <c r="K14" s="765"/>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34684</v>
      </c>
      <c r="I23" s="1758">
        <f>SUM(I14:I16,I21,I22)</f>
        <v>0</v>
      </c>
      <c r="J23" s="1758">
        <f>SUM(J14:J16,J21,J22)</f>
        <v>0</v>
      </c>
      <c r="K23" s="1758">
        <f>SUM(K14:K16,K21,K22)</f>
        <v>0</v>
      </c>
    </row>
    <row r="24" spans="1:11" ht="14.25" thickTop="1" thickBot="1" x14ac:dyDescent="0.25">
      <c r="A24" s="2248" t="s">
        <v>1965</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55" sqref="D5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12500</v>
      </c>
      <c r="D5" s="841"/>
      <c r="E5" s="841"/>
      <c r="F5" s="1760">
        <f>(C5+D5)-E5</f>
        <v>12500</v>
      </c>
      <c r="G5" s="837"/>
      <c r="H5" s="842"/>
      <c r="I5" s="842"/>
      <c r="J5" s="842"/>
      <c r="K5" s="793"/>
      <c r="L5" s="1769">
        <f>F5-K5</f>
        <v>12500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7489053</v>
      </c>
      <c r="D8" s="844"/>
      <c r="E8" s="844"/>
      <c r="F8" s="1760">
        <f>(C8+D8)-E8</f>
        <v>7489053</v>
      </c>
      <c r="G8" s="843">
        <v>50</v>
      </c>
      <c r="H8" s="765">
        <v>2839140</v>
      </c>
      <c r="I8" s="765">
        <f>141534+20617</f>
        <v>162151</v>
      </c>
      <c r="J8" s="765"/>
      <c r="K8" s="1769">
        <f>(H8+I8)-J8</f>
        <v>3001291</v>
      </c>
      <c r="L8" s="1769">
        <f>F8-K8</f>
        <v>4487762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803869</v>
      </c>
      <c r="D12" s="844">
        <v>8189</v>
      </c>
      <c r="E12" s="844"/>
      <c r="F12" s="1760">
        <f>(C12+D12)-E12</f>
        <v>812058</v>
      </c>
      <c r="G12" s="843">
        <v>10</v>
      </c>
      <c r="H12" s="765">
        <v>677395</v>
      </c>
      <c r="I12" s="765">
        <v>33389</v>
      </c>
      <c r="J12" s="765"/>
      <c r="K12" s="1769">
        <f>(H12+I12)-J12</f>
        <v>710784</v>
      </c>
      <c r="L12" s="1769">
        <f>F12-K12</f>
        <v>101274</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8305422</v>
      </c>
      <c r="D16" s="1760">
        <f>SUM(D3,D5:D6,D8:D10,D12:D15)</f>
        <v>8189</v>
      </c>
      <c r="E16" s="1760">
        <f>SUM(E3,E5:E6,E8:E10,E12:E15)</f>
        <v>0</v>
      </c>
      <c r="F16" s="1760">
        <f>SUM(F3,F5:F6,F8:F10,F12:F15)</f>
        <v>8313611</v>
      </c>
      <c r="G16" s="843"/>
      <c r="H16" s="1760">
        <f>SUM(H3,H6,H8:H10,H12:H14,)</f>
        <v>3516535</v>
      </c>
      <c r="I16" s="1760">
        <f>SUM(I3,I6,I8:I10,I12:I14,)</f>
        <v>195540</v>
      </c>
      <c r="J16" s="1760">
        <f>SUM(J3,J6,J8:J10,J12:J14,)</f>
        <v>0</v>
      </c>
      <c r="K16" s="1760">
        <f>(H16+I16)-J16</f>
        <v>3712075</v>
      </c>
      <c r="L16" s="1760">
        <f>F16-K16</f>
        <v>4601536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3324</v>
      </c>
      <c r="G17" s="837">
        <v>10</v>
      </c>
      <c r="H17" s="769"/>
      <c r="I17" s="1769">
        <f>F17/G17</f>
        <v>332.4</v>
      </c>
      <c r="J17" s="769"/>
      <c r="K17" s="795"/>
      <c r="L17" s="795"/>
    </row>
    <row r="18" spans="1:12" ht="14.25" thickTop="1" thickBot="1" x14ac:dyDescent="0.25">
      <c r="A18" s="1767" t="s">
        <v>685</v>
      </c>
      <c r="B18" s="1768"/>
      <c r="C18" s="771"/>
      <c r="D18" s="771"/>
      <c r="E18" s="771"/>
      <c r="F18" s="850"/>
      <c r="G18" s="851"/>
      <c r="H18" s="773"/>
      <c r="I18" s="1760">
        <f>SUM(I16,I17)</f>
        <v>195872.4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3" activePane="bottomLeft" state="frozen"/>
      <selection activeCell="D55" sqref="D55"/>
      <selection pane="bottomLeft" activeCell="D55" sqref="D5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2616685</v>
      </c>
      <c r="G8" s="865"/>
    </row>
    <row r="9" spans="1:7" x14ac:dyDescent="0.2">
      <c r="A9" s="869" t="s">
        <v>460</v>
      </c>
      <c r="B9" s="870" t="s">
        <v>1877</v>
      </c>
      <c r="C9" s="871"/>
      <c r="D9" s="869" t="s">
        <v>501</v>
      </c>
      <c r="E9" s="868"/>
      <c r="F9" s="1909">
        <f>'Expenditures 15-22'!K151</f>
        <v>208922</v>
      </c>
      <c r="G9" s="872"/>
    </row>
    <row r="10" spans="1:7" x14ac:dyDescent="0.2">
      <c r="A10" s="869" t="s">
        <v>499</v>
      </c>
      <c r="B10" s="870" t="s">
        <v>1878</v>
      </c>
      <c r="C10" s="871"/>
      <c r="D10" s="869" t="s">
        <v>501</v>
      </c>
      <c r="E10" s="868"/>
      <c r="F10" s="1909">
        <f>'Expenditures 15-22'!K174</f>
        <v>368200</v>
      </c>
      <c r="G10" s="872"/>
    </row>
    <row r="11" spans="1:7" x14ac:dyDescent="0.2">
      <c r="A11" s="869" t="s">
        <v>461</v>
      </c>
      <c r="B11" s="870" t="s">
        <v>1879</v>
      </c>
      <c r="C11" s="871"/>
      <c r="D11" s="869" t="s">
        <v>501</v>
      </c>
      <c r="E11" s="868"/>
      <c r="F11" s="1909">
        <f>'Expenditures 15-22'!K210</f>
        <v>162634</v>
      </c>
      <c r="G11" s="872"/>
    </row>
    <row r="12" spans="1:7" x14ac:dyDescent="0.2">
      <c r="A12" s="869" t="s">
        <v>462</v>
      </c>
      <c r="B12" s="870" t="s">
        <v>1880</v>
      </c>
      <c r="C12" s="871"/>
      <c r="D12" s="869" t="s">
        <v>501</v>
      </c>
      <c r="E12" s="868"/>
      <c r="F12" s="1909">
        <f>'Expenditures 15-22'!K295</f>
        <v>50708</v>
      </c>
      <c r="G12" s="872"/>
    </row>
    <row r="13" spans="1:7" x14ac:dyDescent="0.2">
      <c r="A13" s="869" t="s">
        <v>106</v>
      </c>
      <c r="B13" s="870" t="s">
        <v>1881</v>
      </c>
      <c r="C13" s="871"/>
      <c r="D13" s="869" t="s">
        <v>501</v>
      </c>
      <c r="E13" s="868"/>
      <c r="F13" s="1909">
        <f>'Expenditures 15-22'!K342</f>
        <v>6170</v>
      </c>
      <c r="G13" s="873"/>
    </row>
    <row r="14" spans="1:7" ht="12" customHeight="1" thickBot="1" x14ac:dyDescent="0.25">
      <c r="A14" s="1770"/>
      <c r="B14" s="1771"/>
      <c r="C14" s="1772"/>
      <c r="D14" s="1773" t="s">
        <v>501</v>
      </c>
      <c r="E14" s="1774" t="s">
        <v>958</v>
      </c>
      <c r="F14" s="1775">
        <f>SUM(F8:F13)</f>
        <v>3413319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660645</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3324</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8189</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215000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160633</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1047791</v>
      </c>
      <c r="G76" s="865"/>
    </row>
    <row r="77" spans="1:8" s="893" customFormat="1" ht="12" customHeight="1" thickTop="1" thickBot="1" x14ac:dyDescent="0.25">
      <c r="A77" s="1779"/>
      <c r="B77" s="1776"/>
      <c r="C77" s="1772"/>
      <c r="D77" s="1777" t="s">
        <v>1900</v>
      </c>
      <c r="E77" s="1774"/>
      <c r="F77" s="1780">
        <f>(F14-F76)</f>
        <v>2365528</v>
      </c>
      <c r="G77" s="869"/>
    </row>
    <row r="78" spans="1:8" s="893" customFormat="1" ht="12" customHeight="1" thickTop="1" x14ac:dyDescent="0.2">
      <c r="A78" s="1781"/>
      <c r="B78" s="1776"/>
      <c r="C78" s="1772"/>
      <c r="D78" s="1777" t="s">
        <v>2062</v>
      </c>
      <c r="E78" s="1774"/>
      <c r="F78" s="898">
        <v>237.8</v>
      </c>
      <c r="G78" s="899"/>
      <c r="H78" s="869"/>
    </row>
    <row r="79" spans="1:8" s="893" customFormat="1" ht="12" customHeight="1" thickBot="1" x14ac:dyDescent="0.25">
      <c r="A79" s="1782"/>
      <c r="B79" s="1776"/>
      <c r="C79" s="1772"/>
      <c r="D79" s="1777" t="s">
        <v>1901</v>
      </c>
      <c r="E79" s="1774" t="s">
        <v>958</v>
      </c>
      <c r="F79" s="1783">
        <f>IF(F78&gt;0,F77/F78," Complete Line 78")</f>
        <v>9947.5525651808239</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15104</v>
      </c>
      <c r="G94" s="912"/>
    </row>
    <row r="95" spans="1:7" x14ac:dyDescent="0.2">
      <c r="A95" s="908" t="s">
        <v>140</v>
      </c>
      <c r="B95" s="908" t="s">
        <v>175</v>
      </c>
      <c r="C95" s="910">
        <v>1700</v>
      </c>
      <c r="D95" s="918" t="str">
        <f>'Revenues 9-14'!A82</f>
        <v>Total District/School Activity Income</v>
      </c>
      <c r="E95" s="906"/>
      <c r="F95" s="1789">
        <f>SUM('Revenues 9-14'!C82,'Revenues 9-14'!D82)</f>
        <v>10804</v>
      </c>
      <c r="G95" s="912"/>
    </row>
    <row r="96" spans="1:7" x14ac:dyDescent="0.2">
      <c r="A96" s="908" t="s">
        <v>459</v>
      </c>
      <c r="B96" s="908" t="s">
        <v>176</v>
      </c>
      <c r="C96" s="910">
        <f>'Revenues 9-14'!B84</f>
        <v>1811</v>
      </c>
      <c r="D96" s="911" t="str">
        <f>'Revenues 9-14'!A84</f>
        <v>Rentals - Regular Textbooks</v>
      </c>
      <c r="E96" s="906"/>
      <c r="F96" s="1789">
        <f>'Revenues 9-14'!C84</f>
        <v>25390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5477</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4636</v>
      </c>
      <c r="G104" s="912"/>
    </row>
    <row r="105" spans="1:7" x14ac:dyDescent="0.2">
      <c r="A105" s="908" t="s">
        <v>503</v>
      </c>
      <c r="B105" s="908" t="s">
        <v>2003</v>
      </c>
      <c r="C105" s="913">
        <v>3100</v>
      </c>
      <c r="D105" s="919" t="str">
        <f>'Revenues 9-14'!A132</f>
        <v>Total Special Education</v>
      </c>
      <c r="E105" s="906"/>
      <c r="F105" s="1789">
        <f>SUM('Revenues 9-14'!C132:D132,'Revenues 9-14'!F132)</f>
        <v>80039</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731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91714</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40643</v>
      </c>
      <c r="G125" s="930"/>
    </row>
    <row r="126" spans="1:7" x14ac:dyDescent="0.2">
      <c r="A126" s="927" t="s">
        <v>668</v>
      </c>
      <c r="B126" s="927" t="s">
        <v>2024</v>
      </c>
      <c r="C126" s="932">
        <v>4300</v>
      </c>
      <c r="D126" s="933" t="str">
        <f>'Revenues 9-14'!A204</f>
        <v>Total Title I</v>
      </c>
      <c r="E126" s="906"/>
      <c r="F126" s="1789">
        <f>SUM('Revenues 9-14'!C204,'Revenues 9-14'!D204,'Revenues 9-14'!F204,'Revenues 9-14'!G204)</f>
        <v>99654</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50539</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20453</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5765</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2961</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11701</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2836</v>
      </c>
      <c r="G170" s="927"/>
    </row>
    <row r="171" spans="1:7" x14ac:dyDescent="0.2">
      <c r="A171" s="1918" t="s">
        <v>5</v>
      </c>
      <c r="B171" s="1919" t="s">
        <v>1920</v>
      </c>
      <c r="C171" s="1920">
        <v>3100</v>
      </c>
      <c r="D171" s="1921" t="s">
        <v>1922</v>
      </c>
      <c r="E171" s="906"/>
      <c r="F171" s="1906">
        <v>110594</v>
      </c>
      <c r="G171" s="927"/>
    </row>
    <row r="172" spans="1:7" x14ac:dyDescent="0.2">
      <c r="A172" s="1918" t="s">
        <v>664</v>
      </c>
      <c r="B172" s="1919" t="s">
        <v>1920</v>
      </c>
      <c r="C172" s="1920">
        <v>3300</v>
      </c>
      <c r="D172" s="1921" t="s">
        <v>1923</v>
      </c>
      <c r="E172" s="906"/>
      <c r="F172" s="1906">
        <v>1719</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580760</v>
      </c>
    </row>
    <row r="175" spans="1:7" ht="12" customHeight="1" x14ac:dyDescent="0.2">
      <c r="A175" s="1770"/>
      <c r="B175" s="1784"/>
      <c r="C175" s="1785"/>
      <c r="D175" s="1786" t="s">
        <v>2057</v>
      </c>
      <c r="E175" s="1787"/>
      <c r="F175" s="1789">
        <f>'PCTC-OEPP 27-28'!F77-F174</f>
        <v>1784768</v>
      </c>
    </row>
    <row r="176" spans="1:7" ht="12" customHeight="1" x14ac:dyDescent="0.2">
      <c r="A176" s="1770"/>
      <c r="B176" s="1784"/>
      <c r="C176" s="1785"/>
      <c r="D176" s="1786" t="s">
        <v>1817</v>
      </c>
      <c r="E176" s="1787"/>
      <c r="F176" s="1789">
        <f>'Cap Outlay Deprec 26'!I18</f>
        <v>195872.4</v>
      </c>
    </row>
    <row r="177" spans="1:7" ht="12" customHeight="1" x14ac:dyDescent="0.2">
      <c r="A177" s="1770"/>
      <c r="B177" s="1784"/>
      <c r="C177" s="1785"/>
      <c r="D177" s="1786" t="s">
        <v>2058</v>
      </c>
      <c r="E177" s="1787"/>
      <c r="F177" s="1789">
        <f>F175+F176</f>
        <v>1980640.4</v>
      </c>
    </row>
    <row r="178" spans="1:7" ht="12" customHeight="1" x14ac:dyDescent="0.2">
      <c r="A178" s="1770"/>
      <c r="B178" s="1790"/>
      <c r="C178" s="1785"/>
      <c r="D178" s="1786" t="str">
        <f>D78</f>
        <v>9 Month ADA from District Average Daily Attendance/Prior General State Aid Inquiry 2018-2019</v>
      </c>
      <c r="E178" s="1787"/>
      <c r="F178" s="1791">
        <f>'PCTC-OEPP 27-28'!F78</f>
        <v>237.8</v>
      </c>
      <c r="G178" s="930"/>
    </row>
    <row r="179" spans="1:7" ht="12" customHeight="1" thickBot="1" x14ac:dyDescent="0.25">
      <c r="A179" s="1770"/>
      <c r="B179" s="1790"/>
      <c r="C179" s="1785"/>
      <c r="D179" s="1786" t="s">
        <v>2059</v>
      </c>
      <c r="E179" s="1787" t="s">
        <v>1545</v>
      </c>
      <c r="F179" s="1792">
        <f>F177/F178</f>
        <v>8329.0176619007561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20" sqref="C2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2086</v>
      </c>
      <c r="B17" s="2487" t="s">
        <v>2093</v>
      </c>
      <c r="C17" s="1940" t="s">
        <v>2087</v>
      </c>
      <c r="D17" s="1844">
        <v>12600</v>
      </c>
      <c r="E17" s="1540">
        <f t="shared" ref="E17:E141" si="0">IF(D17&lt;=25000,D17,IF(D17&gt;25000,25000,0))</f>
        <v>12600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12600</v>
      </c>
      <c r="G17" s="1793">
        <f>IF(F17=0,0,D17-F17)</f>
        <v>0</v>
      </c>
      <c r="H17" s="1647"/>
    </row>
    <row r="18" spans="1:8" x14ac:dyDescent="0.25">
      <c r="A18" s="1938" t="s">
        <v>2090</v>
      </c>
      <c r="B18" s="1939" t="s">
        <v>2088</v>
      </c>
      <c r="C18" s="1940" t="s">
        <v>2089</v>
      </c>
      <c r="D18" s="1844">
        <v>27223</v>
      </c>
      <c r="E18" s="1540">
        <f t="shared" ref="E18:E140" si="2">IF(D18&lt;=25000,D18,IF(D18&gt;25000,25000,0))</f>
        <v>25000</v>
      </c>
      <c r="F18" s="1932">
        <f t="shared" si="1"/>
        <v>25000</v>
      </c>
      <c r="G18" s="1793">
        <f t="shared" ref="G18:G140" si="3">IF(F18=0,0,D18-F18)</f>
        <v>2223</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39823</v>
      </c>
      <c r="E141" s="1541">
        <f t="shared" si="0"/>
        <v>25000</v>
      </c>
      <c r="F141" s="1933">
        <f>SUM(F17:F140)</f>
        <v>37600</v>
      </c>
      <c r="G141" s="1795">
        <f>SUM(G17:G140)</f>
        <v>2223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D55" sqref="D5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39074</v>
      </c>
      <c r="F10" s="974"/>
      <c r="G10" s="975"/>
      <c r="H10" s="162"/>
      <c r="I10" s="162"/>
    </row>
    <row r="11" spans="1:9" s="668" customFormat="1" ht="22.5" customHeight="1" x14ac:dyDescent="0.2">
      <c r="A11" s="2287" t="s">
        <v>1977</v>
      </c>
      <c r="B11" s="2288"/>
      <c r="C11" s="2288"/>
      <c r="D11" s="2289"/>
      <c r="E11" s="977">
        <v>6076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1381105</v>
      </c>
      <c r="F19" s="1799"/>
      <c r="G19" s="1801">
        <f>'Expenditures 15-22'!K33-SUM('Expenditures 15-22'!G33,'Expenditures 15-22'!I33)+'Expenditures 15-22'!D229</f>
        <v>1381105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118620</v>
      </c>
      <c r="F21" s="1802"/>
      <c r="G21" s="1805">
        <f>'Expenditures 15-22'!K42-SUM('Expenditures 15-22'!G42,'Expenditures 15-22'!I42)+'Expenditures 15-22'!K120-SUM('Expenditures 15-22'!G120,'Expenditures 15-22'!I120)+'Expenditures 15-22'!K180-SUM('Expenditures 15-22'!G180,'Expenditures 15-22'!I180)+'Expenditures 15-22'!D238</f>
        <v>118620</v>
      </c>
      <c r="H21" s="987"/>
      <c r="I21" s="162"/>
    </row>
    <row r="22" spans="1:9" s="668" customFormat="1" ht="12" customHeight="1" x14ac:dyDescent="0.2">
      <c r="A22" s="994" t="s">
        <v>564</v>
      </c>
      <c r="B22" s="995"/>
      <c r="C22" s="993">
        <v>2200</v>
      </c>
      <c r="D22" s="1802"/>
      <c r="E22" s="1804">
        <f>'Expenditures 15-22'!K47-SUM('Expenditures 15-22'!G47,'Expenditures 15-22'!I47)+'Expenditures 15-22'!D243</f>
        <v>54955</v>
      </c>
      <c r="F22" s="1802"/>
      <c r="G22" s="1805">
        <f>'Expenditures 15-22'!K47-SUM('Expenditures 15-22'!G47,'Expenditures 15-22'!I47)+'Expenditures 15-22'!D243</f>
        <v>54955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203719</v>
      </c>
      <c r="F23" s="1802"/>
      <c r="G23" s="1804">
        <f>'Expenditures 15-22'!K53-SUM('Expenditures 15-22'!G53,'Expenditures 15-22'!I53)+'Expenditures 15-22'!D257+'Expenditures 15-22'!K330-SUM('Expenditures 15-22'!G330,'Expenditures 15-22'!I330)</f>
        <v>203719</v>
      </c>
      <c r="H23" s="987"/>
      <c r="I23" s="162"/>
    </row>
    <row r="24" spans="1:9" s="668" customFormat="1" ht="12" customHeight="1" x14ac:dyDescent="0.2">
      <c r="A24" s="994" t="s">
        <v>566</v>
      </c>
      <c r="B24" s="995"/>
      <c r="C24" s="993">
        <v>2400</v>
      </c>
      <c r="D24" s="1802"/>
      <c r="E24" s="1804">
        <f>'Expenditures 15-22'!K57-SUM('Expenditures 15-22'!G57,'Expenditures 15-22'!I57)+'Expenditures 15-22'!D261</f>
        <v>167327</v>
      </c>
      <c r="F24" s="1802"/>
      <c r="G24" s="1805">
        <f>'Expenditures 15-22'!K57-SUM('Expenditures 15-22'!G57,'Expenditures 15-22'!I57)+'Expenditures 15-22'!D261</f>
        <v>167327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34161</v>
      </c>
      <c r="E27" s="1804">
        <f>E8</f>
        <v>0</v>
      </c>
      <c r="F27" s="1804">
        <f>'Expenditures 15-22'!K60-SUM('Expenditures 15-22'!G60,'Expenditures 15-22'!I60)+'Expenditures 15-22'!D264-E8</f>
        <v>34161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202349</v>
      </c>
      <c r="F28" s="1806">
        <f>'Expenditures 15-22'!K61-SUM('Expenditures 15-22'!G61,'Expenditures 15-22'!I61)+'Expenditures 15-22'!K124-SUM('Expenditures 15-22'!G124,'Expenditures 15-22'!I124)+'Expenditures 15-22'!D266-E9</f>
        <v>202349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2003</v>
      </c>
      <c r="F29" s="1802"/>
      <c r="G29" s="1805">
        <f>'Expenditures 15-22'!K62-SUM('Expenditures 15-22'!G62,'Expenditures 15-22'!I62)+'Expenditures 15-22'!K125-SUM('Expenditures 15-22'!G125,'Expenditures 15-22'!I125)+'Expenditures 15-22'!K182-SUM('Expenditures 15-22'!G182,'Expenditures 15-22'!I182)+'Expenditures 15-22'!D267</f>
        <v>2003</v>
      </c>
      <c r="H29" s="985"/>
    </row>
    <row r="30" spans="1:9" ht="12" customHeight="1" x14ac:dyDescent="0.2">
      <c r="A30" s="994" t="s">
        <v>100</v>
      </c>
      <c r="B30" s="997"/>
      <c r="C30" s="993">
        <v>2560</v>
      </c>
      <c r="D30" s="1802"/>
      <c r="E30" s="1804">
        <f>'Expenditures 15-22'!K63-SUM('Expenditures 15-22'!G63,'Expenditures 15-22'!I63)+'Expenditures 15-22'!D268-E10</f>
        <v>9015</v>
      </c>
      <c r="F30" s="1802"/>
      <c r="G30" s="1804">
        <f>'Expenditures 15-22'!K63-SUM('Expenditures 15-22'!G63,'Expenditures 15-22'!I63)+'Expenditures 15-22'!D268-E10</f>
        <v>9015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-2223</v>
      </c>
      <c r="F40" s="1802"/>
      <c r="G40" s="1806">
        <f>-'Contracts Paid in CY 29'!G141</f>
        <v>-2223</v>
      </c>
    </row>
    <row r="41" spans="1:7" ht="12" customHeight="1" x14ac:dyDescent="0.2">
      <c r="A41" s="998" t="s">
        <v>156</v>
      </c>
      <c r="B41" s="999"/>
      <c r="C41" s="1000"/>
      <c r="D41" s="1806">
        <f>SUM(D19:D39)</f>
        <v>34161</v>
      </c>
      <c r="E41" s="1806">
        <f>SUM(E19:E40)</f>
        <v>2136870</v>
      </c>
      <c r="F41" s="1806">
        <f>SUM(F19:F39)</f>
        <v>236510</v>
      </c>
      <c r="G41" s="1806">
        <f>SUM(G19:G40)</f>
        <v>1934521</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34161</v>
      </c>
      <c r="F43" s="1807" t="s">
        <v>473</v>
      </c>
      <c r="G43" s="1808">
        <f>F41</f>
        <v>236510</v>
      </c>
    </row>
    <row r="44" spans="1:7" ht="12" customHeight="1" x14ac:dyDescent="0.2">
      <c r="A44" s="987"/>
      <c r="B44" s="162"/>
      <c r="C44" s="1001"/>
      <c r="D44" s="1807" t="s">
        <v>474</v>
      </c>
      <c r="E44" s="1808">
        <f>E41</f>
        <v>2136870</v>
      </c>
      <c r="F44" s="1807" t="s">
        <v>474</v>
      </c>
      <c r="G44" s="1808">
        <f>G41</f>
        <v>1934521</v>
      </c>
    </row>
    <row r="45" spans="1:7" ht="12" customHeight="1" x14ac:dyDescent="0.2">
      <c r="A45" s="987"/>
      <c r="B45" s="162"/>
      <c r="C45" s="162"/>
      <c r="D45" s="1809" t="s">
        <v>1006</v>
      </c>
      <c r="E45" s="1810">
        <f>(E43/E44)</f>
        <v>1.5986466186525151E-2</v>
      </c>
      <c r="F45" s="1809" t="s">
        <v>1006</v>
      </c>
      <c r="G45" s="1810">
        <f>(G43/G44)</f>
        <v>0.12225765447880897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D55" sqref="D55"/>
      <selection pane="bottomLeft" activeCell="D55" sqref="D5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Taft SD 90</v>
      </c>
      <c r="D6" s="2308"/>
      <c r="E6" s="2308"/>
      <c r="F6" s="1852"/>
    </row>
    <row r="7" spans="1:10" ht="11.25" customHeight="1" thickBot="1" x14ac:dyDescent="0.3">
      <c r="A7" s="1850"/>
      <c r="B7" s="1851"/>
      <c r="C7" s="2309">
        <f>COVER!A13</f>
        <v>56099090002</v>
      </c>
      <c r="D7" s="2309"/>
      <c r="E7" s="230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2067</v>
      </c>
      <c r="D14" s="1865" t="s">
        <v>2067</v>
      </c>
      <c r="E14" s="1868" t="s">
        <v>2067</v>
      </c>
      <c r="F14" s="1867" t="s">
        <v>2080</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2067</v>
      </c>
      <c r="D19" s="1865" t="s">
        <v>2067</v>
      </c>
      <c r="E19" s="1868" t="s">
        <v>2067</v>
      </c>
      <c r="F19" s="1867" t="s">
        <v>2081</v>
      </c>
      <c r="H19" s="1878">
        <f t="shared" si="0"/>
        <v>5</v>
      </c>
      <c r="I19" s="1878">
        <f t="shared" si="1"/>
        <v>5</v>
      </c>
      <c r="J19" s="1878">
        <f t="shared" si="2"/>
        <v>5</v>
      </c>
    </row>
    <row r="20" spans="1:12" ht="12" customHeight="1" x14ac:dyDescent="0.2">
      <c r="A20" s="1863" t="s">
        <v>1528</v>
      </c>
      <c r="B20" s="1864"/>
      <c r="C20" s="1865" t="s">
        <v>2067</v>
      </c>
      <c r="D20" s="1865" t="s">
        <v>2067</v>
      </c>
      <c r="E20" s="1868" t="s">
        <v>2067</v>
      </c>
      <c r="F20" s="1867" t="s">
        <v>2082</v>
      </c>
      <c r="H20" s="1878">
        <f t="shared" si="0"/>
        <v>5</v>
      </c>
      <c r="I20" s="1878">
        <f t="shared" si="1"/>
        <v>5</v>
      </c>
      <c r="J20" s="1878">
        <f t="shared" si="2"/>
        <v>5</v>
      </c>
    </row>
    <row r="21" spans="1:12" ht="12" customHeight="1" x14ac:dyDescent="0.2">
      <c r="A21" s="1863" t="s">
        <v>1529</v>
      </c>
      <c r="B21" s="1864"/>
      <c r="C21" s="1865" t="s">
        <v>2067</v>
      </c>
      <c r="D21" s="1865" t="s">
        <v>2067</v>
      </c>
      <c r="E21" s="1868" t="s">
        <v>2067</v>
      </c>
      <c r="F21" s="1867" t="s">
        <v>2083</v>
      </c>
      <c r="H21" s="1878">
        <f t="shared" si="0"/>
        <v>5</v>
      </c>
      <c r="I21" s="1878">
        <f t="shared" si="1"/>
        <v>5</v>
      </c>
      <c r="J21" s="1878">
        <f t="shared" si="2"/>
        <v>5</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2067</v>
      </c>
      <c r="D26" s="1865" t="s">
        <v>2067</v>
      </c>
      <c r="E26" s="1868" t="s">
        <v>2067</v>
      </c>
      <c r="F26" s="1867" t="s">
        <v>2084</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t="s">
        <v>2067</v>
      </c>
      <c r="D29" s="1865" t="s">
        <v>2067</v>
      </c>
      <c r="E29" s="1868" t="s">
        <v>2067</v>
      </c>
      <c r="F29" s="1867" t="s">
        <v>2085</v>
      </c>
      <c r="H29" s="1878">
        <f t="shared" si="0"/>
        <v>5</v>
      </c>
      <c r="I29" s="1878">
        <f t="shared" si="1"/>
        <v>5</v>
      </c>
      <c r="J29" s="1878">
        <f t="shared" si="2"/>
        <v>5</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30</v>
      </c>
      <c r="J34" s="1878">
        <f>SUM(J11:J32)</f>
        <v>30</v>
      </c>
      <c r="K34" s="1878">
        <f>SUM(H34:J34)</f>
        <v>90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I26" sqref="I2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Taft SD 90</v>
      </c>
      <c r="J6" s="2318"/>
      <c r="Q6" s="1664"/>
    </row>
    <row r="7" spans="1:17" x14ac:dyDescent="0.2">
      <c r="A7" s="2319" t="s">
        <v>869</v>
      </c>
      <c r="B7" s="2320"/>
      <c r="C7" s="2320"/>
      <c r="D7" s="2320"/>
      <c r="E7" s="2321"/>
      <c r="F7" s="1017"/>
      <c r="G7" s="1009"/>
      <c r="H7" s="1016" t="s">
        <v>372</v>
      </c>
      <c r="I7" s="2322">
        <f>COVER!A13</f>
        <v>56099090002</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138747</v>
      </c>
      <c r="F12" s="1039"/>
      <c r="G12" s="1811">
        <f t="shared" ref="G12:G18" si="0">SUM(E12:F12)</f>
        <v>138747</v>
      </c>
      <c r="H12" s="1040">
        <v>235110</v>
      </c>
      <c r="I12" s="1039"/>
      <c r="J12" s="1811">
        <f t="shared" ref="J12:J18" si="1">SUM(H12:I12)</f>
        <v>235110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19610</v>
      </c>
      <c r="F14" s="1039"/>
      <c r="G14" s="1811">
        <f t="shared" si="0"/>
        <v>19610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158357</v>
      </c>
      <c r="F19" s="1813">
        <f t="shared" si="2"/>
        <v>0</v>
      </c>
      <c r="G19" s="1813">
        <f t="shared" si="2"/>
        <v>158357</v>
      </c>
      <c r="H19" s="1813">
        <f t="shared" si="2"/>
        <v>235110</v>
      </c>
      <c r="I19" s="1813">
        <f t="shared" si="2"/>
        <v>0</v>
      </c>
      <c r="J19" s="1813">
        <f t="shared" si="2"/>
        <v>235110</v>
      </c>
    </row>
    <row r="20" spans="1:10" ht="13.5" thickTop="1" x14ac:dyDescent="0.2">
      <c r="A20" s="1035">
        <v>9</v>
      </c>
      <c r="B20" s="2329" t="s">
        <v>1981</v>
      </c>
      <c r="C20" s="2329"/>
      <c r="D20" s="2330"/>
      <c r="E20" s="1046"/>
      <c r="F20" s="1046"/>
      <c r="G20" s="1046"/>
      <c r="H20" s="1046"/>
      <c r="I20" s="1046"/>
      <c r="J20" s="1814">
        <f>IF(AND(G19&gt;0,J19&gt;0),(((J19-G19)/G19)),"Enter Budget Data")</f>
        <v>0.4846833420688697</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t="s">
        <v>2091</v>
      </c>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55" sqref="D5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Taft SD 90</v>
      </c>
    </row>
    <row r="65" spans="2:2" x14ac:dyDescent="0.2">
      <c r="B65" s="1070">
        <f>COVER!A13</f>
        <v>56099090002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55" sqref="D5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55" sqref="D5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55" sqref="D5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2998478</v>
      </c>
      <c r="C8" s="1815">
        <f>'Acct Summary 7-8'!D8</f>
        <v>278835</v>
      </c>
      <c r="D8" s="1815">
        <f>'Acct Summary 7-8'!F8</f>
        <v>116225</v>
      </c>
      <c r="E8" s="1815">
        <f>'Acct Summary 7-8'!I8</f>
        <v>7812</v>
      </c>
      <c r="F8" s="1815">
        <f>SUM(B8:E8)</f>
        <v>3401350</v>
      </c>
    </row>
    <row r="9" spans="1:8" s="1079" customFormat="1" ht="14.25" customHeight="1" thickBot="1" x14ac:dyDescent="0.25">
      <c r="A9" s="1078" t="s">
        <v>1369</v>
      </c>
      <c r="B9" s="1816">
        <f>'Acct Summary 7-8'!C17</f>
        <v>2616685</v>
      </c>
      <c r="C9" s="1816">
        <f>'Acct Summary 7-8'!D17</f>
        <v>208922</v>
      </c>
      <c r="D9" s="1816">
        <f>'Acct Summary 7-8'!F17</f>
        <v>162634</v>
      </c>
      <c r="E9" s="1815"/>
      <c r="F9" s="1815">
        <f>SUM(B9:E9)</f>
        <v>2988241</v>
      </c>
    </row>
    <row r="10" spans="1:8" s="1079" customFormat="1" ht="14.25" thickTop="1" thickBot="1" x14ac:dyDescent="0.25">
      <c r="A10" s="1080" t="s">
        <v>1370</v>
      </c>
      <c r="B10" s="1817">
        <f>(B8-B9)</f>
        <v>381793</v>
      </c>
      <c r="C10" s="1817">
        <f>(C8-C9)</f>
        <v>69913</v>
      </c>
      <c r="D10" s="1817">
        <f>(D8-D9)</f>
        <v>-46409</v>
      </c>
      <c r="E10" s="1816">
        <f>(E8-E9)</f>
        <v>7812</v>
      </c>
      <c r="F10" s="1818">
        <f>SUM(F8-F9)</f>
        <v>413109</v>
      </c>
    </row>
    <row r="11" spans="1:8" s="1079" customFormat="1" ht="14.25" thickTop="1" thickBot="1" x14ac:dyDescent="0.25">
      <c r="A11" s="1081" t="s">
        <v>1985</v>
      </c>
      <c r="B11" s="1819">
        <f>'Acct Summary 7-8'!C81</f>
        <v>1547646</v>
      </c>
      <c r="C11" s="1819">
        <f>'Acct Summary 7-8'!D81</f>
        <v>380512</v>
      </c>
      <c r="D11" s="1819">
        <f>'Acct Summary 7-8'!F81</f>
        <v>63663</v>
      </c>
      <c r="E11" s="1819">
        <f>'Acct Summary 7-8'!I81</f>
        <v>54706</v>
      </c>
      <c r="F11" s="1820">
        <f>SUM(B11:E11)</f>
        <v>2046527</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2" colorId="8" zoomScale="110" zoomScaleNormal="110" workbookViewId="0">
      <selection activeCell="D55" sqref="D5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56099090002</v>
      </c>
    </row>
    <row r="3" spans="1:2" x14ac:dyDescent="0.2">
      <c r="A3" t="s">
        <v>956</v>
      </c>
      <c r="B3" s="138" t="str">
        <f>COVER!A15</f>
        <v>WILL</v>
      </c>
    </row>
    <row r="4" spans="1:2" x14ac:dyDescent="0.2">
      <c r="A4" t="s">
        <v>1007</v>
      </c>
      <c r="B4" s="138" t="str">
        <f>COVER!A17</f>
        <v>Taft SD 90</v>
      </c>
    </row>
    <row r="5" spans="1:2" x14ac:dyDescent="0.2">
      <c r="A5" t="s">
        <v>704</v>
      </c>
      <c r="B5" s="138" t="str">
        <f>COVER!A38</f>
        <v>JAMES CALABRESE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JOHN MICHALESKO</v>
      </c>
    </row>
    <row r="18" spans="1:2" x14ac:dyDescent="0.2">
      <c r="A18" t="s">
        <v>1150</v>
      </c>
      <c r="B18" s="138" t="str">
        <f>COVER!T17</f>
        <v>323 SPRINGFIELD AVE</v>
      </c>
    </row>
    <row r="19" spans="1:2" x14ac:dyDescent="0.2">
      <c r="A19" t="s">
        <v>886</v>
      </c>
      <c r="B19" s="138">
        <f>COVER!T25</f>
        <v>0</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33420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1547646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1547646</v>
      </c>
      <c r="D92" s="2" t="str">
        <f t="shared" si="0"/>
        <v>Error?</v>
      </c>
    </row>
    <row r="93" spans="1:4" x14ac:dyDescent="0.2">
      <c r="A93" s="5">
        <v>32</v>
      </c>
      <c r="B93" s="138">
        <f>'Assets-Liab 5-6'!C41</f>
        <v>1547646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380512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380512</v>
      </c>
      <c r="D123" s="2" t="str">
        <f t="shared" si="0"/>
        <v>Error?</v>
      </c>
    </row>
    <row r="124" spans="1:4" x14ac:dyDescent="0.2">
      <c r="A124" s="5">
        <v>63</v>
      </c>
      <c r="B124" s="138">
        <f>'Assets-Liab 5-6'!D41</f>
        <v>380512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36402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36402</v>
      </c>
      <c r="D140" s="2" t="str">
        <f t="shared" si="1"/>
        <v>Error?</v>
      </c>
    </row>
    <row r="141" spans="1:4" x14ac:dyDescent="0.2">
      <c r="A141" s="5">
        <v>80</v>
      </c>
      <c r="B141" s="138">
        <f>'Assets-Liab 5-6'!E41</f>
        <v>36402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63663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63663</v>
      </c>
      <c r="D170" s="2" t="str">
        <f t="shared" si="1"/>
        <v>Error?</v>
      </c>
    </row>
    <row r="171" spans="1:4" x14ac:dyDescent="0.2">
      <c r="A171" s="5">
        <v>110</v>
      </c>
      <c r="B171" s="138">
        <f>'Assets-Liab 5-6'!F41</f>
        <v>63663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404</v>
      </c>
      <c r="D189" s="2" t="str">
        <f t="shared" si="1"/>
        <v>Error?</v>
      </c>
    </row>
    <row r="190" spans="1:4" x14ac:dyDescent="0.2">
      <c r="A190" s="5">
        <v>129</v>
      </c>
      <c r="B190" s="138">
        <f>'Assets-Liab 5-6'!G41</f>
        <v>404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44913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44913</v>
      </c>
      <c r="D212" s="2" t="str">
        <f t="shared" si="2"/>
        <v>Error?</v>
      </c>
    </row>
    <row r="213" spans="1:4" x14ac:dyDescent="0.2">
      <c r="A213" s="12">
        <v>152</v>
      </c>
      <c r="B213" s="138">
        <f>'Assets-Liab 5-6'!H41</f>
        <v>44913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12500</v>
      </c>
      <c r="D273" s="2" t="str">
        <f t="shared" si="3"/>
        <v>Error?</v>
      </c>
    </row>
    <row r="274" spans="1:4" x14ac:dyDescent="0.2">
      <c r="A274" s="5">
        <v>213</v>
      </c>
      <c r="B274" s="138">
        <f>'Assets-Liab 5-6'!M17</f>
        <v>7076720</v>
      </c>
      <c r="D274" s="2" t="str">
        <f t="shared" si="3"/>
        <v>Error?</v>
      </c>
    </row>
    <row r="275" spans="1:4" x14ac:dyDescent="0.2">
      <c r="A275" s="5">
        <v>214</v>
      </c>
      <c r="B275" s="138">
        <f>'Assets-Liab 5-6'!M18</f>
        <v>412333</v>
      </c>
      <c r="D275" s="2" t="str">
        <f t="shared" si="3"/>
        <v>Error?</v>
      </c>
    </row>
    <row r="276" spans="1:4" x14ac:dyDescent="0.2">
      <c r="A276" s="5">
        <v>215</v>
      </c>
      <c r="B276" s="138">
        <f>'Assets-Liab 5-6'!M19</f>
        <v>812058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8313611</v>
      </c>
      <c r="C279" s="2" t="s">
        <v>573</v>
      </c>
      <c r="D279" s="2" t="str">
        <f t="shared" si="3"/>
        <v>Error?</v>
      </c>
    </row>
    <row r="280" spans="1:4" x14ac:dyDescent="0.2">
      <c r="A280" s="5">
        <v>219</v>
      </c>
      <c r="B280" s="138">
        <f>'Assets-Liab 5-6'!M40</f>
        <v>8313611</v>
      </c>
      <c r="D280" s="2" t="str">
        <f t="shared" si="3"/>
        <v>Error?</v>
      </c>
    </row>
    <row r="281" spans="1:4" x14ac:dyDescent="0.2">
      <c r="A281" s="5">
        <v>220</v>
      </c>
      <c r="B281" s="138">
        <f>'Assets-Liab 5-6'!M41</f>
        <v>8313611</v>
      </c>
      <c r="C281" s="2" t="s">
        <v>573</v>
      </c>
      <c r="D281" s="2" t="str">
        <f t="shared" si="3"/>
        <v>Error?</v>
      </c>
    </row>
    <row r="282" spans="1:4" x14ac:dyDescent="0.2">
      <c r="A282" s="5">
        <v>221</v>
      </c>
      <c r="B282" s="138">
        <f>'Assets-Liab 5-6'!N21</f>
        <v>36402</v>
      </c>
      <c r="D282" s="2" t="str">
        <f t="shared" si="3"/>
        <v>Error?</v>
      </c>
    </row>
    <row r="283" spans="1:4" x14ac:dyDescent="0.2">
      <c r="A283" s="5">
        <v>222</v>
      </c>
      <c r="B283" s="138">
        <f>'Assets-Liab 5-6'!N22</f>
        <v>3963598</v>
      </c>
      <c r="D283" s="2" t="str">
        <f t="shared" si="3"/>
        <v>Error?</v>
      </c>
    </row>
    <row r="284" spans="1:4" x14ac:dyDescent="0.2">
      <c r="A284" s="5">
        <v>223</v>
      </c>
      <c r="B284" s="138">
        <f>'Assets-Liab 5-6'!N23</f>
        <v>4000000</v>
      </c>
      <c r="C284" s="2" t="s">
        <v>573</v>
      </c>
      <c r="D284" s="2" t="str">
        <f t="shared" si="3"/>
        <v>Error?</v>
      </c>
    </row>
    <row r="285" spans="1:4" x14ac:dyDescent="0.2">
      <c r="A285" s="5">
        <v>224</v>
      </c>
      <c r="B285" s="138">
        <f>'Assets-Liab 5-6'!N36</f>
        <v>4000000</v>
      </c>
      <c r="D285" s="2" t="str">
        <f t="shared" si="3"/>
        <v>Error?</v>
      </c>
    </row>
    <row r="286" spans="1:4" x14ac:dyDescent="0.2">
      <c r="A286" s="10">
        <v>225</v>
      </c>
      <c r="D286" s="2" t="str">
        <f t="shared" si="3"/>
        <v>OK</v>
      </c>
    </row>
    <row r="287" spans="1:4" x14ac:dyDescent="0.2">
      <c r="A287" s="5">
        <v>226</v>
      </c>
      <c r="B287" s="138">
        <f>'Assets-Liab 5-6'!N37</f>
        <v>4000000</v>
      </c>
      <c r="C287" s="2" t="s">
        <v>573</v>
      </c>
      <c r="D287" s="2" t="str">
        <f t="shared" si="3"/>
        <v>Error?</v>
      </c>
    </row>
    <row r="288" spans="1:4" x14ac:dyDescent="0.2">
      <c r="A288" s="5">
        <v>227</v>
      </c>
      <c r="B288" s="138">
        <f>'Assets-Liab 5-6'!N41</f>
        <v>4000000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917218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52309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1034690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27112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66419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93531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19701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19701</v>
      </c>
      <c r="C731" s="2" t="s">
        <v>573</v>
      </c>
      <c r="D731" s="2" t="str">
        <f t="shared" si="10"/>
        <v>Error?</v>
      </c>
    </row>
    <row r="732" spans="1:4" x14ac:dyDescent="0.2">
      <c r="A732" s="5">
        <v>671</v>
      </c>
      <c r="B732" s="138">
        <f>'Expenditures 15-22'!C49</f>
        <v>1200</v>
      </c>
      <c r="D732" s="2" t="str">
        <f t="shared" si="10"/>
        <v>Error?</v>
      </c>
    </row>
    <row r="733" spans="1:4" x14ac:dyDescent="0.2">
      <c r="A733" s="5">
        <v>672</v>
      </c>
      <c r="B733" s="138">
        <f>'Expenditures 15-22'!C50</f>
        <v>131454</v>
      </c>
      <c r="D733" s="2" t="str">
        <f t="shared" si="10"/>
        <v>Error?</v>
      </c>
    </row>
    <row r="734" spans="1:4" x14ac:dyDescent="0.2">
      <c r="A734" s="5">
        <v>673</v>
      </c>
      <c r="B734" s="138">
        <f>'Expenditures 15-22'!C53</f>
        <v>132654</v>
      </c>
      <c r="C734" s="2" t="s">
        <v>573</v>
      </c>
      <c r="D734" s="2" t="str">
        <f t="shared" si="10"/>
        <v>Error?</v>
      </c>
    </row>
    <row r="735" spans="1:4" x14ac:dyDescent="0.2">
      <c r="A735" s="5">
        <v>674</v>
      </c>
      <c r="B735" s="138">
        <f>'Expenditures 15-22'!C55</f>
        <v>119643</v>
      </c>
      <c r="D735" s="2" t="str">
        <f t="shared" si="10"/>
        <v>Error?</v>
      </c>
    </row>
    <row r="736" spans="1:4" x14ac:dyDescent="0.2">
      <c r="A736" s="5">
        <v>675</v>
      </c>
      <c r="B736" s="138">
        <f>'Expenditures 15-22'!C56</f>
        <v>19610</v>
      </c>
      <c r="D736" s="2" t="str">
        <f t="shared" si="10"/>
        <v>Error?</v>
      </c>
    </row>
    <row r="737" spans="1:4" x14ac:dyDescent="0.2">
      <c r="A737" s="5">
        <v>676</v>
      </c>
      <c r="B737" s="138">
        <f>'Expenditures 15-22'!C57</f>
        <v>139253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17198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7923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25121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410260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1444950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229892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660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233420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9550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9550</v>
      </c>
      <c r="C785" s="2" t="s">
        <v>573</v>
      </c>
      <c r="D785" s="2" t="str">
        <f t="shared" si="11"/>
        <v>Error?</v>
      </c>
    </row>
    <row r="786" spans="1:4" x14ac:dyDescent="0.2">
      <c r="A786" s="5">
        <v>725</v>
      </c>
      <c r="B786" s="138">
        <f>'Expenditures 15-22'!D44</f>
        <v>583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583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706</v>
      </c>
      <c r="D791" s="2" t="str">
        <f t="shared" si="11"/>
        <v>Error?</v>
      </c>
    </row>
    <row r="792" spans="1:4" x14ac:dyDescent="0.2">
      <c r="A792" s="5">
        <v>731</v>
      </c>
      <c r="B792" s="138">
        <f>'Expenditures 15-22'!D53</f>
        <v>706</v>
      </c>
      <c r="C792" s="2" t="s">
        <v>573</v>
      </c>
      <c r="D792" s="2" t="str">
        <f t="shared" si="11"/>
        <v>Error?</v>
      </c>
    </row>
    <row r="793" spans="1:4" x14ac:dyDescent="0.2">
      <c r="A793" s="5">
        <v>732</v>
      </c>
      <c r="B793" s="138">
        <f>'Expenditures 15-22'!D55</f>
        <v>19818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19818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30657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264077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18692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7300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27831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482</v>
      </c>
      <c r="D839" s="2" t="str">
        <f t="shared" si="12"/>
        <v>Error?</v>
      </c>
    </row>
    <row r="840" spans="1:4" x14ac:dyDescent="0.2">
      <c r="A840" s="5">
        <v>779</v>
      </c>
      <c r="B840" s="138">
        <f>'Expenditures 15-22'!E39</f>
        <v>9100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9582</v>
      </c>
      <c r="C843" s="2" t="s">
        <v>573</v>
      </c>
      <c r="D843" s="2" t="str">
        <f t="shared" si="12"/>
        <v>Error?</v>
      </c>
    </row>
    <row r="844" spans="1:4" x14ac:dyDescent="0.2">
      <c r="A844" s="5">
        <v>783</v>
      </c>
      <c r="B844" s="138">
        <f>'Expenditures 15-22'!E44</f>
        <v>10648</v>
      </c>
      <c r="D844" s="2" t="str">
        <f t="shared" si="12"/>
        <v>Error?</v>
      </c>
    </row>
    <row r="845" spans="1:4" x14ac:dyDescent="0.2">
      <c r="A845" s="5">
        <v>784</v>
      </c>
      <c r="B845" s="138">
        <f>'Expenditures 15-22'!E45</f>
        <v>13708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24356</v>
      </c>
      <c r="C847" s="2" t="s">
        <v>573</v>
      </c>
      <c r="D847" s="2" t="str">
        <f t="shared" si="12"/>
        <v>Error?</v>
      </c>
    </row>
    <row r="848" spans="1:4" x14ac:dyDescent="0.2">
      <c r="A848" s="5">
        <v>787</v>
      </c>
      <c r="B848" s="138">
        <f>'Expenditures 15-22'!E49</f>
        <v>45096</v>
      </c>
      <c r="D848" s="2" t="str">
        <f t="shared" si="12"/>
        <v>Error?</v>
      </c>
    </row>
    <row r="849" spans="1:4" x14ac:dyDescent="0.2">
      <c r="A849" s="5">
        <v>788</v>
      </c>
      <c r="B849" s="138">
        <f>'Expenditures 15-22'!E50</f>
        <v>4519</v>
      </c>
      <c r="D849" s="2" t="str">
        <f t="shared" si="12"/>
        <v>Error?</v>
      </c>
    </row>
    <row r="850" spans="1:4" x14ac:dyDescent="0.2">
      <c r="A850" s="5">
        <v>789</v>
      </c>
      <c r="B850" s="138">
        <f>'Expenditures 15-22'!E53</f>
        <v>49615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11492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39074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50566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134119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491281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7564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2396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60029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1226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1226</v>
      </c>
      <c r="C901" s="2" t="s">
        <v>573</v>
      </c>
      <c r="D901" s="2" t="str">
        <f t="shared" si="13"/>
        <v>Error?</v>
      </c>
    </row>
    <row r="902" spans="1:4" x14ac:dyDescent="0.2">
      <c r="A902" s="5">
        <v>841</v>
      </c>
      <c r="B902" s="138">
        <f>'Expenditures 15-22'!F44</f>
        <v>566</v>
      </c>
      <c r="D902" s="2" t="str">
        <f t="shared" si="13"/>
        <v>Error?</v>
      </c>
    </row>
    <row r="903" spans="1:4" x14ac:dyDescent="0.2">
      <c r="A903" s="5">
        <v>842</v>
      </c>
      <c r="B903" s="138">
        <f>'Expenditures 15-22'!F45</f>
        <v>6386</v>
      </c>
      <c r="D903" s="2" t="str">
        <f t="shared" si="13"/>
        <v>Error?</v>
      </c>
    </row>
    <row r="904" spans="1:4" x14ac:dyDescent="0.2">
      <c r="A904" s="5">
        <v>843</v>
      </c>
      <c r="B904" s="138">
        <f>'Expenditures 15-22'!F46</f>
        <v>1133</v>
      </c>
      <c r="D904" s="2" t="str">
        <f t="shared" si="13"/>
        <v>Error?</v>
      </c>
    </row>
    <row r="905" spans="1:4" x14ac:dyDescent="0.2">
      <c r="A905" s="5">
        <v>844</v>
      </c>
      <c r="B905" s="138">
        <f>'Expenditures 15-22'!F47</f>
        <v>8085</v>
      </c>
      <c r="C905" s="2" t="s">
        <v>573</v>
      </c>
      <c r="D905" s="2" t="str">
        <f t="shared" si="13"/>
        <v>Error?</v>
      </c>
    </row>
    <row r="906" spans="1:4" x14ac:dyDescent="0.2">
      <c r="A906" s="5">
        <v>845</v>
      </c>
      <c r="B906" s="138">
        <f>'Expenditures 15-22'!F49</f>
        <v>275</v>
      </c>
      <c r="D906" s="2" t="str">
        <f t="shared" si="13"/>
        <v>Error?</v>
      </c>
    </row>
    <row r="907" spans="1:4" x14ac:dyDescent="0.2">
      <c r="A907" s="5">
        <v>846</v>
      </c>
      <c r="B907" s="138">
        <f>'Expenditures 15-22'!F50</f>
        <v>724</v>
      </c>
      <c r="D907" s="2" t="str">
        <f t="shared" si="13"/>
        <v>Error?</v>
      </c>
    </row>
    <row r="908" spans="1:4" x14ac:dyDescent="0.2">
      <c r="A908" s="5">
        <v>847</v>
      </c>
      <c r="B908" s="138">
        <f>'Expenditures 15-22'!F53</f>
        <v>999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1548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1548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11858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71887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1731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1827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6089</v>
      </c>
      <c r="D1022" s="2" t="str">
        <f t="shared" si="14"/>
        <v>Error?</v>
      </c>
    </row>
    <row r="1023" spans="1:4" x14ac:dyDescent="0.2">
      <c r="A1023" s="5">
        <v>962</v>
      </c>
      <c r="B1023" s="138">
        <f>'Expenditures 15-22'!H50</f>
        <v>1344</v>
      </c>
      <c r="D1023" s="2" t="str">
        <f t="shared" ref="D1023:D1086" si="15">IF(ISBLANK(B1023),"OK",IF(A1023-B1023=0,"OK","Error?"))</f>
        <v>Error?</v>
      </c>
    </row>
    <row r="1024" spans="1:4" x14ac:dyDescent="0.2">
      <c r="A1024" s="5">
        <v>963</v>
      </c>
      <c r="B1024" s="138">
        <f>'Expenditures 15-22'!H53</f>
        <v>7433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592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592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8025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331314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341166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1173402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64396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1357797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28820</v>
      </c>
      <c r="C1111" s="2" t="s">
        <v>573</v>
      </c>
      <c r="D1111" s="2" t="str">
        <f t="shared" si="16"/>
        <v>Error?</v>
      </c>
    </row>
    <row r="1112" spans="1:4" x14ac:dyDescent="0.2">
      <c r="A1112" s="5">
        <v>1051</v>
      </c>
      <c r="B1112" s="138">
        <f>'Expenditures 15-22'!K39</f>
        <v>9100</v>
      </c>
      <c r="C1112" s="2" t="s">
        <v>573</v>
      </c>
      <c r="D1112" s="2" t="str">
        <f t="shared" si="16"/>
        <v>Error?</v>
      </c>
    </row>
    <row r="1113" spans="1:4" x14ac:dyDescent="0.2">
      <c r="A1113" s="5">
        <v>1052</v>
      </c>
      <c r="B1113" s="138">
        <f>'Expenditures 15-22'!K40</f>
        <v>75969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113889</v>
      </c>
      <c r="C1115" s="2" t="s">
        <v>573</v>
      </c>
      <c r="D1115" s="2" t="str">
        <f t="shared" si="16"/>
        <v>Error?</v>
      </c>
    </row>
    <row r="1116" spans="1:4" x14ac:dyDescent="0.2">
      <c r="A1116" s="5">
        <v>1055</v>
      </c>
      <c r="B1116" s="138">
        <f>'Expenditures 15-22'!K44</f>
        <v>11797</v>
      </c>
      <c r="C1116" s="2" t="s">
        <v>573</v>
      </c>
      <c r="D1116" s="2" t="str">
        <f t="shared" si="16"/>
        <v>Error?</v>
      </c>
    </row>
    <row r="1117" spans="1:4" x14ac:dyDescent="0.2">
      <c r="A1117" s="5">
        <v>1056</v>
      </c>
      <c r="B1117" s="138">
        <f>'Expenditures 15-22'!K45</f>
        <v>43119</v>
      </c>
      <c r="C1117" s="2" t="s">
        <v>573</v>
      </c>
      <c r="D1117" s="2" t="str">
        <f t="shared" si="16"/>
        <v>Error?</v>
      </c>
    </row>
    <row r="1118" spans="1:4" x14ac:dyDescent="0.2">
      <c r="A1118" s="5">
        <v>1057</v>
      </c>
      <c r="B1118" s="138">
        <f>'Expenditures 15-22'!K46</f>
        <v>1133</v>
      </c>
      <c r="C1118" s="2" t="s">
        <v>573</v>
      </c>
      <c r="D1118" s="2" t="str">
        <f t="shared" si="16"/>
        <v>Error?</v>
      </c>
    </row>
    <row r="1119" spans="1:4" x14ac:dyDescent="0.2">
      <c r="A1119" s="5">
        <v>1058</v>
      </c>
      <c r="B1119" s="138">
        <f>'Expenditures 15-22'!K47</f>
        <v>56049</v>
      </c>
      <c r="C1119" s="2" t="s">
        <v>573</v>
      </c>
      <c r="D1119" s="2" t="str">
        <f t="shared" si="16"/>
        <v>Error?</v>
      </c>
    </row>
    <row r="1120" spans="1:4" x14ac:dyDescent="0.2">
      <c r="A1120" s="5">
        <v>1059</v>
      </c>
      <c r="B1120" s="138">
        <f>'Expenditures 15-22'!K49</f>
        <v>52660</v>
      </c>
      <c r="C1120" s="2" t="s">
        <v>573</v>
      </c>
      <c r="D1120" s="2" t="str">
        <f t="shared" si="16"/>
        <v>Error?</v>
      </c>
    </row>
    <row r="1121" spans="1:4" x14ac:dyDescent="0.2">
      <c r="A1121" s="5">
        <v>1060</v>
      </c>
      <c r="B1121" s="138">
        <f>'Expenditures 15-22'!K50</f>
        <v>138747</v>
      </c>
      <c r="C1121" s="2" t="s">
        <v>573</v>
      </c>
      <c r="D1121" s="2" t="str">
        <f t="shared" si="16"/>
        <v>Error?</v>
      </c>
    </row>
    <row r="1122" spans="1:4" x14ac:dyDescent="0.2">
      <c r="A1122" s="5">
        <v>1061</v>
      </c>
      <c r="B1122" s="138">
        <f>'Expenditures 15-22'!K53</f>
        <v>191407</v>
      </c>
      <c r="C1122" s="2" t="s">
        <v>573</v>
      </c>
      <c r="D1122" s="2" t="str">
        <f t="shared" si="16"/>
        <v>Error?</v>
      </c>
    </row>
    <row r="1123" spans="1:4" x14ac:dyDescent="0.2">
      <c r="A1123" s="5">
        <v>1062</v>
      </c>
      <c r="B1123" s="138">
        <f>'Expenditures 15-22'!K55</f>
        <v>139461</v>
      </c>
      <c r="C1123" s="2" t="s">
        <v>573</v>
      </c>
      <c r="D1123" s="2" t="str">
        <f t="shared" si="16"/>
        <v>Error?</v>
      </c>
    </row>
    <row r="1124" spans="1:4" x14ac:dyDescent="0.2">
      <c r="A1124" s="5">
        <v>1063</v>
      </c>
      <c r="B1124" s="138">
        <f>'Expenditures 15-22'!K56</f>
        <v>19610</v>
      </c>
      <c r="C1124" s="2" t="s">
        <v>573</v>
      </c>
      <c r="D1124" s="2" t="str">
        <f t="shared" si="16"/>
        <v>Error?</v>
      </c>
    </row>
    <row r="1125" spans="1:4" x14ac:dyDescent="0.2">
      <c r="A1125" s="5">
        <v>1064</v>
      </c>
      <c r="B1125" s="138">
        <f>'Expenditures 15-22'!K57</f>
        <v>159071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30830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46997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77827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598243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660645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2616685</v>
      </c>
      <c r="C1152" s="2" t="s">
        <v>573</v>
      </c>
      <c r="D1152" s="2" t="str">
        <f t="shared" si="17"/>
        <v>Error?</v>
      </c>
    </row>
    <row r="1153" spans="1:4" x14ac:dyDescent="0.2">
      <c r="A1153" s="5">
        <v>1092</v>
      </c>
      <c r="B1153" s="138">
        <f>'Expenditures 15-22'!K115</f>
        <v>381793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21360</v>
      </c>
      <c r="D1221" s="2" t="str">
        <f t="shared" si="18"/>
        <v>Error?</v>
      </c>
    </row>
    <row r="1222" spans="1:4" x14ac:dyDescent="0.2">
      <c r="A1222" s="10">
        <v>1161</v>
      </c>
      <c r="D1222" s="2" t="str">
        <f t="shared" si="18"/>
        <v>OK</v>
      </c>
    </row>
    <row r="1223" spans="1:4" x14ac:dyDescent="0.2">
      <c r="A1223" s="5">
        <v>1162</v>
      </c>
      <c r="B1223" s="138">
        <f>'Expenditures 15-22'!C127</f>
        <v>21360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21360</v>
      </c>
      <c r="C1225" s="2" t="s">
        <v>573</v>
      </c>
      <c r="D1225" s="2" t="str">
        <f t="shared" si="18"/>
        <v>Error?</v>
      </c>
    </row>
    <row r="1226" spans="1:4" x14ac:dyDescent="0.2">
      <c r="A1226" s="5">
        <v>1165</v>
      </c>
      <c r="B1226" s="138">
        <f>'Expenditures 15-22'!C151</f>
        <v>21360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2295</v>
      </c>
      <c r="D1229" s="2" t="str">
        <f t="shared" si="18"/>
        <v>Error?</v>
      </c>
    </row>
    <row r="1230" spans="1:4" x14ac:dyDescent="0.2">
      <c r="A1230" s="10">
        <v>1169</v>
      </c>
      <c r="D1230" s="2" t="str">
        <f t="shared" si="18"/>
        <v>OK</v>
      </c>
    </row>
    <row r="1231" spans="1:4" x14ac:dyDescent="0.2">
      <c r="A1231" s="5">
        <v>1170</v>
      </c>
      <c r="B1231" s="138">
        <f>'Expenditures 15-22'!D127</f>
        <v>2295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2295</v>
      </c>
      <c r="C1233" s="2" t="s">
        <v>573</v>
      </c>
      <c r="D1233" s="2" t="str">
        <f t="shared" si="18"/>
        <v>Error?</v>
      </c>
    </row>
    <row r="1234" spans="1:4" x14ac:dyDescent="0.2">
      <c r="A1234" s="5">
        <v>1173</v>
      </c>
      <c r="B1234" s="138">
        <f>'Expenditures 15-22'!D151</f>
        <v>2295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118744</v>
      </c>
      <c r="D1237" s="2" t="str">
        <f t="shared" si="18"/>
        <v>Error?</v>
      </c>
    </row>
    <row r="1238" spans="1:4" x14ac:dyDescent="0.2">
      <c r="A1238" s="10">
        <v>1177</v>
      </c>
      <c r="D1238" s="2" t="str">
        <f t="shared" si="18"/>
        <v>OK</v>
      </c>
    </row>
    <row r="1239" spans="1:4" x14ac:dyDescent="0.2">
      <c r="A1239" s="5">
        <v>1178</v>
      </c>
      <c r="B1239" s="138">
        <f>'Expenditures 15-22'!E127</f>
        <v>118744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118744</v>
      </c>
      <c r="C1241" s="2" t="s">
        <v>573</v>
      </c>
      <c r="D1241" s="2" t="str">
        <f t="shared" si="18"/>
        <v>Error?</v>
      </c>
    </row>
    <row r="1242" spans="1:4" x14ac:dyDescent="0.2">
      <c r="A1242" s="5">
        <v>1181</v>
      </c>
      <c r="B1242" s="138">
        <f>'Expenditures 15-22'!E151</f>
        <v>118744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58334</v>
      </c>
      <c r="D1245" s="2" t="str">
        <f t="shared" si="18"/>
        <v>Error?</v>
      </c>
    </row>
    <row r="1246" spans="1:4" x14ac:dyDescent="0.2">
      <c r="A1246" s="10">
        <v>1185</v>
      </c>
      <c r="D1246" s="2" t="str">
        <f t="shared" si="18"/>
        <v>OK</v>
      </c>
    </row>
    <row r="1247" spans="1:4" x14ac:dyDescent="0.2">
      <c r="A1247" s="5">
        <v>1186</v>
      </c>
      <c r="B1247" s="138">
        <f>'Expenditures 15-22'!F127</f>
        <v>58334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58334</v>
      </c>
      <c r="C1249" s="2" t="s">
        <v>573</v>
      </c>
      <c r="D1249" s="2" t="str">
        <f t="shared" si="18"/>
        <v>Error?</v>
      </c>
    </row>
    <row r="1250" spans="1:4" x14ac:dyDescent="0.2">
      <c r="A1250" s="5">
        <v>1189</v>
      </c>
      <c r="B1250" s="138">
        <f>'Expenditures 15-22'!F151</f>
        <v>58334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8189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8189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8189</v>
      </c>
      <c r="C1258" s="2" t="s">
        <v>573</v>
      </c>
      <c r="D1258" s="2" t="str">
        <f t="shared" si="18"/>
        <v>Error?</v>
      </c>
    </row>
    <row r="1259" spans="1:4" x14ac:dyDescent="0.2">
      <c r="A1259" s="5">
        <v>1198</v>
      </c>
      <c r="B1259" s="138">
        <f>'Expenditures 15-22'!G151</f>
        <v>8189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208922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208922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208922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208922</v>
      </c>
      <c r="C1288" s="2" t="s">
        <v>573</v>
      </c>
      <c r="D1288" s="2" t="str">
        <f t="shared" si="19"/>
        <v>Error?</v>
      </c>
    </row>
    <row r="1289" spans="1:4" x14ac:dyDescent="0.2">
      <c r="A1289" s="5">
        <v>1228</v>
      </c>
      <c r="B1289" s="138">
        <f>'Expenditures 15-22'!K152</f>
        <v>69913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153200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215000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368200</v>
      </c>
      <c r="C1317" s="2" t="s">
        <v>573</v>
      </c>
      <c r="D1317" s="2" t="str">
        <f t="shared" si="19"/>
        <v>Error?</v>
      </c>
    </row>
    <row r="1318" spans="1:4" x14ac:dyDescent="0.2">
      <c r="A1318" s="5">
        <v>1257</v>
      </c>
      <c r="B1318" s="138">
        <f>'Expenditures 15-22'!H174</f>
        <v>368200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153200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215000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368200</v>
      </c>
      <c r="C1331" s="2" t="s">
        <v>573</v>
      </c>
      <c r="D1331" s="2" t="str">
        <f t="shared" si="19"/>
        <v>Error?</v>
      </c>
    </row>
    <row r="1332" spans="1:4" x14ac:dyDescent="0.2">
      <c r="A1332" s="5">
        <v>1271</v>
      </c>
      <c r="B1332" s="138">
        <f>'Expenditures 15-22'!K174</f>
        <v>368200</v>
      </c>
      <c r="C1332" s="2" t="s">
        <v>573</v>
      </c>
      <c r="D1332" s="2" t="str">
        <f t="shared" si="19"/>
        <v>Error?</v>
      </c>
    </row>
    <row r="1333" spans="1:4" x14ac:dyDescent="0.2">
      <c r="A1333" s="5">
        <v>1272</v>
      </c>
      <c r="B1333" s="138">
        <f>'Expenditures 15-22'!K175</f>
        <v>-1389</v>
      </c>
      <c r="C1333" s="2" t="s">
        <v>573</v>
      </c>
      <c r="D1333" s="2" t="str">
        <f t="shared" si="19"/>
        <v>Error?</v>
      </c>
    </row>
    <row r="1334" spans="1:4" x14ac:dyDescent="0.2">
      <c r="A1334" s="10">
        <v>1273</v>
      </c>
      <c r="D1334" s="2" t="str">
        <f t="shared" si="19"/>
        <v>OK</v>
      </c>
    </row>
    <row r="1335" spans="1:4" x14ac:dyDescent="0.2">
      <c r="A1335" s="5">
        <v>1274</v>
      </c>
      <c r="B1335" s="138">
        <f>'Expenditures 15-22'!C182</f>
        <v>125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125</v>
      </c>
      <c r="C1339" s="2" t="s">
        <v>573</v>
      </c>
      <c r="D1339" s="2" t="str">
        <f t="shared" si="19"/>
        <v>Error?</v>
      </c>
    </row>
    <row r="1340" spans="1:4" x14ac:dyDescent="0.2">
      <c r="A1340" s="5">
        <v>1279</v>
      </c>
      <c r="B1340" s="138">
        <f>'Expenditures 15-22'!C210</f>
        <v>125</v>
      </c>
      <c r="C1340" s="2" t="s">
        <v>573</v>
      </c>
      <c r="D1340" s="2" t="str">
        <f t="shared" si="19"/>
        <v>Error?</v>
      </c>
    </row>
    <row r="1341" spans="1:4" x14ac:dyDescent="0.2">
      <c r="A1341" s="5">
        <v>1280</v>
      </c>
      <c r="B1341" s="138">
        <f>'Expenditures 15-22'!D182</f>
        <v>16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v>
      </c>
      <c r="C1345" s="2" t="s">
        <v>573</v>
      </c>
      <c r="D1345" s="2" t="str">
        <f t="shared" si="20"/>
        <v>Error?</v>
      </c>
    </row>
    <row r="1346" spans="1:4" x14ac:dyDescent="0.2">
      <c r="A1346" s="5">
        <v>1285</v>
      </c>
      <c r="B1346" s="138">
        <f>'Expenditures 15-22'!D210</f>
        <v>16</v>
      </c>
      <c r="C1346" s="2" t="s">
        <v>573</v>
      </c>
      <c r="D1346" s="2" t="str">
        <f t="shared" si="20"/>
        <v>Error?</v>
      </c>
    </row>
    <row r="1347" spans="1:4" x14ac:dyDescent="0.2">
      <c r="A1347" s="5">
        <v>1286</v>
      </c>
      <c r="B1347" s="138">
        <f>'Expenditures 15-22'!E182</f>
        <v>1860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1860</v>
      </c>
      <c r="C1351" s="2" t="s">
        <v>573</v>
      </c>
      <c r="D1351" s="2" t="str">
        <f t="shared" si="20"/>
        <v>Error?</v>
      </c>
    </row>
    <row r="1352" spans="1:4" x14ac:dyDescent="0.2">
      <c r="A1352" s="5">
        <v>1291</v>
      </c>
      <c r="B1352" s="138">
        <f>'Expenditures 15-22'!E196</f>
        <v>160633</v>
      </c>
      <c r="C1352" s="2" t="s">
        <v>573</v>
      </c>
      <c r="D1352" s="2" t="str">
        <f t="shared" si="20"/>
        <v>Error?</v>
      </c>
    </row>
    <row r="1353" spans="1:4" x14ac:dyDescent="0.2">
      <c r="A1353" s="5">
        <v>1292</v>
      </c>
      <c r="B1353" s="138">
        <f>'Expenditures 15-22'!E210</f>
        <v>162493</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2001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2001</v>
      </c>
      <c r="C1381" s="2" t="s">
        <v>573</v>
      </c>
      <c r="D1381" s="2" t="str">
        <f t="shared" si="20"/>
        <v>Error?</v>
      </c>
    </row>
    <row r="1382" spans="1:4" x14ac:dyDescent="0.2">
      <c r="A1382" s="5">
        <v>1321</v>
      </c>
      <c r="B1382" s="138">
        <f>'Expenditures 15-22'!K196</f>
        <v>160633</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162634</v>
      </c>
      <c r="C1388" s="2" t="s">
        <v>573</v>
      </c>
      <c r="D1388" s="2" t="str">
        <f t="shared" si="20"/>
        <v>Error?</v>
      </c>
    </row>
    <row r="1389" spans="1:4" x14ac:dyDescent="0.2">
      <c r="A1389" s="5">
        <v>1328</v>
      </c>
      <c r="B1389" s="138">
        <f>'Expenditures 15-22'!K211</f>
        <v>-46409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2757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23308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3768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963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4731</v>
      </c>
      <c r="C1417" s="2" t="s">
        <v>573</v>
      </c>
      <c r="D1417" s="2" t="str">
        <f t="shared" si="21"/>
        <v>Error?</v>
      </c>
    </row>
    <row r="1418" spans="1:4" x14ac:dyDescent="0.2">
      <c r="A1418" s="5">
        <v>1357</v>
      </c>
      <c r="B1418" s="138">
        <f>'Expenditures 15-22'!D240</f>
        <v>50</v>
      </c>
      <c r="D1418" s="2" t="str">
        <f t="shared" si="21"/>
        <v>Error?</v>
      </c>
    </row>
    <row r="1419" spans="1:4" x14ac:dyDescent="0.2">
      <c r="A1419" s="5">
        <v>1358</v>
      </c>
      <c r="B1419" s="138">
        <f>'Expenditures 15-22'!D241</f>
        <v>2180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2230</v>
      </c>
      <c r="C1421" s="2" t="s">
        <v>573</v>
      </c>
      <c r="D1421" s="2" t="str">
        <f t="shared" si="21"/>
        <v>Error?</v>
      </c>
    </row>
    <row r="1422" spans="1:4" x14ac:dyDescent="0.2">
      <c r="A1422" s="5">
        <v>1361</v>
      </c>
      <c r="B1422" s="138">
        <f>'Expenditures 15-22'!D245</f>
        <v>92</v>
      </c>
      <c r="D1422" s="2" t="str">
        <f t="shared" si="21"/>
        <v>Error?</v>
      </c>
    </row>
    <row r="1423" spans="1:4" x14ac:dyDescent="0.2">
      <c r="A1423" s="5">
        <v>1362</v>
      </c>
      <c r="B1423" s="138">
        <f>'Expenditures 15-22'!D246</f>
        <v>6050</v>
      </c>
      <c r="D1423" s="2" t="str">
        <f t="shared" si="21"/>
        <v>Error?</v>
      </c>
    </row>
    <row r="1424" spans="1:4" x14ac:dyDescent="0.2">
      <c r="A1424" s="5">
        <v>1363</v>
      </c>
      <c r="B1424" s="138">
        <f>'Expenditures 15-22'!D257</f>
        <v>6142</v>
      </c>
      <c r="C1424" s="2" t="s">
        <v>573</v>
      </c>
      <c r="D1424" s="2" t="str">
        <f t="shared" si="21"/>
        <v>Error?</v>
      </c>
    </row>
    <row r="1425" spans="1:4" x14ac:dyDescent="0.2">
      <c r="A1425" s="5">
        <v>1364</v>
      </c>
      <c r="B1425" s="138">
        <f>'Expenditures 15-22'!D259</f>
        <v>8022</v>
      </c>
      <c r="D1425" s="2" t="str">
        <f t="shared" si="21"/>
        <v>Error?</v>
      </c>
    </row>
    <row r="1426" spans="1:4" x14ac:dyDescent="0.2">
      <c r="A1426" s="5">
        <v>1365</v>
      </c>
      <c r="B1426" s="138">
        <f>'Expenditures 15-22'!D260</f>
        <v>234</v>
      </c>
      <c r="D1426" s="2" t="str">
        <f t="shared" si="21"/>
        <v>Error?</v>
      </c>
    </row>
    <row r="1427" spans="1:4" x14ac:dyDescent="0.2">
      <c r="A1427" s="5">
        <v>1366</v>
      </c>
      <c r="B1427" s="138">
        <f>'Expenditures 15-22'!D261</f>
        <v>8256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3331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1616</v>
      </c>
      <c r="D1431" s="2" t="str">
        <f t="shared" si="21"/>
        <v>Error?</v>
      </c>
    </row>
    <row r="1432" spans="1:4" x14ac:dyDescent="0.2">
      <c r="A1432" s="5">
        <v>1371</v>
      </c>
      <c r="B1432" s="138">
        <f>'Expenditures 15-22'!D267</f>
        <v>2</v>
      </c>
      <c r="D1432" s="2" t="str">
        <f t="shared" si="21"/>
        <v>Error?</v>
      </c>
    </row>
    <row r="1433" spans="1:4" x14ac:dyDescent="0.2">
      <c r="A1433" s="5">
        <v>1372</v>
      </c>
      <c r="B1433" s="138">
        <f>'Expenditures 15-22'!D268</f>
        <v>1092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6041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27400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50708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2757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23308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3768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963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4731</v>
      </c>
      <c r="C1481" s="2" t="s">
        <v>573</v>
      </c>
      <c r="D1481" s="2" t="str">
        <f t="shared" si="22"/>
        <v>Error?</v>
      </c>
    </row>
    <row r="1482" spans="1:4" x14ac:dyDescent="0.2">
      <c r="A1482" s="5">
        <v>1421</v>
      </c>
      <c r="B1482" s="138">
        <f>'Expenditures 15-22'!K240</f>
        <v>50</v>
      </c>
      <c r="C1482" s="2" t="s">
        <v>573</v>
      </c>
      <c r="D1482" s="2" t="str">
        <f t="shared" si="22"/>
        <v>Error?</v>
      </c>
    </row>
    <row r="1483" spans="1:4" x14ac:dyDescent="0.2">
      <c r="A1483" s="5">
        <v>1422</v>
      </c>
      <c r="B1483" s="138">
        <f>'Expenditures 15-22'!K241</f>
        <v>2180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2230</v>
      </c>
      <c r="C1485" s="2" t="s">
        <v>573</v>
      </c>
      <c r="D1485" s="2" t="str">
        <f t="shared" si="22"/>
        <v>Error?</v>
      </c>
    </row>
    <row r="1486" spans="1:4" x14ac:dyDescent="0.2">
      <c r="A1486" s="5">
        <v>1425</v>
      </c>
      <c r="B1486" s="138">
        <f>'Expenditures 15-22'!K245</f>
        <v>92</v>
      </c>
      <c r="C1486" s="2" t="s">
        <v>573</v>
      </c>
      <c r="D1486" s="2" t="str">
        <f t="shared" si="22"/>
        <v>Error?</v>
      </c>
    </row>
    <row r="1487" spans="1:4" x14ac:dyDescent="0.2">
      <c r="A1487" s="5">
        <v>1426</v>
      </c>
      <c r="B1487" s="138">
        <f>'Expenditures 15-22'!K246</f>
        <v>6050</v>
      </c>
      <c r="C1487" s="2" t="s">
        <v>573</v>
      </c>
      <c r="D1487" s="2" t="str">
        <f t="shared" si="22"/>
        <v>Error?</v>
      </c>
    </row>
    <row r="1488" spans="1:4" x14ac:dyDescent="0.2">
      <c r="A1488" s="5">
        <v>1427</v>
      </c>
      <c r="B1488" s="138">
        <f>'Expenditures 15-22'!K257</f>
        <v>6142</v>
      </c>
      <c r="C1488" s="2" t="s">
        <v>573</v>
      </c>
      <c r="D1488" s="2" t="str">
        <f t="shared" si="22"/>
        <v>Error?</v>
      </c>
    </row>
    <row r="1489" spans="1:4" x14ac:dyDescent="0.2">
      <c r="A1489" s="5">
        <v>1428</v>
      </c>
      <c r="B1489" s="138">
        <f>'Expenditures 15-22'!K259</f>
        <v>8022</v>
      </c>
      <c r="C1489" s="2" t="s">
        <v>573</v>
      </c>
      <c r="D1489" s="2" t="str">
        <f t="shared" si="22"/>
        <v>Error?</v>
      </c>
    </row>
    <row r="1490" spans="1:4" x14ac:dyDescent="0.2">
      <c r="A1490" s="5">
        <v>1429</v>
      </c>
      <c r="B1490" s="138">
        <f>'Expenditures 15-22'!K260</f>
        <v>234</v>
      </c>
      <c r="C1490" s="2" t="s">
        <v>573</v>
      </c>
      <c r="D1490" s="2" t="str">
        <f t="shared" si="22"/>
        <v>Error?</v>
      </c>
    </row>
    <row r="1491" spans="1:4" x14ac:dyDescent="0.2">
      <c r="A1491" s="5">
        <v>1430</v>
      </c>
      <c r="B1491" s="138">
        <f>'Expenditures 15-22'!K261</f>
        <v>8256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3331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1616</v>
      </c>
      <c r="C1495" s="2" t="s">
        <v>573</v>
      </c>
      <c r="D1495" s="2" t="str">
        <f t="shared" si="22"/>
        <v>Error?</v>
      </c>
    </row>
    <row r="1496" spans="1:4" x14ac:dyDescent="0.2">
      <c r="A1496" s="5">
        <v>1435</v>
      </c>
      <c r="B1496" s="138">
        <f>'Expenditures 15-22'!K267</f>
        <v>2</v>
      </c>
      <c r="C1496" s="2" t="s">
        <v>573</v>
      </c>
      <c r="D1496" s="2" t="str">
        <f t="shared" si="22"/>
        <v>Error?</v>
      </c>
    </row>
    <row r="1497" spans="1:4" x14ac:dyDescent="0.2">
      <c r="A1497" s="5">
        <v>1436</v>
      </c>
      <c r="B1497" s="138">
        <f>'Expenditures 15-22'!K268</f>
        <v>1092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6041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27400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50708</v>
      </c>
      <c r="C1517" s="2" t="s">
        <v>573</v>
      </c>
      <c r="D1517" s="2" t="str">
        <f t="shared" si="22"/>
        <v>Error?</v>
      </c>
    </row>
    <row r="1518" spans="1:4" x14ac:dyDescent="0.2">
      <c r="A1518" s="5">
        <v>1457</v>
      </c>
      <c r="B1518" s="138">
        <f>'Expenditures 15-22'!K296</f>
        <v>-15248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1165853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1547646</v>
      </c>
      <c r="C1630" s="2" t="s">
        <v>573</v>
      </c>
      <c r="D1630" s="2" t="str">
        <f t="shared" si="24"/>
        <v>Error?</v>
      </c>
    </row>
    <row r="1631" spans="1:4" x14ac:dyDescent="0.2">
      <c r="A1631" s="5">
        <v>1570</v>
      </c>
      <c r="B1631" s="138">
        <f>'Acct Summary 7-8'!D79</f>
        <v>310599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380512</v>
      </c>
      <c r="C1644" s="2" t="s">
        <v>573</v>
      </c>
      <c r="D1644" s="2" t="str">
        <f t="shared" si="24"/>
        <v>Error?</v>
      </c>
    </row>
    <row r="1645" spans="1:4" x14ac:dyDescent="0.2">
      <c r="A1645" s="5">
        <v>1584</v>
      </c>
      <c r="B1645" s="138">
        <f>'Acct Summary 7-8'!E79</f>
        <v>37791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36402</v>
      </c>
      <c r="C1658" s="2" t="s">
        <v>573</v>
      </c>
      <c r="D1658" s="2" t="str">
        <f t="shared" si="24"/>
        <v>Error?</v>
      </c>
    </row>
    <row r="1659" spans="1:4" x14ac:dyDescent="0.2">
      <c r="A1659" s="5">
        <v>1598</v>
      </c>
      <c r="B1659" s="138">
        <f>'Acct Summary 7-8'!F79</f>
        <v>110072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63663</v>
      </c>
      <c r="C1672" s="2" t="s">
        <v>573</v>
      </c>
      <c r="D1672" s="2" t="str">
        <f t="shared" si="25"/>
        <v>Error?</v>
      </c>
    </row>
    <row r="1673" spans="1:4" x14ac:dyDescent="0.2">
      <c r="A1673" s="5">
        <v>1612</v>
      </c>
      <c r="B1673" s="138">
        <f>'Acct Summary 7-8'!G79</f>
        <v>15652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404</v>
      </c>
      <c r="C1686" s="2" t="s">
        <v>573</v>
      </c>
      <c r="D1686" s="2" t="str">
        <f t="shared" si="25"/>
        <v>Error?</v>
      </c>
    </row>
    <row r="1687" spans="1:4" x14ac:dyDescent="0.2">
      <c r="A1687" s="5">
        <v>1626</v>
      </c>
      <c r="B1687" s="138">
        <f>'Acct Summary 7-8'!H79</f>
        <v>44913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44913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1472552</v>
      </c>
      <c r="C1744" s="2" t="s">
        <v>573</v>
      </c>
      <c r="D1744" s="2" t="str">
        <f t="shared" si="26"/>
        <v>Error?</v>
      </c>
    </row>
    <row r="1745" spans="1:5" x14ac:dyDescent="0.2">
      <c r="A1745" s="5">
        <v>1684</v>
      </c>
      <c r="B1745" s="138">
        <f>'Tax Sched 23'!B5</f>
        <v>261097</v>
      </c>
      <c r="C1745" s="2" t="s">
        <v>573</v>
      </c>
      <c r="D1745" s="2" t="str">
        <f t="shared" si="26"/>
        <v>Error?</v>
      </c>
    </row>
    <row r="1746" spans="1:5" x14ac:dyDescent="0.2">
      <c r="A1746" s="5">
        <v>1685</v>
      </c>
      <c r="B1746" s="138">
        <f>'Tax Sched 23'!B6</f>
        <v>366726</v>
      </c>
      <c r="C1746" s="2" t="s">
        <v>573</v>
      </c>
      <c r="D1746" s="2" t="str">
        <f t="shared" si="26"/>
        <v>Error?</v>
      </c>
    </row>
    <row r="1747" spans="1:5" x14ac:dyDescent="0.2">
      <c r="A1747" s="5">
        <v>1686</v>
      </c>
      <c r="B1747" s="138">
        <f>'Tax Sched 23'!B7</f>
        <v>19653</v>
      </c>
      <c r="C1747" s="2" t="s">
        <v>573</v>
      </c>
      <c r="D1747" s="2" t="str">
        <f t="shared" si="26"/>
        <v>Error?</v>
      </c>
    </row>
    <row r="1748" spans="1:5" x14ac:dyDescent="0.2">
      <c r="A1748" s="5">
        <v>1687</v>
      </c>
      <c r="B1748" s="138">
        <f>'Tax Sched 23'!B8</f>
        <v>15032</v>
      </c>
      <c r="C1748" s="2" t="s">
        <v>573</v>
      </c>
      <c r="D1748" s="2" t="str">
        <f t="shared" si="26"/>
        <v>Error?</v>
      </c>
    </row>
    <row r="1749" spans="1:5" x14ac:dyDescent="0.2">
      <c r="A1749" s="5">
        <v>1688</v>
      </c>
      <c r="B1749" s="138">
        <f>'Tax Sched 23'!B10</f>
        <v>7530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9749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34684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2217220</v>
      </c>
      <c r="C1759" s="2" t="s">
        <v>573</v>
      </c>
      <c r="D1759" s="2" t="str">
        <f t="shared" si="26"/>
        <v>Error?</v>
      </c>
    </row>
    <row r="1760" spans="1:5" x14ac:dyDescent="0.2">
      <c r="A1760" s="5">
        <v>1699</v>
      </c>
      <c r="B1760" s="138">
        <f>'Tax Sched 23'!D4</f>
        <v>724981</v>
      </c>
      <c r="C1760" s="2" t="s">
        <v>573</v>
      </c>
      <c r="D1760" s="2" t="str">
        <f t="shared" si="26"/>
        <v>Error?</v>
      </c>
    </row>
    <row r="1761" spans="1:5" x14ac:dyDescent="0.2">
      <c r="A1761" s="5">
        <v>1700</v>
      </c>
      <c r="B1761" s="138">
        <f>'Tax Sched 23'!D5</f>
        <v>125175</v>
      </c>
      <c r="C1761" s="2" t="s">
        <v>573</v>
      </c>
      <c r="D1761" s="2" t="str">
        <f t="shared" si="26"/>
        <v>Error?</v>
      </c>
    </row>
    <row r="1762" spans="1:5" s="8" customFormat="1" x14ac:dyDescent="0.2">
      <c r="A1762" s="5">
        <v>1701</v>
      </c>
      <c r="B1762" s="138">
        <f>'Tax Sched 23'!D6</f>
        <v>182687</v>
      </c>
      <c r="C1762" s="2" t="s">
        <v>573</v>
      </c>
      <c r="D1762" s="2" t="str">
        <f t="shared" si="26"/>
        <v>Error?</v>
      </c>
      <c r="E1762" s="9"/>
    </row>
    <row r="1763" spans="1:5" x14ac:dyDescent="0.2">
      <c r="A1763" s="5">
        <v>1702</v>
      </c>
      <c r="B1763" s="138">
        <f>'Tax Sched 23'!D7</f>
        <v>9901</v>
      </c>
      <c r="C1763" s="2" t="s">
        <v>573</v>
      </c>
      <c r="D1763" s="2" t="str">
        <f t="shared" si="26"/>
        <v>Error?</v>
      </c>
    </row>
    <row r="1764" spans="1:5" x14ac:dyDescent="0.2">
      <c r="A1764" s="5">
        <v>1703</v>
      </c>
      <c r="B1764" s="138">
        <f>'Tax Sched 23'!D8</f>
        <v>7692</v>
      </c>
      <c r="C1764" s="2" t="s">
        <v>573</v>
      </c>
      <c r="D1764" s="2" t="str">
        <f t="shared" si="26"/>
        <v>Error?</v>
      </c>
    </row>
    <row r="1765" spans="1:5" x14ac:dyDescent="0.2">
      <c r="A1765" s="5">
        <v>1704</v>
      </c>
      <c r="B1765" s="138">
        <f>'Tax Sched 23'!D10</f>
        <v>4981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4856</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17626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1095115</v>
      </c>
      <c r="C1775" s="2" t="s">
        <v>573</v>
      </c>
      <c r="D1775" s="2" t="str">
        <f t="shared" si="26"/>
        <v>Error?</v>
      </c>
    </row>
    <row r="1776" spans="1:5" x14ac:dyDescent="0.2">
      <c r="A1776" s="5">
        <v>1715</v>
      </c>
      <c r="B1776" s="138">
        <f>'Tax Sched 23'!C4</f>
        <v>747571</v>
      </c>
      <c r="D1776" s="2" t="str">
        <f t="shared" si="26"/>
        <v>Error?</v>
      </c>
    </row>
    <row r="1777" spans="1:4" x14ac:dyDescent="0.2">
      <c r="A1777" s="5">
        <v>1716</v>
      </c>
      <c r="B1777" s="138">
        <f>'Tax Sched 23'!C5</f>
        <v>135922</v>
      </c>
      <c r="D1777" s="2" t="str">
        <f t="shared" si="26"/>
        <v>Error?</v>
      </c>
    </row>
    <row r="1778" spans="1:4" x14ac:dyDescent="0.2">
      <c r="A1778" s="5">
        <v>1717</v>
      </c>
      <c r="B1778" s="138">
        <f>'Tax Sched 23'!C6</f>
        <v>184039</v>
      </c>
      <c r="D1778" s="2" t="str">
        <f t="shared" si="26"/>
        <v>Error?</v>
      </c>
    </row>
    <row r="1779" spans="1:4" x14ac:dyDescent="0.2">
      <c r="A1779" s="5">
        <v>1718</v>
      </c>
      <c r="B1779" s="138">
        <f>'Tax Sched 23'!C7</f>
        <v>9752</v>
      </c>
      <c r="D1779" s="2" t="str">
        <f t="shared" si="26"/>
        <v>Error?</v>
      </c>
    </row>
    <row r="1780" spans="1:4" x14ac:dyDescent="0.2">
      <c r="A1780" s="5">
        <v>1719</v>
      </c>
      <c r="B1780" s="138">
        <f>'Tax Sched 23'!C8</f>
        <v>7340</v>
      </c>
      <c r="D1780" s="2" t="str">
        <f t="shared" si="26"/>
        <v>Error?</v>
      </c>
    </row>
    <row r="1781" spans="1:4" x14ac:dyDescent="0.2">
      <c r="A1781" s="5">
        <v>1720</v>
      </c>
      <c r="B1781" s="138">
        <f>'Tax Sched 23'!C10</f>
        <v>2549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4893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17058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1122105</v>
      </c>
      <c r="C1791" s="2" t="s">
        <v>573</v>
      </c>
      <c r="D1791" s="2" t="str">
        <f t="shared" ref="D1791:D1854" si="27">IF(ISBLANK(B1791),"OK",IF(A1791-B1791=0,"OK","Error?"))</f>
        <v>Error?</v>
      </c>
    </row>
    <row r="1792" spans="1:4" x14ac:dyDescent="0.2">
      <c r="A1792" s="5">
        <v>1731</v>
      </c>
      <c r="B1792" s="138">
        <f>'Tax Sched 23'!F4</f>
        <v>745270</v>
      </c>
      <c r="C1792" s="2" t="s">
        <v>573</v>
      </c>
      <c r="D1792" s="2" t="str">
        <f t="shared" si="27"/>
        <v>Error?</v>
      </c>
    </row>
    <row r="1793" spans="1:4" x14ac:dyDescent="0.2">
      <c r="A1793" s="5">
        <v>1732</v>
      </c>
      <c r="B1793" s="138">
        <f>'Tax Sched 23'!F5</f>
        <v>135504</v>
      </c>
      <c r="C1793" s="2" t="s">
        <v>573</v>
      </c>
      <c r="D1793" s="2" t="str">
        <f t="shared" si="27"/>
        <v>Error?</v>
      </c>
    </row>
    <row r="1794" spans="1:4" x14ac:dyDescent="0.2">
      <c r="A1794" s="5">
        <v>1733</v>
      </c>
      <c r="B1794" s="138">
        <f>'Tax Sched 23'!F6</f>
        <v>183471</v>
      </c>
      <c r="C1794" s="2" t="s">
        <v>573</v>
      </c>
      <c r="D1794" s="2" t="str">
        <f t="shared" si="27"/>
        <v>Error?</v>
      </c>
    </row>
    <row r="1795" spans="1:4" x14ac:dyDescent="0.2">
      <c r="A1795" s="5">
        <v>1734</v>
      </c>
      <c r="B1795" s="138">
        <f>'Tax Sched 23'!F7</f>
        <v>9723</v>
      </c>
      <c r="C1795" s="2" t="s">
        <v>573</v>
      </c>
      <c r="D1795" s="2" t="str">
        <f t="shared" si="27"/>
        <v>Error?</v>
      </c>
    </row>
    <row r="1796" spans="1:4" x14ac:dyDescent="0.2">
      <c r="A1796" s="5">
        <v>1735</v>
      </c>
      <c r="B1796" s="138">
        <f>'Tax Sched 23'!F8</f>
        <v>7317</v>
      </c>
      <c r="C1796" s="2" t="s">
        <v>573</v>
      </c>
      <c r="D1796" s="2" t="str">
        <f t="shared" si="27"/>
        <v>Error?</v>
      </c>
    </row>
    <row r="1797" spans="1:4" x14ac:dyDescent="0.2">
      <c r="A1797" s="5">
        <v>1736</v>
      </c>
      <c r="B1797" s="138">
        <f>'Tax Sched 23'!F10</f>
        <v>2540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4878</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17006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1118649</v>
      </c>
      <c r="C1807" s="2" t="s">
        <v>573</v>
      </c>
      <c r="D1807" s="2" t="str">
        <f t="shared" si="27"/>
        <v>Error?</v>
      </c>
    </row>
    <row r="1808" spans="1:4" x14ac:dyDescent="0.2">
      <c r="A1808" s="5">
        <v>1747</v>
      </c>
      <c r="B1808" s="138">
        <f>'Tax Sched 23'!E4</f>
        <v>1492841</v>
      </c>
      <c r="D1808" s="2" t="str">
        <f t="shared" si="27"/>
        <v>Error?</v>
      </c>
    </row>
    <row r="1809" spans="1:4" x14ac:dyDescent="0.2">
      <c r="A1809" s="5">
        <v>1748</v>
      </c>
      <c r="B1809" s="138">
        <f>'Tax Sched 23'!E5</f>
        <v>271426</v>
      </c>
      <c r="D1809" s="2" t="str">
        <f t="shared" si="27"/>
        <v>Error?</v>
      </c>
    </row>
    <row r="1810" spans="1:4" x14ac:dyDescent="0.2">
      <c r="A1810" s="5">
        <v>1749</v>
      </c>
      <c r="B1810" s="138">
        <f>'Tax Sched 23'!E6</f>
        <v>367510</v>
      </c>
      <c r="D1810" s="2" t="str">
        <f t="shared" si="27"/>
        <v>Error?</v>
      </c>
    </row>
    <row r="1811" spans="1:4" x14ac:dyDescent="0.2">
      <c r="A1811" s="5">
        <v>1750</v>
      </c>
      <c r="B1811" s="138">
        <f>'Tax Sched 23'!E7</f>
        <v>19475</v>
      </c>
      <c r="D1811" s="2" t="str">
        <f t="shared" si="27"/>
        <v>Error?</v>
      </c>
    </row>
    <row r="1812" spans="1:4" x14ac:dyDescent="0.2">
      <c r="A1812" s="5">
        <v>1751</v>
      </c>
      <c r="B1812" s="138">
        <f>'Tax Sched 23'!E8</f>
        <v>14657</v>
      </c>
      <c r="D1812" s="2" t="str">
        <f t="shared" si="27"/>
        <v>Error?</v>
      </c>
    </row>
    <row r="1813" spans="1:4" x14ac:dyDescent="0.2">
      <c r="A1813" s="5">
        <v>1752</v>
      </c>
      <c r="B1813" s="138">
        <f>'Tax Sched 23'!E10</f>
        <v>5089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9771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34064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2240754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4215000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34684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34684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34684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12500</v>
      </c>
      <c r="D2008" s="2" t="str">
        <f t="shared" si="30"/>
        <v>Error?</v>
      </c>
    </row>
    <row r="2009" spans="1:4" x14ac:dyDescent="0.2">
      <c r="A2009" s="5">
        <v>1948</v>
      </c>
      <c r="B2009" s="138">
        <f>'Cap Outlay Deprec 26'!C8</f>
        <v>7489053</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803869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8305422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8189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8189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12500</v>
      </c>
      <c r="C2026" s="2" t="s">
        <v>573</v>
      </c>
      <c r="D2026" s="2" t="str">
        <f t="shared" si="30"/>
        <v>Error?</v>
      </c>
    </row>
    <row r="2027" spans="1:4" x14ac:dyDescent="0.2">
      <c r="A2027" s="5">
        <v>1966</v>
      </c>
      <c r="B2027" s="138">
        <f>'Cap Outlay Deprec 26'!F8</f>
        <v>7489053</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812058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8313611</v>
      </c>
      <c r="C2031" s="2" t="s">
        <v>573</v>
      </c>
      <c r="D2031" s="2" t="str">
        <f t="shared" si="30"/>
        <v>Error?</v>
      </c>
    </row>
    <row r="2032" spans="1:4" x14ac:dyDescent="0.2">
      <c r="A2032" s="10">
        <v>1971</v>
      </c>
      <c r="D2032" s="2" t="str">
        <f t="shared" si="30"/>
        <v>OK</v>
      </c>
    </row>
    <row r="2033" spans="1:4" x14ac:dyDescent="0.2">
      <c r="A2033" s="5">
        <v>1972</v>
      </c>
      <c r="B2033" s="138">
        <f>'Cap Outlay Deprec 26'!H8</f>
        <v>2839140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677395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3516535</v>
      </c>
      <c r="C2037" s="2" t="s">
        <v>573</v>
      </c>
      <c r="D2037" s="2" t="str">
        <f t="shared" si="30"/>
        <v>Error?</v>
      </c>
    </row>
    <row r="2038" spans="1:4" x14ac:dyDescent="0.2">
      <c r="A2038" s="10">
        <v>1977</v>
      </c>
      <c r="D2038" s="2" t="str">
        <f t="shared" si="30"/>
        <v>OK</v>
      </c>
    </row>
    <row r="2039" spans="1:4" x14ac:dyDescent="0.2">
      <c r="A2039" s="5">
        <v>1978</v>
      </c>
      <c r="B2039" s="138">
        <f>'Cap Outlay Deprec 26'!I8</f>
        <v>162151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33389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195540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3001291</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710784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3712075</v>
      </c>
      <c r="C2055" s="2" t="s">
        <v>573</v>
      </c>
      <c r="D2055" s="2" t="str">
        <f t="shared" si="31"/>
        <v>Error?</v>
      </c>
    </row>
    <row r="2056" spans="1:4" x14ac:dyDescent="0.2">
      <c r="A2056" s="5">
        <v>1995</v>
      </c>
      <c r="B2056" s="138">
        <f>'Cap Outlay Deprec 26'!L5</f>
        <v>12500</v>
      </c>
      <c r="C2056" s="2" t="s">
        <v>573</v>
      </c>
      <c r="D2056" s="2" t="str">
        <f t="shared" si="31"/>
        <v>Error?</v>
      </c>
    </row>
    <row r="2057" spans="1:4" x14ac:dyDescent="0.2">
      <c r="A2057" s="5">
        <v>1996</v>
      </c>
      <c r="B2057" s="138">
        <f>'Cap Outlay Deprec 26'!L8</f>
        <v>4487762</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101274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4601536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331314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660645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1616830</v>
      </c>
      <c r="C2551" s="2" t="s">
        <v>573</v>
      </c>
      <c r="D2551" s="2" t="str">
        <f t="shared" si="38"/>
        <v>Error?</v>
      </c>
    </row>
    <row r="2552" spans="1:4" x14ac:dyDescent="0.2">
      <c r="A2552" s="10">
        <v>2491</v>
      </c>
      <c r="D2552" s="2" t="str">
        <f t="shared" si="38"/>
        <v>OK</v>
      </c>
    </row>
    <row r="2553" spans="1:4" x14ac:dyDescent="0.2">
      <c r="A2553" s="5">
        <v>2492</v>
      </c>
      <c r="B2553" s="138">
        <f>'Acct Summary 7-8'!C6</f>
        <v>1149932</v>
      </c>
      <c r="C2553" s="2" t="s">
        <v>573</v>
      </c>
      <c r="D2553" s="2" t="str">
        <f t="shared" si="38"/>
        <v>Error?</v>
      </c>
    </row>
    <row r="2554" spans="1:4" x14ac:dyDescent="0.2">
      <c r="A2554" s="5">
        <v>2493</v>
      </c>
      <c r="B2554" s="138">
        <f>'Acct Summary 7-8'!C7</f>
        <v>231716</v>
      </c>
      <c r="C2554" s="2" t="s">
        <v>573</v>
      </c>
      <c r="D2554" s="2" t="str">
        <f t="shared" si="38"/>
        <v>Error?</v>
      </c>
    </row>
    <row r="2555" spans="1:4" x14ac:dyDescent="0.2">
      <c r="A2555" s="5">
        <v>2494</v>
      </c>
      <c r="B2555" s="138">
        <f>'Acct Summary 7-8'!C8</f>
        <v>2998478</v>
      </c>
      <c r="C2555" s="2" t="s">
        <v>573</v>
      </c>
      <c r="D2555" s="2" t="str">
        <f t="shared" si="38"/>
        <v>Error?</v>
      </c>
    </row>
    <row r="2556" spans="1:4" x14ac:dyDescent="0.2">
      <c r="A2556" s="5">
        <v>2495</v>
      </c>
      <c r="B2556" s="138">
        <f>'Acct Summary 7-8'!C12</f>
        <v>1357797</v>
      </c>
      <c r="C2556" s="2" t="s">
        <v>573</v>
      </c>
      <c r="D2556" s="2" t="str">
        <f t="shared" si="38"/>
        <v>Error?</v>
      </c>
    </row>
    <row r="2557" spans="1:4" x14ac:dyDescent="0.2">
      <c r="A2557" s="5">
        <v>2496</v>
      </c>
      <c r="B2557" s="138">
        <f>'Acct Summary 7-8'!C13</f>
        <v>598243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660645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2616685</v>
      </c>
      <c r="C2561" s="2" t="s">
        <v>573</v>
      </c>
      <c r="D2561" s="2" t="str">
        <f t="shared" si="39"/>
        <v>Error?</v>
      </c>
    </row>
    <row r="2562" spans="1:4" x14ac:dyDescent="0.2">
      <c r="A2562" s="5">
        <v>2501</v>
      </c>
      <c r="B2562" s="138">
        <f>'Acct Summary 7-8'!C20</f>
        <v>381793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278835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278835</v>
      </c>
      <c r="C2568" s="2" t="s">
        <v>573</v>
      </c>
      <c r="D2568" s="2" t="str">
        <f t="shared" si="39"/>
        <v>Error?</v>
      </c>
    </row>
    <row r="2569" spans="1:4" x14ac:dyDescent="0.2">
      <c r="A2569" s="5">
        <v>2508</v>
      </c>
      <c r="B2569" s="138">
        <f>'Acct Summary 7-8'!D13</f>
        <v>208922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208922</v>
      </c>
      <c r="C2573" s="2" t="s">
        <v>573</v>
      </c>
      <c r="D2573" s="2" t="str">
        <f t="shared" si="39"/>
        <v>Error?</v>
      </c>
    </row>
    <row r="2574" spans="1:4" x14ac:dyDescent="0.2">
      <c r="A2574" s="5">
        <v>2513</v>
      </c>
      <c r="B2574" s="138">
        <f>'Acct Summary 7-8'!D20</f>
        <v>69913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21675</v>
      </c>
      <c r="C2591" s="2" t="s">
        <v>573</v>
      </c>
      <c r="D2591" s="2" t="str">
        <f t="shared" si="39"/>
        <v>Error?</v>
      </c>
    </row>
    <row r="2592" spans="1:4" x14ac:dyDescent="0.2">
      <c r="A2592" s="10">
        <v>2531</v>
      </c>
      <c r="D2592" s="2" t="str">
        <f t="shared" si="39"/>
        <v>OK</v>
      </c>
    </row>
    <row r="2593" spans="1:4" x14ac:dyDescent="0.2">
      <c r="A2593" s="5">
        <v>2532</v>
      </c>
      <c r="B2593" s="138">
        <f>'Acct Summary 7-8'!F6</f>
        <v>91714</v>
      </c>
      <c r="C2593" s="2" t="s">
        <v>573</v>
      </c>
      <c r="D2593" s="2" t="str">
        <f t="shared" si="39"/>
        <v>Error?</v>
      </c>
    </row>
    <row r="2594" spans="1:4" x14ac:dyDescent="0.2">
      <c r="A2594" s="5">
        <v>2533</v>
      </c>
      <c r="B2594" s="138">
        <f>'Acct Summary 7-8'!F7</f>
        <v>2836</v>
      </c>
      <c r="C2594" s="2" t="s">
        <v>573</v>
      </c>
      <c r="D2594" s="2" t="str">
        <f t="shared" si="39"/>
        <v>Error?</v>
      </c>
    </row>
    <row r="2595" spans="1:4" x14ac:dyDescent="0.2">
      <c r="A2595" s="5">
        <v>2534</v>
      </c>
      <c r="B2595" s="138">
        <f>'Acct Summary 7-8'!F8</f>
        <v>116225</v>
      </c>
      <c r="C2595" s="2" t="s">
        <v>573</v>
      </c>
      <c r="D2595" s="2" t="str">
        <f t="shared" si="39"/>
        <v>Error?</v>
      </c>
    </row>
    <row r="2596" spans="1:4" x14ac:dyDescent="0.2">
      <c r="A2596" s="5">
        <v>2535</v>
      </c>
      <c r="B2596" s="138">
        <f>'Acct Summary 7-8'!F13</f>
        <v>2001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160633</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162634</v>
      </c>
      <c r="C2600" s="2" t="s">
        <v>573</v>
      </c>
      <c r="D2600" s="2" t="str">
        <f t="shared" si="39"/>
        <v>Error?</v>
      </c>
    </row>
    <row r="2601" spans="1:4" x14ac:dyDescent="0.2">
      <c r="A2601" s="5">
        <v>2540</v>
      </c>
      <c r="B2601" s="138">
        <f>'Acct Summary 7-8'!F20</f>
        <v>-46409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35460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35460</v>
      </c>
      <c r="C2606" s="2" t="s">
        <v>573</v>
      </c>
      <c r="D2606" s="2" t="str">
        <f t="shared" si="39"/>
        <v>Error?</v>
      </c>
    </row>
    <row r="2607" spans="1:4" x14ac:dyDescent="0.2">
      <c r="A2607" s="5">
        <v>2546</v>
      </c>
      <c r="B2607" s="138">
        <f>'Acct Summary 7-8'!G12</f>
        <v>23308</v>
      </c>
      <c r="C2607" s="2" t="s">
        <v>573</v>
      </c>
      <c r="D2607" s="2" t="str">
        <f t="shared" si="39"/>
        <v>Error?</v>
      </c>
    </row>
    <row r="2608" spans="1:4" x14ac:dyDescent="0.2">
      <c r="A2608" s="5">
        <v>2547</v>
      </c>
      <c r="B2608" s="138">
        <f>'Acct Summary 7-8'!G13</f>
        <v>27400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50708</v>
      </c>
      <c r="C2612" s="2" t="s">
        <v>573</v>
      </c>
      <c r="D2612" s="2" t="str">
        <f t="shared" si="39"/>
        <v>Error?</v>
      </c>
    </row>
    <row r="2613" spans="1:4" x14ac:dyDescent="0.2">
      <c r="A2613" s="5">
        <v>2552</v>
      </c>
      <c r="B2613" s="138">
        <f>'Acct Summary 7-8'!G20</f>
        <v>-15248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366811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366811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368200</v>
      </c>
      <c r="C2634" s="2" t="s">
        <v>573</v>
      </c>
      <c r="D2634" s="2" t="str">
        <f t="shared" si="40"/>
        <v>Error?</v>
      </c>
    </row>
    <row r="2635" spans="1:4" x14ac:dyDescent="0.2">
      <c r="A2635" s="5">
        <v>2574</v>
      </c>
      <c r="B2635" s="138">
        <f>'Acct Summary 7-8'!E17</f>
        <v>368200</v>
      </c>
      <c r="C2635" s="2" t="s">
        <v>573</v>
      </c>
      <c r="D2635" s="2" t="str">
        <f t="shared" si="40"/>
        <v>Error?</v>
      </c>
    </row>
    <row r="2636" spans="1:4" x14ac:dyDescent="0.2">
      <c r="A2636" s="5">
        <v>2575</v>
      </c>
      <c r="B2636" s="138">
        <f>'Acct Summary 7-8'!E20</f>
        <v>-1389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329331</v>
      </c>
      <c r="C2789" s="2" t="s">
        <v>573</v>
      </c>
      <c r="D2789" s="2" t="str">
        <f t="shared" si="42"/>
        <v>Error?</v>
      </c>
    </row>
    <row r="2790" spans="1:4" x14ac:dyDescent="0.2">
      <c r="A2790" s="5">
        <v>2729</v>
      </c>
      <c r="B2790" s="138">
        <f>'Expenditures 15-22'!E102</f>
        <v>329331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160633</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160633</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54706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14809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54706</v>
      </c>
      <c r="D2912" s="2" t="str">
        <f t="shared" si="44"/>
        <v>Error?</v>
      </c>
    </row>
    <row r="2913" spans="1:4" x14ac:dyDescent="0.2">
      <c r="A2913" s="5">
        <v>2852</v>
      </c>
      <c r="B2913" s="138">
        <f>'Assets-Liab 5-6'!I41</f>
        <v>54706</v>
      </c>
      <c r="C2913" s="2" t="s">
        <v>573</v>
      </c>
      <c r="D2913" s="2" t="str">
        <f t="shared" si="44"/>
        <v>Error?</v>
      </c>
    </row>
    <row r="2914" spans="1:4" x14ac:dyDescent="0.2">
      <c r="A2914" s="5">
        <v>2853</v>
      </c>
      <c r="B2914" s="138">
        <f>'Assets-Liab 5-6'!L33</f>
        <v>14809</v>
      </c>
      <c r="D2914" s="2" t="str">
        <f t="shared" si="44"/>
        <v>Error?</v>
      </c>
    </row>
    <row r="2915" spans="1:4" x14ac:dyDescent="0.2">
      <c r="A2915" s="10">
        <v>2854</v>
      </c>
      <c r="D2915" s="2" t="str">
        <f t="shared" si="44"/>
        <v>OK</v>
      </c>
    </row>
    <row r="2916" spans="1:4" x14ac:dyDescent="0.2">
      <c r="A2916" s="5">
        <v>2855</v>
      </c>
      <c r="B2916" s="138">
        <f>'Assets-Liab 5-6'!L34</f>
        <v>14809</v>
      </c>
      <c r="C2916" s="2" t="s">
        <v>573</v>
      </c>
      <c r="D2916" s="2" t="str">
        <f t="shared" si="44"/>
        <v>Error?</v>
      </c>
    </row>
    <row r="2917" spans="1:4" x14ac:dyDescent="0.2">
      <c r="A2917" s="5">
        <v>2856</v>
      </c>
      <c r="B2917" s="138">
        <f>'Assets-Liab 5-6'!L41</f>
        <v>14809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329331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331314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660645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160633</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160633</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24733</v>
      </c>
      <c r="D3055" s="2" t="str">
        <f t="shared" si="46"/>
        <v>Error?</v>
      </c>
    </row>
    <row r="3056" spans="1:4" x14ac:dyDescent="0.2">
      <c r="A3056" s="5">
        <v>2995</v>
      </c>
      <c r="B3056" s="138">
        <f>'Expenditures 15-22'!D10</f>
        <v>2868</v>
      </c>
      <c r="D3056" s="2" t="str">
        <f t="shared" si="46"/>
        <v>Error?</v>
      </c>
    </row>
    <row r="3057" spans="1:4" x14ac:dyDescent="0.2">
      <c r="A3057" s="5">
        <v>2996</v>
      </c>
      <c r="B3057" s="138">
        <f>'Expenditures 15-22'!E10</f>
        <v>1839</v>
      </c>
      <c r="D3057" s="2" t="str">
        <f t="shared" si="46"/>
        <v>Error?</v>
      </c>
    </row>
    <row r="3058" spans="1:4" x14ac:dyDescent="0.2">
      <c r="A3058" s="5">
        <v>2997</v>
      </c>
      <c r="B3058" s="138">
        <f>'Expenditures 15-22'!F10</f>
        <v>49449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78889</v>
      </c>
      <c r="C3062" s="2" t="s">
        <v>573</v>
      </c>
      <c r="D3062" s="2" t="str">
        <f t="shared" si="46"/>
        <v>Error?</v>
      </c>
    </row>
    <row r="3063" spans="1:4" x14ac:dyDescent="0.2">
      <c r="A3063" s="10">
        <v>3002</v>
      </c>
      <c r="D3063" s="2" t="str">
        <f t="shared" si="46"/>
        <v>OK</v>
      </c>
    </row>
    <row r="3064" spans="1:4" x14ac:dyDescent="0.2">
      <c r="A3064" s="5">
        <v>3003</v>
      </c>
      <c r="B3064" s="138">
        <f>'Expenditures 15-22'!D219</f>
        <v>307</v>
      </c>
      <c r="D3064" s="2" t="str">
        <f t="shared" si="46"/>
        <v>Error?</v>
      </c>
    </row>
    <row r="3065" spans="1:4" x14ac:dyDescent="0.2">
      <c r="A3065" s="5">
        <v>3004</v>
      </c>
      <c r="B3065" s="138">
        <f>'Expenditures 15-22'!K219</f>
        <v>307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7812</v>
      </c>
      <c r="C3225" s="2" t="s">
        <v>573</v>
      </c>
      <c r="D3225" s="2" t="str">
        <f t="shared" si="49"/>
        <v>Error?</v>
      </c>
    </row>
    <row r="3226" spans="1:4" x14ac:dyDescent="0.2">
      <c r="A3226" s="5">
        <v>3165</v>
      </c>
      <c r="B3226" s="138">
        <f>'Acct Summary 7-8'!I8</f>
        <v>7812</v>
      </c>
      <c r="C3226" s="2" t="s">
        <v>573</v>
      </c>
      <c r="D3226" s="2" t="str">
        <f t="shared" si="49"/>
        <v>Error?</v>
      </c>
    </row>
    <row r="3227" spans="1:4" x14ac:dyDescent="0.2">
      <c r="A3227" s="5">
        <v>3166</v>
      </c>
      <c r="B3227" s="138">
        <f>'Acct Summary 7-8'!I20</f>
        <v>7812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381793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69913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-46409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-15248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-1389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7812</v>
      </c>
      <c r="C3320" s="2" t="s">
        <v>573</v>
      </c>
      <c r="D3320" s="2" t="str">
        <f t="shared" si="50"/>
        <v>Error?</v>
      </c>
    </row>
    <row r="3321" spans="1:4" x14ac:dyDescent="0.2">
      <c r="A3321" s="5">
        <v>3260</v>
      </c>
      <c r="B3321" s="138">
        <f>'Acct Summary 7-8'!I79</f>
        <v>46894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54706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40430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620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41110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13439</v>
      </c>
      <c r="D3387" s="2" t="str">
        <f t="shared" si="51"/>
        <v>Error?</v>
      </c>
    </row>
    <row r="3388" spans="1:4" x14ac:dyDescent="0.2">
      <c r="A3388" s="5">
        <v>3327</v>
      </c>
      <c r="B3388" s="138">
        <f>'Expenditures 15-22'!D217</f>
        <v>6805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13439</v>
      </c>
      <c r="C3390" s="2" t="s">
        <v>573</v>
      </c>
      <c r="D3390" s="2" t="str">
        <f t="shared" si="51"/>
        <v>Error?</v>
      </c>
    </row>
    <row r="3391" spans="1:4" x14ac:dyDescent="0.2">
      <c r="A3391" s="5">
        <v>3330</v>
      </c>
      <c r="B3391" s="138">
        <f>'Expenditures 15-22'!K217</f>
        <v>6805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1547646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380512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36402</v>
      </c>
      <c r="D3417" s="2" t="str">
        <f t="shared" si="52"/>
        <v>Error?</v>
      </c>
    </row>
    <row r="3418" spans="1:4" x14ac:dyDescent="0.2">
      <c r="A3418" s="10">
        <v>3357</v>
      </c>
      <c r="D3418" s="2" t="str">
        <f t="shared" si="52"/>
        <v>OK</v>
      </c>
    </row>
    <row r="3419" spans="1:4" x14ac:dyDescent="0.2">
      <c r="A3419" s="5">
        <v>3358</v>
      </c>
      <c r="B3419" s="138">
        <f>'Assets-Liab 5-6'!F4</f>
        <v>63663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44913</v>
      </c>
      <c r="D3425" s="2" t="str">
        <f t="shared" si="52"/>
        <v>Error?</v>
      </c>
    </row>
    <row r="3426" spans="1:4" x14ac:dyDescent="0.2">
      <c r="A3426" s="10">
        <v>3365</v>
      </c>
      <c r="D3426" s="2" t="str">
        <f t="shared" si="52"/>
        <v>OK</v>
      </c>
    </row>
    <row r="3427" spans="1:4" x14ac:dyDescent="0.2">
      <c r="A3427" s="5">
        <v>3366</v>
      </c>
      <c r="B3427" s="138">
        <f>'Assets-Liab 5-6'!I4</f>
        <v>54706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14809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18733</v>
      </c>
      <c r="C3446" s="2" t="s">
        <v>573</v>
      </c>
      <c r="D3446" s="2" t="str">
        <f t="shared" si="52"/>
        <v>Error?</v>
      </c>
    </row>
    <row r="3447" spans="1:4" x14ac:dyDescent="0.2">
      <c r="A3447" s="5">
        <v>3386</v>
      </c>
      <c r="B3447" s="138">
        <f>'Tax Sched 23'!D16</f>
        <v>9932</v>
      </c>
      <c r="C3447" s="2" t="s">
        <v>573</v>
      </c>
      <c r="D3447" s="2" t="str">
        <f t="shared" si="52"/>
        <v>Error?</v>
      </c>
    </row>
    <row r="3448" spans="1:4" x14ac:dyDescent="0.2">
      <c r="A3448" s="5">
        <v>3387</v>
      </c>
      <c r="B3448" s="138">
        <f>'Tax Sched 23'!C16</f>
        <v>8801</v>
      </c>
      <c r="D3448" s="2" t="str">
        <f t="shared" si="52"/>
        <v>Error?</v>
      </c>
    </row>
    <row r="3449" spans="1:4" x14ac:dyDescent="0.2">
      <c r="A3449" s="5">
        <v>3388</v>
      </c>
      <c r="B3449" s="138">
        <f>'Tax Sched 23'!F16</f>
        <v>8774</v>
      </c>
      <c r="C3449" s="2" t="s">
        <v>573</v>
      </c>
      <c r="D3449" s="2" t="str">
        <f t="shared" si="52"/>
        <v>Error?</v>
      </c>
    </row>
    <row r="3450" spans="1:4" x14ac:dyDescent="0.2">
      <c r="A3450" s="5">
        <v>3389</v>
      </c>
      <c r="B3450" s="138">
        <f>'Tax Sched 23'!E16</f>
        <v>17575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114</v>
      </c>
      <c r="D3567" s="2" t="str">
        <f t="shared" si="54"/>
        <v>Error?</v>
      </c>
    </row>
    <row r="3568" spans="1:4" x14ac:dyDescent="0.2">
      <c r="A3568" s="5">
        <v>3507</v>
      </c>
      <c r="B3568" s="138">
        <f>'Assets-Liab 5-6'!K41</f>
        <v>114</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114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11464</v>
      </c>
      <c r="C3725" s="2" t="s">
        <v>573</v>
      </c>
      <c r="D3725" s="2" t="str">
        <f t="shared" si="57"/>
        <v>Error?</v>
      </c>
    </row>
    <row r="3726" spans="1:4" x14ac:dyDescent="0.2">
      <c r="A3726" s="5">
        <v>3665</v>
      </c>
      <c r="B3726" s="138">
        <f>'Tax Sched 23'!D13</f>
        <v>7284</v>
      </c>
      <c r="C3726" s="2" t="s">
        <v>573</v>
      </c>
      <c r="D3726" s="2" t="str">
        <f t="shared" si="57"/>
        <v>Error?</v>
      </c>
    </row>
    <row r="3727" spans="1:4" x14ac:dyDescent="0.2">
      <c r="A3727" s="5">
        <v>3666</v>
      </c>
      <c r="B3727" s="138">
        <f>'Tax Sched 23'!C13</f>
        <v>4180</v>
      </c>
      <c r="D3727" s="2" t="str">
        <f t="shared" si="57"/>
        <v>Error?</v>
      </c>
    </row>
    <row r="3728" spans="1:4" x14ac:dyDescent="0.2">
      <c r="A3728" s="5">
        <v>3667</v>
      </c>
      <c r="B3728" s="138">
        <f>'Tax Sched 23'!F13</f>
        <v>4166</v>
      </c>
      <c r="C3728" s="2" t="s">
        <v>573</v>
      </c>
      <c r="D3728" s="2" t="str">
        <f t="shared" si="57"/>
        <v>Error?</v>
      </c>
    </row>
    <row r="3729" spans="1:4" x14ac:dyDescent="0.2">
      <c r="A3729" s="5">
        <v>3668</v>
      </c>
      <c r="B3729" s="138">
        <f>'Tax Sched 23'!E13</f>
        <v>8346</v>
      </c>
      <c r="D3729" s="2" t="str">
        <f t="shared" si="57"/>
        <v>Error?</v>
      </c>
    </row>
    <row r="3730" spans="1:4" x14ac:dyDescent="0.2">
      <c r="A3730" s="5">
        <v>3669</v>
      </c>
      <c r="B3730" s="138">
        <f>'ICR Computation 30'!E10</f>
        <v>39074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2326446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5324924</v>
      </c>
      <c r="C4122" s="2" t="s">
        <v>573</v>
      </c>
      <c r="D4122" s="2" t="str">
        <f t="shared" si="63"/>
        <v>Error?</v>
      </c>
    </row>
    <row r="4123" spans="1:4" x14ac:dyDescent="0.2">
      <c r="A4123" s="5">
        <v>4062</v>
      </c>
      <c r="B4123" s="138">
        <f>'Acct Summary 7-8'!D10</f>
        <v>278835</v>
      </c>
      <c r="C4123" s="2" t="s">
        <v>573</v>
      </c>
      <c r="D4123" s="2" t="str">
        <f t="shared" si="63"/>
        <v>Error?</v>
      </c>
    </row>
    <row r="4124" spans="1:4" x14ac:dyDescent="0.2">
      <c r="A4124" s="5">
        <v>4063</v>
      </c>
      <c r="B4124" s="138">
        <f>'Acct Summary 7-8'!E10</f>
        <v>366811</v>
      </c>
      <c r="C4124" s="2" t="s">
        <v>573</v>
      </c>
      <c r="D4124" s="2" t="str">
        <f t="shared" si="63"/>
        <v>Error?</v>
      </c>
    </row>
    <row r="4125" spans="1:4" x14ac:dyDescent="0.2">
      <c r="A4125" s="5">
        <v>4064</v>
      </c>
      <c r="B4125" s="138">
        <f>'Acct Summary 7-8'!F10</f>
        <v>116225</v>
      </c>
      <c r="C4125" s="2" t="s">
        <v>573</v>
      </c>
      <c r="D4125" s="2" t="str">
        <f t="shared" si="63"/>
        <v>Error?</v>
      </c>
    </row>
    <row r="4126" spans="1:4" x14ac:dyDescent="0.2">
      <c r="A4126" s="5">
        <v>4065</v>
      </c>
      <c r="B4126" s="138">
        <f>'Acct Summary 7-8'!G10</f>
        <v>35460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7812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2326446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4943131</v>
      </c>
      <c r="C4136" s="2" t="s">
        <v>573</v>
      </c>
      <c r="D4136" s="2" t="str">
        <f t="shared" si="63"/>
        <v>Error?</v>
      </c>
    </row>
    <row r="4137" spans="1:4" x14ac:dyDescent="0.2">
      <c r="A4137" s="5">
        <v>4076</v>
      </c>
      <c r="B4137" s="138">
        <f>'Acct Summary 7-8'!D19</f>
        <v>208922</v>
      </c>
      <c r="C4137" s="2" t="s">
        <v>573</v>
      </c>
      <c r="D4137" s="2" t="str">
        <f t="shared" si="63"/>
        <v>Error?</v>
      </c>
    </row>
    <row r="4138" spans="1:4" x14ac:dyDescent="0.2">
      <c r="A4138" s="5">
        <v>4077</v>
      </c>
      <c r="B4138" s="138">
        <f>'Acct Summary 7-8'!E19</f>
        <v>368200</v>
      </c>
      <c r="C4138" s="2" t="s">
        <v>573</v>
      </c>
      <c r="D4138" s="2" t="str">
        <f t="shared" si="63"/>
        <v>Error?</v>
      </c>
    </row>
    <row r="4139" spans="1:4" x14ac:dyDescent="0.2">
      <c r="A4139" s="5">
        <v>4078</v>
      </c>
      <c r="B4139" s="138">
        <f>'Acct Summary 7-8'!F19</f>
        <v>162634</v>
      </c>
      <c r="C4139" s="2" t="s">
        <v>573</v>
      </c>
      <c r="D4139" s="2" t="str">
        <f t="shared" si="63"/>
        <v>Error?</v>
      </c>
    </row>
    <row r="4140" spans="1:4" x14ac:dyDescent="0.2">
      <c r="A4140" s="5">
        <v>4079</v>
      </c>
      <c r="B4140" s="138">
        <f>'Acct Summary 7-8'!G19</f>
        <v>50708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4000000</v>
      </c>
      <c r="C4171" s="2" t="s">
        <v>573</v>
      </c>
      <c r="D4171" s="2" t="str">
        <f t="shared" si="64"/>
        <v>Error?</v>
      </c>
    </row>
    <row r="4172" spans="1:4" x14ac:dyDescent="0.2">
      <c r="A4172" s="5">
        <v>4111</v>
      </c>
      <c r="B4172" s="138">
        <f>'Short-Term Long-Term Debt 24'!J49</f>
        <v>3963598</v>
      </c>
      <c r="C4172" s="2" t="s">
        <v>573</v>
      </c>
      <c r="D4172" s="2" t="str">
        <f t="shared" si="64"/>
        <v>Error?</v>
      </c>
    </row>
    <row r="4173" spans="1:4" x14ac:dyDescent="0.2">
      <c r="A4173" s="5">
        <v>4112</v>
      </c>
      <c r="B4173" s="138">
        <f>'Short-Term Long-Term Debt 24'!H49</f>
        <v>215000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2200</v>
      </c>
      <c r="C4265" s="2" t="s">
        <v>573</v>
      </c>
      <c r="D4265" s="2" t="str">
        <f t="shared" si="65"/>
        <v>Error?</v>
      </c>
      <c r="E4265" s="128"/>
    </row>
    <row r="4266" spans="1:5" x14ac:dyDescent="0.2">
      <c r="A4266" s="12">
        <v>4205</v>
      </c>
      <c r="B4266" s="138">
        <f>('FP Info 3'!F10)*100000</f>
        <v>400</v>
      </c>
      <c r="C4266" s="2" t="s">
        <v>573</v>
      </c>
      <c r="D4266" s="2" t="str">
        <f t="shared" si="65"/>
        <v>Error?</v>
      </c>
      <c r="E4266" s="128"/>
    </row>
    <row r="4267" spans="1:5" x14ac:dyDescent="0.2">
      <c r="A4267" s="12">
        <v>4206</v>
      </c>
      <c r="B4267" s="138">
        <f>('FP Info 3'!H10)*100000</f>
        <v>28.7</v>
      </c>
      <c r="C4267" s="2" t="s">
        <v>573</v>
      </c>
      <c r="D4267" s="2" t="str">
        <f t="shared" si="65"/>
        <v>Error?</v>
      </c>
      <c r="E4267" s="128"/>
    </row>
    <row r="4268" spans="1:5" x14ac:dyDescent="0.2">
      <c r="A4268" s="12">
        <v>4207</v>
      </c>
      <c r="B4268" s="138">
        <f>('FP Info 3'!J10)*100000</f>
        <v>2629</v>
      </c>
      <c r="C4268" s="2" t="s">
        <v>573</v>
      </c>
      <c r="D4268" s="2" t="str">
        <f t="shared" si="65"/>
        <v>Error?</v>
      </c>
    </row>
    <row r="4269" spans="1:5" x14ac:dyDescent="0.2">
      <c r="A4269" s="12">
        <v>4208</v>
      </c>
      <c r="B4269" s="138">
        <f>'FP Info 3'!J16</f>
        <v>2046527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2961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11701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5765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7.4999999999999991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2836</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67856411</v>
      </c>
      <c r="D4995" s="2" t="str">
        <f t="shared" si="77"/>
        <v>Error?</v>
      </c>
    </row>
    <row r="4996" spans="1:4" x14ac:dyDescent="0.2">
      <c r="A4996" s="12">
        <v>4935</v>
      </c>
      <c r="B4996" s="138">
        <f>'FP Info 3'!H31</f>
        <v>4682092.3590000002</v>
      </c>
      <c r="D4996" s="2" t="str">
        <f t="shared" si="77"/>
        <v>Error?</v>
      </c>
    </row>
    <row r="4997" spans="1:4" x14ac:dyDescent="0.2">
      <c r="A4997" s="12">
        <v>4936</v>
      </c>
      <c r="B4997" s="138">
        <f>'FP Info 3'!H37</f>
        <v>4000000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11464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1472552</v>
      </c>
      <c r="D5061" s="2" t="str">
        <f t="shared" si="78"/>
        <v>Error?</v>
      </c>
    </row>
    <row r="5062" spans="1:4" x14ac:dyDescent="0.2">
      <c r="A5062" s="10">
        <v>5001</v>
      </c>
      <c r="D5062" s="2" t="str">
        <f t="shared" si="78"/>
        <v>OK</v>
      </c>
    </row>
    <row r="5063" spans="1:4" x14ac:dyDescent="0.2">
      <c r="A5063" s="5">
        <v>5002</v>
      </c>
      <c r="B5063" s="138">
        <f>'Revenues 9-14'!C7</f>
        <v>34684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1518700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11619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11619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24669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24669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160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15104</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10804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10804</v>
      </c>
      <c r="C5102" s="2" t="s">
        <v>573</v>
      </c>
      <c r="D5102" s="2" t="str">
        <f t="shared" si="78"/>
        <v>Error?</v>
      </c>
    </row>
    <row r="5103" spans="1:4" x14ac:dyDescent="0.2">
      <c r="A5103" s="5">
        <v>5042</v>
      </c>
      <c r="B5103" s="138">
        <f>'Revenues 9-14'!C84</f>
        <v>25390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25390</v>
      </c>
      <c r="C5112" s="2" t="s">
        <v>573</v>
      </c>
      <c r="D5112" s="2" t="str">
        <f t="shared" si="78"/>
        <v>Error?</v>
      </c>
    </row>
    <row r="5113" spans="1:4" x14ac:dyDescent="0.2">
      <c r="A5113" s="5">
        <v>5052</v>
      </c>
      <c r="B5113" s="138">
        <f>'Revenues 9-14'!C95</f>
        <v>192</v>
      </c>
      <c r="D5113" s="2" t="str">
        <f t="shared" si="78"/>
        <v>Error?</v>
      </c>
    </row>
    <row r="5114" spans="1:4" x14ac:dyDescent="0.2">
      <c r="A5114" s="5">
        <v>5053</v>
      </c>
      <c r="B5114" s="138">
        <f>'Revenues 9-14'!C96</f>
        <v>1802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4636</v>
      </c>
      <c r="D5118" s="2" t="str">
        <f t="shared" si="78"/>
        <v>Error?</v>
      </c>
    </row>
    <row r="5119" spans="1:4" x14ac:dyDescent="0.2">
      <c r="A5119" s="5">
        <v>5058</v>
      </c>
      <c r="B5119" s="138">
        <f>'Revenues 9-14'!C107</f>
        <v>3914</v>
      </c>
      <c r="D5119" s="2" t="str">
        <f t="shared" ref="D5119:D5182" si="79">IF(ISBLANK(B5119),"OK",IF(A5119-B5119=0,"OK","Error?"))</f>
        <v>Error?</v>
      </c>
    </row>
    <row r="5120" spans="1:4" x14ac:dyDescent="0.2">
      <c r="A5120" s="5">
        <v>5059</v>
      </c>
      <c r="B5120" s="138">
        <f>'Revenues 9-14'!C108</f>
        <v>10544</v>
      </c>
      <c r="C5120" s="2" t="s">
        <v>573</v>
      </c>
      <c r="D5120" s="2" t="str">
        <f t="shared" si="79"/>
        <v>Error?</v>
      </c>
    </row>
    <row r="5121" spans="1:4" x14ac:dyDescent="0.2">
      <c r="A5121" s="5">
        <v>5060</v>
      </c>
      <c r="B5121" s="138">
        <f>'Revenues 9-14'!C109</f>
        <v>1616830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1069162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1069162</v>
      </c>
      <c r="C5132" s="2" t="s">
        <v>573</v>
      </c>
      <c r="D5132" s="2" t="str">
        <f t="shared" si="79"/>
        <v>Error?</v>
      </c>
    </row>
    <row r="5133" spans="1:4" x14ac:dyDescent="0.2">
      <c r="A5133" s="5">
        <v>5072</v>
      </c>
      <c r="B5133" s="138">
        <f>'Revenues 9-14'!C125</f>
        <v>80039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80039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731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80770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1149932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40643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40643</v>
      </c>
      <c r="C5246" s="2" t="s">
        <v>573</v>
      </c>
      <c r="D5246" s="2" t="str">
        <f t="shared" si="80"/>
        <v>Error?</v>
      </c>
    </row>
    <row r="5247" spans="1:4" x14ac:dyDescent="0.2">
      <c r="A5247" s="5">
        <v>5186</v>
      </c>
      <c r="B5247" s="138">
        <f>'Revenues 9-14'!C200</f>
        <v>99654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99654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50539</v>
      </c>
      <c r="D5278" s="2" t="str">
        <f t="shared" si="81"/>
        <v>Error?</v>
      </c>
    </row>
    <row r="5279" spans="1:4" x14ac:dyDescent="0.2">
      <c r="A5279" s="5">
        <v>5218</v>
      </c>
      <c r="B5279" s="138">
        <f>'Revenues 9-14'!C214</f>
        <v>20453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70992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231716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231716</v>
      </c>
      <c r="C5326" s="2" t="s">
        <v>573</v>
      </c>
      <c r="D5326" s="2" t="str">
        <f t="shared" si="82"/>
        <v>Error?</v>
      </c>
    </row>
    <row r="5327" spans="1:5" x14ac:dyDescent="0.2">
      <c r="A5327" s="5">
        <v>5266</v>
      </c>
      <c r="B5327" s="138">
        <f>'Revenues 9-14'!C268</f>
        <v>2998478</v>
      </c>
      <c r="C5327" s="2" t="s">
        <v>573</v>
      </c>
      <c r="D5327" s="2" t="str">
        <f t="shared" si="82"/>
        <v>Error?</v>
      </c>
    </row>
    <row r="5328" spans="1:5" x14ac:dyDescent="0.2">
      <c r="A5328" s="5">
        <v>5267</v>
      </c>
      <c r="B5328" s="138">
        <f>'Revenues 9-14'!D5</f>
        <v>261097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261097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6232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6232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5285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4051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2170</v>
      </c>
      <c r="D5354" s="2" t="str">
        <f t="shared" si="82"/>
        <v>Error?</v>
      </c>
    </row>
    <row r="5355" spans="1:4" x14ac:dyDescent="0.2">
      <c r="A5355" s="5">
        <v>5294</v>
      </c>
      <c r="B5355" s="138">
        <f>'Revenues 9-14'!D108</f>
        <v>11506</v>
      </c>
      <c r="C5355" s="2" t="s">
        <v>573</v>
      </c>
      <c r="D5355" s="2" t="str">
        <f t="shared" si="82"/>
        <v>Error?</v>
      </c>
    </row>
    <row r="5356" spans="1:4" x14ac:dyDescent="0.2">
      <c r="A5356" s="5">
        <v>5295</v>
      </c>
      <c r="B5356" s="138">
        <f>'Revenues 9-14'!D109</f>
        <v>278835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278835</v>
      </c>
      <c r="C5508" s="2" t="s">
        <v>573</v>
      </c>
      <c r="D5508" s="2" t="str">
        <f t="shared" si="85"/>
        <v>Error?</v>
      </c>
    </row>
    <row r="5509" spans="1:4" x14ac:dyDescent="0.2">
      <c r="A5509" s="5">
        <v>5448</v>
      </c>
      <c r="B5509" s="138">
        <f>'Revenues 9-14'!E5</f>
        <v>366726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366726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85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366811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366811</v>
      </c>
      <c r="C5552" s="2" t="s">
        <v>573</v>
      </c>
      <c r="D5552" s="2" t="str">
        <f t="shared" si="85"/>
        <v>Error?</v>
      </c>
    </row>
    <row r="5553" spans="1:4" x14ac:dyDescent="0.2">
      <c r="A5553" s="5">
        <v>5492</v>
      </c>
      <c r="B5553" s="138">
        <f>'Revenues 9-14'!F5</f>
        <v>19653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19653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2022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2022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21675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91714</v>
      </c>
      <c r="D5617" s="2" t="str">
        <f t="shared" si="86"/>
        <v>Error?</v>
      </c>
    </row>
    <row r="5618" spans="1:5" x14ac:dyDescent="0.2">
      <c r="A5618" s="5">
        <v>5557</v>
      </c>
      <c r="B5618" s="138">
        <f>'Revenues 9-14'!F155</f>
        <v>91714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91714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91714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2836</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2836</v>
      </c>
      <c r="C5719" s="2" t="s">
        <v>573</v>
      </c>
      <c r="D5719" s="2" t="str">
        <f t="shared" si="88"/>
        <v>Error?</v>
      </c>
    </row>
    <row r="5720" spans="1:4" x14ac:dyDescent="0.2">
      <c r="A5720" s="5">
        <v>5659</v>
      </c>
      <c r="B5720" s="138">
        <f>'Revenues 9-14'!F268</f>
        <v>116225</v>
      </c>
      <c r="C5720" s="2" t="s">
        <v>573</v>
      </c>
      <c r="D5720" s="2" t="str">
        <f t="shared" si="88"/>
        <v>Error?</v>
      </c>
    </row>
    <row r="5721" spans="1:4" x14ac:dyDescent="0.2">
      <c r="A5721" s="5">
        <v>5660</v>
      </c>
      <c r="B5721" s="138">
        <f>'Revenues 9-14'!G5</f>
        <v>15032</v>
      </c>
      <c r="D5721" s="2" t="str">
        <f t="shared" si="88"/>
        <v>Error?</v>
      </c>
    </row>
    <row r="5722" spans="1:4" x14ac:dyDescent="0.2">
      <c r="A5722" s="5">
        <v>5661</v>
      </c>
      <c r="B5722" s="138">
        <f>'Revenues 9-14'!G7</f>
        <v>0</v>
      </c>
      <c r="D5722" s="2" t="str">
        <f t="shared" si="88"/>
        <v>Error?</v>
      </c>
    </row>
    <row r="5723" spans="1:4" x14ac:dyDescent="0.2">
      <c r="A5723" s="5">
        <v>5662</v>
      </c>
      <c r="B5723" s="138">
        <f>'Revenues 9-14'!G8</f>
        <v>18733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33765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v>
      </c>
      <c r="C5730" s="2" t="s">
        <v>573</v>
      </c>
      <c r="D5730" s="2" t="str">
        <f t="shared" si="88"/>
        <v>Error?</v>
      </c>
    </row>
    <row r="5731" spans="1:4" x14ac:dyDescent="0.2">
      <c r="A5731" s="5">
        <v>5670</v>
      </c>
      <c r="B5731" s="138">
        <f>'Revenues 9-14'!G65</f>
        <v>195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35460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7530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7530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7812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35460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7812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14944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6076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237.8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16590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16590</v>
      </c>
      <c r="D6215" s="2" t="str">
        <f t="shared" si="96"/>
        <v>Error?</v>
      </c>
      <c r="E6215" s="2" t="s">
        <v>190</v>
      </c>
    </row>
    <row r="6216" spans="1:5" x14ac:dyDescent="0.2">
      <c r="A6216">
        <v>6155</v>
      </c>
      <c r="B6216" s="138">
        <f>'Assets-Liab 5-6'!J41</f>
        <v>16590</v>
      </c>
      <c r="D6216" s="2" t="str">
        <f t="shared" si="96"/>
        <v>Error?</v>
      </c>
      <c r="E6216" s="2" t="s">
        <v>190</v>
      </c>
    </row>
    <row r="6217" spans="1:5" x14ac:dyDescent="0.2">
      <c r="A6217">
        <v>6156</v>
      </c>
      <c r="B6217" s="138">
        <f>'Assets-Liab 5-6'!J4</f>
        <v>16590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10619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10619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10619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6170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6170</v>
      </c>
      <c r="D6229" s="2" t="str">
        <f t="shared" si="96"/>
        <v>Error?</v>
      </c>
      <c r="E6229" s="2" t="s">
        <v>190</v>
      </c>
    </row>
    <row r="6230" spans="1:5" x14ac:dyDescent="0.2">
      <c r="A6230">
        <v>6169</v>
      </c>
      <c r="B6230" s="138">
        <f>'Acct Summary 7-8'!J20</f>
        <v>4449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4449</v>
      </c>
      <c r="D6263" s="2" t="str">
        <f t="shared" si="96"/>
        <v>Error?</v>
      </c>
      <c r="E6263" s="2" t="s">
        <v>190</v>
      </c>
    </row>
    <row r="6264" spans="1:5" x14ac:dyDescent="0.2">
      <c r="A6264">
        <v>6203</v>
      </c>
      <c r="B6264" s="138">
        <f>'Acct Summary 7-8'!J79</f>
        <v>12141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16590</v>
      </c>
      <c r="D6266" s="2" t="str">
        <f t="shared" si="96"/>
        <v>Error?</v>
      </c>
      <c r="E6266" s="2" t="s">
        <v>190</v>
      </c>
    </row>
    <row r="6267" spans="1:5" x14ac:dyDescent="0.2">
      <c r="A6267">
        <v>6206</v>
      </c>
      <c r="B6267" s="138">
        <f>'Acct Summary 7-8'!C82</f>
        <v>381793</v>
      </c>
      <c r="D6267" s="2" t="str">
        <f t="shared" si="96"/>
        <v>Error?</v>
      </c>
      <c r="E6267" s="2" t="s">
        <v>190</v>
      </c>
    </row>
    <row r="6268" spans="1:5" x14ac:dyDescent="0.2">
      <c r="A6268">
        <v>6207</v>
      </c>
      <c r="B6268" s="138">
        <f>'Acct Summary 7-8'!D82</f>
        <v>69913</v>
      </c>
      <c r="D6268" s="2" t="str">
        <f t="shared" si="96"/>
        <v>Error?</v>
      </c>
      <c r="E6268" s="2" t="s">
        <v>190</v>
      </c>
    </row>
    <row r="6269" spans="1:5" x14ac:dyDescent="0.2">
      <c r="A6269">
        <v>6208</v>
      </c>
      <c r="B6269" s="138">
        <f>'Acct Summary 7-8'!E82</f>
        <v>-1389</v>
      </c>
      <c r="D6269" s="2" t="str">
        <f t="shared" si="96"/>
        <v>Error?</v>
      </c>
      <c r="E6269" s="2" t="s">
        <v>190</v>
      </c>
    </row>
    <row r="6270" spans="1:5" x14ac:dyDescent="0.2">
      <c r="A6270">
        <v>6209</v>
      </c>
      <c r="B6270" s="138">
        <f>'Acct Summary 7-8'!F82</f>
        <v>-46409</v>
      </c>
      <c r="D6270" s="2" t="str">
        <f t="shared" si="96"/>
        <v>Error?</v>
      </c>
      <c r="E6270" s="2" t="s">
        <v>190</v>
      </c>
    </row>
    <row r="6271" spans="1:5" x14ac:dyDescent="0.2">
      <c r="A6271">
        <v>6210</v>
      </c>
      <c r="B6271" s="138">
        <f>'Acct Summary 7-8'!G82</f>
        <v>-15248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7812</v>
      </c>
      <c r="D6273" s="2" t="str">
        <f t="shared" si="97"/>
        <v>Error?</v>
      </c>
      <c r="E6273" s="2" t="s">
        <v>190</v>
      </c>
    </row>
    <row r="6274" spans="1:5" x14ac:dyDescent="0.2">
      <c r="A6274">
        <v>6213</v>
      </c>
      <c r="B6274" s="138">
        <f>'Acct Summary 7-8'!J82</f>
        <v>4449</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0.2466927191360298</v>
      </c>
      <c r="D6276" s="2" t="str">
        <f t="shared" si="97"/>
        <v>Error?</v>
      </c>
      <c r="E6276" s="2" t="s">
        <v>190</v>
      </c>
    </row>
    <row r="6277" spans="1:5" x14ac:dyDescent="0.2">
      <c r="A6277">
        <v>6216</v>
      </c>
      <c r="B6277" s="138">
        <f>'Acct Summary 7-8'!D83</f>
        <v>0.1837340215288874</v>
      </c>
      <c r="D6277" s="2" t="str">
        <f t="shared" si="97"/>
        <v>Error?</v>
      </c>
      <c r="E6277" s="2" t="s">
        <v>190</v>
      </c>
    </row>
    <row r="6278" spans="1:5" x14ac:dyDescent="0.2">
      <c r="A6278">
        <v>6217</v>
      </c>
      <c r="B6278" s="138">
        <f>'Acct Summary 7-8'!E83</f>
        <v>-3.8157244107466626E-2</v>
      </c>
      <c r="D6278" s="2" t="str">
        <f t="shared" si="97"/>
        <v>Error?</v>
      </c>
      <c r="E6278" s="2" t="s">
        <v>190</v>
      </c>
    </row>
    <row r="6279" spans="1:5" x14ac:dyDescent="0.2">
      <c r="A6279">
        <v>6218</v>
      </c>
      <c r="B6279" s="138">
        <f>'Acct Summary 7-8'!F83</f>
        <v>-0.72897915586761541</v>
      </c>
      <c r="D6279" s="2" t="str">
        <f t="shared" si="97"/>
        <v>Error?</v>
      </c>
      <c r="E6279" s="2" t="s">
        <v>190</v>
      </c>
    </row>
    <row r="6280" spans="1:5" x14ac:dyDescent="0.2">
      <c r="A6280">
        <v>6219</v>
      </c>
      <c r="B6280" s="138">
        <f>'Acct Summary 7-8'!G83</f>
        <v>-37.742574257425744</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0.14279969290388622</v>
      </c>
      <c r="D6282" s="2" t="str">
        <f t="shared" si="97"/>
        <v>Error?</v>
      </c>
      <c r="E6282" s="2" t="s">
        <v>190</v>
      </c>
    </row>
    <row r="6283" spans="1:5" x14ac:dyDescent="0.2">
      <c r="A6283">
        <v>6222</v>
      </c>
      <c r="B6283" s="138">
        <f>'Acct Summary 7-8'!J83</f>
        <v>0.26817359855334538</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9749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9749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739</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739</v>
      </c>
      <c r="D6351" s="2" t="str">
        <f t="shared" si="98"/>
        <v>Error?</v>
      </c>
      <c r="E6351" s="2" t="s">
        <v>190</v>
      </c>
    </row>
    <row r="6352" spans="1:5" x14ac:dyDescent="0.2">
      <c r="A6352">
        <v>6291</v>
      </c>
      <c r="B6352" s="138">
        <f>'Revenues 9-14'!J109</f>
        <v>10619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3324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3324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3324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3324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6170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10619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6110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6110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6170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6170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6170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6170</v>
      </c>
      <c r="D7224" s="2" t="str">
        <f t="shared" si="111"/>
        <v>Error?</v>
      </c>
    </row>
    <row r="7225" spans="1:4" x14ac:dyDescent="0.2">
      <c r="A7225">
        <v>7164</v>
      </c>
      <c r="B7225" s="138">
        <f>'Expenditures 15-22'!K343</f>
        <v>4449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3324</v>
      </c>
      <c r="D7624" s="2" t="str">
        <f t="shared" si="124"/>
        <v>Error?</v>
      </c>
      <c r="E7624" s="2" t="s">
        <v>19</v>
      </c>
    </row>
    <row r="7625" spans="1:5" x14ac:dyDescent="0.2">
      <c r="A7625">
        <f t="shared" si="123"/>
        <v>7564</v>
      </c>
      <c r="B7625" s="138">
        <f>'Cap Outlay Deprec 26'!I17</f>
        <v>332.4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195872.4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t="str">
        <f>'Expenditures 15-22'!C328</f>
        <v xml:space="preserve"> </v>
      </c>
      <c r="D7688" s="2" t="e">
        <f t="shared" si="126"/>
        <v>#VALUE!</v>
      </c>
      <c r="E7688" s="2" t="s">
        <v>827</v>
      </c>
    </row>
    <row r="7689" spans="1:5" x14ac:dyDescent="0.2">
      <c r="A7689">
        <v>7628</v>
      </c>
      <c r="B7689" s="138" t="str">
        <f>'Expenditures 15-22'!D328</f>
        <v xml:space="preserve"> </v>
      </c>
      <c r="D7689" s="2" t="e">
        <f t="shared" si="126"/>
        <v>#VALUE!</v>
      </c>
      <c r="E7689" s="2" t="s">
        <v>827</v>
      </c>
    </row>
    <row r="7690" spans="1:5" x14ac:dyDescent="0.2">
      <c r="A7690">
        <v>7629</v>
      </c>
      <c r="B7690" s="138">
        <f>'Expenditures 15-22'!E328</f>
        <v>0</v>
      </c>
      <c r="D7690" s="2" t="str">
        <f t="shared" si="126"/>
        <v>Error?</v>
      </c>
      <c r="E7690" s="2" t="s">
        <v>827</v>
      </c>
    </row>
    <row r="7691" spans="1:5" x14ac:dyDescent="0.2">
      <c r="A7691">
        <v>7630</v>
      </c>
      <c r="B7691" s="138" t="str">
        <f>'Expenditures 15-22'!F328</f>
        <v xml:space="preserve"> </v>
      </c>
      <c r="D7691" s="2" t="e">
        <f t="shared" si="126"/>
        <v>#VALUE!</v>
      </c>
      <c r="E7691" s="2" t="s">
        <v>827</v>
      </c>
    </row>
    <row r="7692" spans="1:5" x14ac:dyDescent="0.2">
      <c r="A7692">
        <v>7631</v>
      </c>
      <c r="B7692" s="138" t="str">
        <f>'Expenditures 15-22'!G328</f>
        <v xml:space="preserve"> </v>
      </c>
      <c r="D7692" s="2" t="e">
        <f t="shared" si="126"/>
        <v>#VALUE!</v>
      </c>
      <c r="E7692" s="2" t="s">
        <v>827</v>
      </c>
    </row>
    <row r="7693" spans="1:5" x14ac:dyDescent="0.2">
      <c r="A7693">
        <v>7632</v>
      </c>
      <c r="B7693" s="138" t="str">
        <f>'Expenditures 15-22'!H328</f>
        <v xml:space="preserve"> </v>
      </c>
      <c r="D7693" s="2" t="e">
        <f t="shared" si="126"/>
        <v>#VALUE!</v>
      </c>
      <c r="E7693" s="2" t="s">
        <v>827</v>
      </c>
    </row>
    <row r="7694" spans="1:5" x14ac:dyDescent="0.2">
      <c r="A7694">
        <v>7633</v>
      </c>
      <c r="B7694" s="138" t="str">
        <f>'Expenditures 15-22'!I328</f>
        <v xml:space="preserve"> </v>
      </c>
      <c r="D7694" s="2" t="e">
        <f t="shared" si="126"/>
        <v>#VALUE!</v>
      </c>
      <c r="E7694" s="2" t="s">
        <v>827</v>
      </c>
    </row>
    <row r="7695" spans="1:5" x14ac:dyDescent="0.2">
      <c r="A7695">
        <v>7634</v>
      </c>
      <c r="B7695" s="138" t="str">
        <f>'Expenditures 15-22'!J328</f>
        <v xml:space="preserve"> </v>
      </c>
      <c r="D7695" s="2" t="e">
        <f t="shared" si="126"/>
        <v>#VALUE!</v>
      </c>
      <c r="E7695" s="2" t="s">
        <v>827</v>
      </c>
    </row>
    <row r="7696" spans="1:5" x14ac:dyDescent="0.2">
      <c r="A7696">
        <v>7635</v>
      </c>
      <c r="B7696" s="138">
        <f>'Expenditures 15-22'!K328</f>
        <v>0</v>
      </c>
      <c r="D7696" s="2" t="str">
        <f t="shared" si="126"/>
        <v>Error?</v>
      </c>
      <c r="E7696" s="2" t="s">
        <v>827</v>
      </c>
    </row>
    <row r="7697" spans="1:5" x14ac:dyDescent="0.2">
      <c r="A7697">
        <v>7636</v>
      </c>
      <c r="B7697" s="138" t="str">
        <f>'Expenditures 15-22'!C329</f>
        <v xml:space="preserve"> </v>
      </c>
      <c r="D7697" s="2" t="e">
        <f t="shared" si="126"/>
        <v>#VALUE!</v>
      </c>
      <c r="E7697" s="2" t="s">
        <v>827</v>
      </c>
    </row>
    <row r="7698" spans="1:5" x14ac:dyDescent="0.2">
      <c r="A7698">
        <v>7637</v>
      </c>
      <c r="B7698" s="138" t="str">
        <f>'Expenditures 15-22'!D329</f>
        <v xml:space="preserve"> </v>
      </c>
      <c r="D7698" s="2" t="e">
        <f t="shared" si="126"/>
        <v>#VALUE!</v>
      </c>
      <c r="E7698" s="2" t="s">
        <v>827</v>
      </c>
    </row>
    <row r="7699" spans="1:5" x14ac:dyDescent="0.2">
      <c r="A7699">
        <v>7638</v>
      </c>
      <c r="B7699" s="138" t="str">
        <f>'Expenditures 15-22'!E329</f>
        <v xml:space="preserve"> </v>
      </c>
      <c r="D7699" s="2" t="e">
        <f t="shared" si="126"/>
        <v>#VALUE!</v>
      </c>
      <c r="E7699" s="2" t="s">
        <v>827</v>
      </c>
    </row>
    <row r="7700" spans="1:5" x14ac:dyDescent="0.2">
      <c r="A7700">
        <v>7639</v>
      </c>
      <c r="B7700" s="138" t="str">
        <f>'Expenditures 15-22'!F329</f>
        <v xml:space="preserve"> </v>
      </c>
      <c r="D7700" s="2" t="e">
        <f t="shared" si="126"/>
        <v>#VALUE!</v>
      </c>
      <c r="E7700" s="2" t="s">
        <v>827</v>
      </c>
    </row>
    <row r="7701" spans="1:5" x14ac:dyDescent="0.2">
      <c r="A7701">
        <v>7640</v>
      </c>
      <c r="B7701" s="138" t="str">
        <f>'Expenditures 15-22'!G329</f>
        <v xml:space="preserve"> </v>
      </c>
      <c r="D7701" s="2" t="e">
        <f t="shared" si="126"/>
        <v>#VALUE!</v>
      </c>
      <c r="E7701" s="2" t="s">
        <v>827</v>
      </c>
    </row>
    <row r="7702" spans="1:5" x14ac:dyDescent="0.2">
      <c r="A7702">
        <v>7641</v>
      </c>
      <c r="B7702" s="138" t="str">
        <f>'Expenditures 15-22'!H329</f>
        <v xml:space="preserve"> </v>
      </c>
      <c r="D7702" s="2" t="e">
        <f t="shared" si="126"/>
        <v>#VALUE!</v>
      </c>
      <c r="E7702" s="2" t="s">
        <v>827</v>
      </c>
    </row>
    <row r="7703" spans="1:5" x14ac:dyDescent="0.2">
      <c r="A7703">
        <v>7642</v>
      </c>
      <c r="B7703" s="138" t="str">
        <f>'Expenditures 15-22'!I329</f>
        <v xml:space="preserve"> </v>
      </c>
      <c r="D7703" s="2" t="e">
        <f t="shared" si="126"/>
        <v>#VALUE!</v>
      </c>
      <c r="E7703" s="2" t="s">
        <v>827</v>
      </c>
    </row>
    <row r="7704" spans="1:5" x14ac:dyDescent="0.2">
      <c r="A7704">
        <v>7643</v>
      </c>
      <c r="B7704" s="138" t="str">
        <f>'Expenditures 15-22'!J329</f>
        <v xml:space="preserve"> </v>
      </c>
      <c r="D7704" s="2" t="e">
        <f t="shared" si="126"/>
        <v>#VALUE!</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34684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t="str">
        <f>'Expenditures 15-22'!D282</f>
        <v xml:space="preserve"> </v>
      </c>
      <c r="D7783" s="2" t="e">
        <f t="shared" si="127"/>
        <v>#VALUE!</v>
      </c>
      <c r="E7783" s="4" t="s">
        <v>1855</v>
      </c>
    </row>
    <row r="7784" spans="1:5" x14ac:dyDescent="0.2">
      <c r="A7784">
        <v>7723</v>
      </c>
      <c r="B7784" s="138" t="str">
        <f>'Expenditures 15-22'!K282</f>
        <v xml:space="preserve"> </v>
      </c>
      <c r="D7784" s="2" t="e">
        <f t="shared" si="127"/>
        <v>#VALUE!</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39823</v>
      </c>
      <c r="D7797" s="2" t="str">
        <f t="shared" si="127"/>
        <v>Error?</v>
      </c>
      <c r="E7797" s="4" t="s">
        <v>1904</v>
      </c>
    </row>
    <row r="7798" spans="1:5" x14ac:dyDescent="0.2">
      <c r="A7798">
        <v>7737</v>
      </c>
      <c r="B7798" s="138">
        <f>'Contracts Paid in CY 29'!F141</f>
        <v>37600</v>
      </c>
      <c r="D7798" s="2" t="str">
        <f t="shared" si="127"/>
        <v>Error?</v>
      </c>
      <c r="E7798" s="4" t="s">
        <v>1904</v>
      </c>
    </row>
    <row r="7799" spans="1:5" x14ac:dyDescent="0.2">
      <c r="A7799">
        <v>7738</v>
      </c>
      <c r="B7799" s="138">
        <f>'Contracts Paid in CY 29'!G141</f>
        <v>2223</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Taft SD 90</v>
      </c>
      <c r="B7" s="2385"/>
      <c r="C7" s="2385"/>
      <c r="D7" s="2422"/>
      <c r="E7" s="2423">
        <f>COVER!A13</f>
        <v>56099090002</v>
      </c>
      <c r="F7" s="2424"/>
      <c r="G7" s="2391" t="str">
        <f>COVER!T23</f>
        <v>066-004945</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GASSENSMITH &amp; MICHALESKO, LTD.</v>
      </c>
      <c r="H9" s="2398"/>
      <c r="I9" s="2398"/>
      <c r="J9" s="2398"/>
      <c r="K9" s="2398"/>
      <c r="L9" s="2399"/>
    </row>
    <row r="10" spans="1:29" ht="13.5" customHeight="1" x14ac:dyDescent="0.2">
      <c r="A10" s="2381" t="str">
        <f>COVER!A38</f>
        <v>JAMES CALABRESE</v>
      </c>
      <c r="B10" s="2382"/>
      <c r="C10" s="2382"/>
      <c r="D10" s="2382"/>
      <c r="E10" s="2382"/>
      <c r="F10" s="2383"/>
      <c r="G10" s="2397" t="str">
        <f>COVER!T17</f>
        <v>323 SPRINGFIELD AVE</v>
      </c>
      <c r="H10" s="2410"/>
      <c r="I10" s="2410"/>
      <c r="J10" s="2410"/>
      <c r="K10" s="2410"/>
      <c r="L10" s="2411"/>
    </row>
    <row r="11" spans="1:29" ht="13.5" customHeight="1" x14ac:dyDescent="0.2">
      <c r="A11" s="1184" t="s">
        <v>1519</v>
      </c>
      <c r="B11" s="1185"/>
      <c r="C11" s="1186"/>
      <c r="D11" s="1191"/>
      <c r="E11" s="1186"/>
      <c r="F11" s="1190"/>
      <c r="G11" s="2397" t="str">
        <f>COVER!T19</f>
        <v>JOLIET</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f>COVER!T25</f>
        <v>0</v>
      </c>
      <c r="J13" s="2419"/>
      <c r="K13" s="2419"/>
      <c r="L13" s="2420"/>
    </row>
    <row r="14" spans="1:29" ht="13.5" customHeight="1" x14ac:dyDescent="0.2">
      <c r="A14" s="2397" t="str">
        <f>COVER!A19</f>
        <v>1605 S WASHINGTON</v>
      </c>
      <c r="B14" s="2410"/>
      <c r="C14" s="2410"/>
      <c r="D14" s="2410"/>
      <c r="E14" s="2410"/>
      <c r="F14" s="2411"/>
      <c r="G14" s="1195" t="s">
        <v>1185</v>
      </c>
      <c r="H14" s="1193"/>
      <c r="I14" s="1193"/>
      <c r="J14" s="1193"/>
      <c r="K14" s="1193"/>
      <c r="L14" s="1194"/>
    </row>
    <row r="15" spans="1:29" ht="13.5" customHeight="1" x14ac:dyDescent="0.2">
      <c r="A15" s="2397" t="str">
        <f>COVER!A21</f>
        <v>LOCKPORT</v>
      </c>
      <c r="B15" s="2410"/>
      <c r="C15" s="2410"/>
      <c r="D15" s="2410"/>
      <c r="E15" s="2410"/>
      <c r="F15" s="2411"/>
      <c r="G15" s="2407" t="str">
        <f>COVER!T15</f>
        <v>JOHN MICHALESKO</v>
      </c>
      <c r="H15" s="2408"/>
      <c r="I15" s="2408"/>
      <c r="J15" s="2408"/>
      <c r="K15" s="2408"/>
      <c r="L15" s="2409"/>
    </row>
    <row r="16" spans="1:29" ht="12.2" customHeight="1" x14ac:dyDescent="0.2">
      <c r="A16" s="2387">
        <f>COVER!A25</f>
        <v>60441</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815-744-6200</v>
      </c>
      <c r="H18" s="2385"/>
      <c r="I18" s="2385"/>
      <c r="J18" s="2385"/>
      <c r="K18" s="2384" t="str">
        <f>COVER!X21</f>
        <v>815-744-3822</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Taft SD 90</v>
      </c>
      <c r="B1" s="2421"/>
      <c r="C1" s="2421"/>
      <c r="D1" s="2421"/>
    </row>
    <row r="2" spans="1:11" s="1212" customFormat="1" ht="12.75" x14ac:dyDescent="0.2">
      <c r="A2" s="2426">
        <f>'Single Audit Cover'!E7</f>
        <v>56099090002</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Taft SD 90</v>
      </c>
      <c r="B1" s="2429"/>
      <c r="C1" s="2429"/>
      <c r="D1" s="2429"/>
      <c r="E1" s="2429"/>
    </row>
    <row r="2" spans="1:5" x14ac:dyDescent="0.2">
      <c r="A2" s="2430">
        <f>'Single Audit Cover'!E7</f>
        <v>56099090002</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234552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6076</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-11701</v>
      </c>
    </row>
    <row r="19" spans="1:4" ht="13.5" thickBot="1" x14ac:dyDescent="0.25">
      <c r="A19" s="1262" t="s">
        <v>1235</v>
      </c>
      <c r="D19" s="1263">
        <f>SUM(D10:D17)</f>
        <v>228927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228927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228927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Taft SD 90</v>
      </c>
      <c r="C1" s="2433"/>
      <c r="D1" s="2433"/>
      <c r="E1" s="2433"/>
      <c r="F1" s="2433"/>
      <c r="G1" s="2433"/>
      <c r="H1" s="2433"/>
      <c r="I1" s="2433"/>
      <c r="J1" s="2433"/>
      <c r="K1" s="2433"/>
      <c r="L1" s="2433"/>
      <c r="M1" s="2433"/>
    </row>
    <row r="2" spans="2:14" ht="15" x14ac:dyDescent="0.2">
      <c r="B2" s="2434">
        <f>'Single Audit Cover'!E7</f>
        <v>56099090002</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Taft SD 90</v>
      </c>
      <c r="B1" s="2438"/>
      <c r="C1" s="2438"/>
      <c r="D1" s="2438"/>
      <c r="E1" s="2438"/>
      <c r="F1" s="2438"/>
    </row>
    <row r="2" spans="1:7" ht="13.5" customHeight="1" x14ac:dyDescent="0.2">
      <c r="A2" s="2434">
        <f>'Single Audit Cover'!E7</f>
        <v>56099090002</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D55" sqref="D5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2091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2091</v>
      </c>
      <c r="C53" s="179">
        <v>22</v>
      </c>
      <c r="D53" s="247" t="s">
        <v>1462</v>
      </c>
      <c r="E53" s="248"/>
      <c r="F53" s="249"/>
      <c r="G53" s="249" t="s">
        <v>1461</v>
      </c>
      <c r="H53" s="250">
        <v>33420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2068</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Taft SD 90</v>
      </c>
      <c r="C1" s="2454"/>
      <c r="D1" s="2454"/>
      <c r="E1" s="2454"/>
      <c r="F1" s="2454"/>
      <c r="G1" s="2454"/>
      <c r="H1" s="2454"/>
      <c r="I1" s="2454"/>
      <c r="J1" s="1406"/>
    </row>
    <row r="2" spans="2:10" s="317" customFormat="1" ht="12.75" customHeight="1" x14ac:dyDescent="0.2">
      <c r="B2" s="2455">
        <f>'Single Audit Cover'!E7</f>
        <v>56099090002</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1841</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Taft SD 90</v>
      </c>
      <c r="C1" s="2453"/>
      <c r="D1" s="2453"/>
      <c r="E1" s="2453"/>
      <c r="F1" s="2453"/>
      <c r="G1" s="2453"/>
      <c r="H1" s="2453"/>
      <c r="I1" s="2453"/>
      <c r="J1" s="2453"/>
      <c r="K1" s="2453"/>
      <c r="L1" s="1371"/>
      <c r="M1" s="1371"/>
    </row>
    <row r="2" spans="1:13" ht="12" customHeight="1" x14ac:dyDescent="0.2">
      <c r="B2" s="2455">
        <f>'Single Audit Cover'!E7</f>
        <v>56099090002</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Taft SD 90</v>
      </c>
      <c r="C1" s="2480"/>
      <c r="D1" s="2480"/>
      <c r="E1" s="2480"/>
      <c r="F1" s="2480"/>
      <c r="G1" s="2480"/>
      <c r="H1" s="2480"/>
      <c r="I1" s="2480"/>
      <c r="J1" s="2480"/>
      <c r="K1" s="2480"/>
      <c r="L1" s="1449"/>
    </row>
    <row r="2" spans="1:12" ht="12.75" customHeight="1" x14ac:dyDescent="0.2">
      <c r="B2" s="2481">
        <f>'Single Audit Cover'!E7</f>
        <v>56099090002</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Taft SD 90</v>
      </c>
      <c r="C1" s="2453"/>
      <c r="D1" s="2453"/>
      <c r="E1" s="1469"/>
    </row>
    <row r="2" spans="2:5" s="1279" customFormat="1" ht="12.75" customHeight="1" x14ac:dyDescent="0.2">
      <c r="B2" s="2455">
        <f>'Single Audit Cover'!E7</f>
        <v>56099090002</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67856411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2.1999999999999999E-2</v>
      </c>
      <c r="E10" s="356" t="s">
        <v>1005</v>
      </c>
      <c r="F10" s="355">
        <v>4.0000000000000001E-3</v>
      </c>
      <c r="G10" s="356" t="s">
        <v>1005</v>
      </c>
      <c r="H10" s="355">
        <v>2.8699999999999998E-4</v>
      </c>
      <c r="I10" s="356" t="s">
        <v>1006</v>
      </c>
      <c r="J10" s="1732">
        <f>ROUND(D10+F10+H10,5)</f>
        <v>2.6290000000000001E-2</v>
      </c>
      <c r="K10" s="222"/>
      <c r="L10" s="355">
        <v>7.4999999999999993E-5</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3401350</v>
      </c>
      <c r="E16" s="356"/>
      <c r="F16" s="1733">
        <f>SUM('Acct Summary 7-8'!C17,'Acct Summary 7-8'!D17,'Acct Summary 7-8'!F17)</f>
        <v>2988241</v>
      </c>
      <c r="G16" s="356"/>
      <c r="H16" s="1733">
        <f>SUM(D16-F16)</f>
        <v>413109</v>
      </c>
      <c r="I16" s="222"/>
      <c r="J16" s="1733">
        <f>SUM('Acct Summary 7-8'!C81,'Acct Summary 7-8'!D81,'Acct Summary 7-8'!F81,'Acct Summary 7-8'!I81)</f>
        <v>2046527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2067</v>
      </c>
      <c r="C31" s="367" t="s">
        <v>586</v>
      </c>
      <c r="D31" s="237" t="s">
        <v>1072</v>
      </c>
      <c r="E31" s="222"/>
      <c r="F31" s="222"/>
      <c r="G31" s="363"/>
      <c r="H31" s="1735">
        <f>IF(B31="X",(J7*0.069),IF(B32="X",(J7*0.138),"Enter x in a.or b."))</f>
        <v>4682092.3590000002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4000000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55" sqref="D5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Taft SD 90</v>
      </c>
      <c r="E7" s="391"/>
      <c r="G7" s="252"/>
      <c r="H7" s="387"/>
      <c r="I7" s="387"/>
      <c r="J7" s="387"/>
      <c r="K7" s="387"/>
      <c r="L7" s="329"/>
      <c r="M7" s="329"/>
      <c r="N7" s="329"/>
      <c r="O7" s="329"/>
      <c r="P7" s="329"/>
    </row>
    <row r="8" spans="1:18" ht="12.75" x14ac:dyDescent="0.2">
      <c r="A8" s="329"/>
      <c r="B8" s="329"/>
      <c r="C8" s="389" t="s">
        <v>1125</v>
      </c>
      <c r="D8" s="392">
        <f>COVER!A13</f>
        <v>56099090002</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2046527</v>
      </c>
      <c r="I12" s="404"/>
      <c r="J12" s="404"/>
      <c r="K12" s="405">
        <f>TRUNC((H12/H13*100000),5)/100000</f>
        <v>0.60168080320000006</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3401350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2988241</v>
      </c>
      <c r="I17" s="404"/>
      <c r="J17" s="416"/>
      <c r="K17" s="405">
        <f>TRUNC((H17/H18*100000),5)/100000</f>
        <v>0.87854557740000006</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3401350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2046527</v>
      </c>
      <c r="I24" s="422"/>
      <c r="J24" s="422"/>
      <c r="K24" s="423">
        <f>TRUNC(((H24/H25*100000)/100000),2)</f>
        <v>246.54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8300.6694399999997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1516353.28841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4000000</v>
      </c>
      <c r="I32" s="420"/>
      <c r="J32" s="420"/>
      <c r="K32" s="423">
        <f>TRUNC(100-((((H32/H33*100))*100)/100),2)</f>
        <v>14.56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4682092.3590000002</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D55" sqref="D55"/>
      <selection pane="bottomLeft" activeCell="D55" sqref="D5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1547646</v>
      </c>
      <c r="D4" s="466">
        <v>380512</v>
      </c>
      <c r="E4" s="466">
        <v>36402</v>
      </c>
      <c r="F4" s="466">
        <v>63663</v>
      </c>
      <c r="G4" s="466">
        <v>404</v>
      </c>
      <c r="H4" s="466">
        <v>44913</v>
      </c>
      <c r="I4" s="466">
        <v>54706</v>
      </c>
      <c r="J4" s="467">
        <v>16590</v>
      </c>
      <c r="K4" s="466">
        <v>114</v>
      </c>
      <c r="L4" s="466">
        <v>14809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1547646</v>
      </c>
      <c r="D13" s="1737">
        <f t="shared" ref="D13:L13" si="0">SUM(D4:D12)</f>
        <v>380512</v>
      </c>
      <c r="E13" s="1737">
        <f t="shared" si="0"/>
        <v>36402</v>
      </c>
      <c r="F13" s="1737">
        <f t="shared" si="0"/>
        <v>63663</v>
      </c>
      <c r="G13" s="1737">
        <f t="shared" si="0"/>
        <v>404</v>
      </c>
      <c r="H13" s="1737">
        <f t="shared" si="0"/>
        <v>44913</v>
      </c>
      <c r="I13" s="1737">
        <f t="shared" si="0"/>
        <v>54706</v>
      </c>
      <c r="J13" s="1737">
        <f t="shared" si="0"/>
        <v>16590</v>
      </c>
      <c r="K13" s="1737">
        <f t="shared" si="0"/>
        <v>114</v>
      </c>
      <c r="L13" s="1737">
        <f t="shared" si="0"/>
        <v>14809</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12500</v>
      </c>
      <c r="N16" s="484"/>
    </row>
    <row r="17" spans="1:14" s="485" customFormat="1" ht="12.75" customHeight="1" x14ac:dyDescent="0.2">
      <c r="A17" s="482" t="s">
        <v>1403</v>
      </c>
      <c r="B17" s="483">
        <v>230</v>
      </c>
      <c r="C17" s="477"/>
      <c r="D17" s="477"/>
      <c r="E17" s="477"/>
      <c r="F17" s="477"/>
      <c r="G17" s="477"/>
      <c r="H17" s="477"/>
      <c r="I17" s="477"/>
      <c r="J17" s="477"/>
      <c r="K17" s="477"/>
      <c r="L17" s="477"/>
      <c r="M17" s="467">
        <v>7076720</v>
      </c>
      <c r="N17" s="484"/>
    </row>
    <row r="18" spans="1:14" s="485" customFormat="1" ht="12.75" customHeight="1" x14ac:dyDescent="0.2">
      <c r="A18" s="482" t="s">
        <v>1404</v>
      </c>
      <c r="B18" s="483">
        <v>240</v>
      </c>
      <c r="C18" s="477"/>
      <c r="D18" s="477"/>
      <c r="E18" s="477"/>
      <c r="F18" s="477"/>
      <c r="G18" s="477"/>
      <c r="H18" s="477"/>
      <c r="I18" s="477"/>
      <c r="J18" s="477"/>
      <c r="K18" s="477"/>
      <c r="L18" s="477"/>
      <c r="M18" s="467">
        <v>412333</v>
      </c>
      <c r="N18" s="484"/>
    </row>
    <row r="19" spans="1:14" s="485" customFormat="1" ht="12.75" customHeight="1" x14ac:dyDescent="0.2">
      <c r="A19" s="482" t="s">
        <v>1405</v>
      </c>
      <c r="B19" s="483">
        <v>250</v>
      </c>
      <c r="C19" s="477"/>
      <c r="D19" s="477"/>
      <c r="E19" s="477"/>
      <c r="F19" s="477"/>
      <c r="G19" s="477"/>
      <c r="H19" s="477"/>
      <c r="I19" s="477"/>
      <c r="J19" s="477"/>
      <c r="K19" s="477"/>
      <c r="L19" s="477"/>
      <c r="M19" s="467">
        <f>802954+9104</f>
        <v>812058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36402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3963598</v>
      </c>
    </row>
    <row r="23" spans="1:14" ht="13.5" customHeight="1" thickBot="1" x14ac:dyDescent="0.25">
      <c r="A23" s="1736" t="s">
        <v>643</v>
      </c>
      <c r="B23" s="1741"/>
      <c r="C23" s="468"/>
      <c r="D23" s="468"/>
      <c r="E23" s="468"/>
      <c r="F23" s="468"/>
      <c r="G23" s="468"/>
      <c r="H23" s="468"/>
      <c r="I23" s="468"/>
      <c r="J23" s="468"/>
      <c r="K23" s="468"/>
      <c r="L23" s="468"/>
      <c r="M23" s="1688">
        <f>SUM(M15:M22)</f>
        <v>8313611</v>
      </c>
      <c r="N23" s="1688">
        <f>SUM(N21:N22)</f>
        <v>4000000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14809</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14809</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4000000</v>
      </c>
    </row>
    <row r="37" spans="1:14" ht="13.5" thickBot="1" x14ac:dyDescent="0.25">
      <c r="A37" s="1736" t="s">
        <v>653</v>
      </c>
      <c r="B37" s="1741"/>
      <c r="C37" s="477"/>
      <c r="D37" s="477"/>
      <c r="E37" s="477"/>
      <c r="F37" s="477"/>
      <c r="G37" s="477"/>
      <c r="H37" s="477"/>
      <c r="I37" s="477"/>
      <c r="J37" s="477"/>
      <c r="K37" s="477"/>
      <c r="L37" s="480"/>
      <c r="M37" s="468"/>
      <c r="N37" s="1688">
        <f>SUM(N36:N36)</f>
        <v>4000000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1547646</v>
      </c>
      <c r="D39" s="466">
        <v>380512</v>
      </c>
      <c r="E39" s="466">
        <v>36402</v>
      </c>
      <c r="F39" s="466">
        <v>63663</v>
      </c>
      <c r="G39" s="466">
        <v>404</v>
      </c>
      <c r="H39" s="466">
        <v>44913</v>
      </c>
      <c r="I39" s="466">
        <v>54706</v>
      </c>
      <c r="J39" s="467">
        <v>16590</v>
      </c>
      <c r="K39" s="466">
        <v>114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8313611</v>
      </c>
      <c r="N40" s="497"/>
    </row>
    <row r="41" spans="1:14" ht="13.5" customHeight="1" thickBot="1" x14ac:dyDescent="0.25">
      <c r="A41" s="1736" t="s">
        <v>655</v>
      </c>
      <c r="B41" s="1706"/>
      <c r="C41" s="1688">
        <f>(SUM(C34,C37,C38,C39))</f>
        <v>1547646</v>
      </c>
      <c r="D41" s="1688">
        <f t="shared" ref="D41:L41" si="2">SUM(D34,D37,D38:D39)</f>
        <v>380512</v>
      </c>
      <c r="E41" s="1688">
        <f t="shared" si="2"/>
        <v>36402</v>
      </c>
      <c r="F41" s="1688">
        <f t="shared" si="2"/>
        <v>63663</v>
      </c>
      <c r="G41" s="1688">
        <f t="shared" si="2"/>
        <v>404</v>
      </c>
      <c r="H41" s="1688">
        <f t="shared" si="2"/>
        <v>44913</v>
      </c>
      <c r="I41" s="1688">
        <f t="shared" si="2"/>
        <v>54706</v>
      </c>
      <c r="J41" s="1688">
        <f t="shared" si="2"/>
        <v>16590</v>
      </c>
      <c r="K41" s="1688">
        <f t="shared" si="2"/>
        <v>114</v>
      </c>
      <c r="L41" s="1688">
        <f t="shared" si="2"/>
        <v>14809</v>
      </c>
      <c r="M41" s="1688">
        <f>SUM(M40)</f>
        <v>8313611</v>
      </c>
      <c r="N41" s="1688">
        <f>SUM(N37)</f>
        <v>4000000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D55" sqref="D55"/>
      <selection pane="bottomLeft" activeCell="D55" sqref="D5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1616830</v>
      </c>
      <c r="D4" s="1742">
        <f>'Revenues 9-14'!D109</f>
        <v>278835</v>
      </c>
      <c r="E4" s="1742">
        <f>'Revenues 9-14'!E109</f>
        <v>366811</v>
      </c>
      <c r="F4" s="1742">
        <f>'Revenues 9-14'!F109</f>
        <v>21675</v>
      </c>
      <c r="G4" s="1742">
        <f>'Revenues 9-14'!G109</f>
        <v>35460</v>
      </c>
      <c r="H4" s="1742">
        <f>'Revenues 9-14'!H109</f>
        <v>0</v>
      </c>
      <c r="I4" s="1742">
        <f>'Revenues 9-14'!I109</f>
        <v>7812</v>
      </c>
      <c r="J4" s="1742">
        <f>'Revenues 9-14'!J109</f>
        <v>10619</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1149932</v>
      </c>
      <c r="D6" s="1743">
        <f>'Revenues 9-14'!D170</f>
        <v>0</v>
      </c>
      <c r="E6" s="1743">
        <f>'Revenues 9-14'!E170</f>
        <v>0</v>
      </c>
      <c r="F6" s="1743">
        <f>'Revenues 9-14'!F170</f>
        <v>91714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231716</v>
      </c>
      <c r="D7" s="1743">
        <f>'Revenues 9-14'!D267</f>
        <v>0</v>
      </c>
      <c r="E7" s="1743">
        <f>'Revenues 9-14'!E267</f>
        <v>0</v>
      </c>
      <c r="F7" s="1743">
        <f>'Revenues 9-14'!F267</f>
        <v>2836</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2998478</v>
      </c>
      <c r="D8" s="1688">
        <f t="shared" ref="D8:K8" si="0">SUM(D4:D7)</f>
        <v>278835</v>
      </c>
      <c r="E8" s="1688">
        <f t="shared" si="0"/>
        <v>366811</v>
      </c>
      <c r="F8" s="1688">
        <f t="shared" si="0"/>
        <v>116225</v>
      </c>
      <c r="G8" s="1688">
        <f t="shared" si="0"/>
        <v>35460</v>
      </c>
      <c r="H8" s="1688">
        <f t="shared" si="0"/>
        <v>0</v>
      </c>
      <c r="I8" s="1688">
        <f t="shared" si="0"/>
        <v>7812</v>
      </c>
      <c r="J8" s="1688">
        <f t="shared" si="0"/>
        <v>10619</v>
      </c>
      <c r="K8" s="1688">
        <f t="shared" si="0"/>
        <v>0</v>
      </c>
      <c r="L8" s="347"/>
    </row>
    <row r="9" spans="1:13" ht="15.75" thickTop="1" x14ac:dyDescent="0.2">
      <c r="A9" s="514" t="s">
        <v>1653</v>
      </c>
      <c r="B9" s="515">
        <v>3998</v>
      </c>
      <c r="C9" s="481">
        <v>2326446</v>
      </c>
      <c r="D9" s="516"/>
      <c r="E9" s="481"/>
      <c r="F9" s="481"/>
      <c r="G9" s="517"/>
      <c r="H9" s="481"/>
      <c r="I9" s="509" t="s">
        <v>1169</v>
      </c>
      <c r="J9" s="478"/>
      <c r="K9" s="481"/>
      <c r="L9" s="347"/>
    </row>
    <row r="10" spans="1:13" s="519" customFormat="1" ht="13.5" thickBot="1" x14ac:dyDescent="0.25">
      <c r="A10" s="1736" t="s">
        <v>1173</v>
      </c>
      <c r="B10" s="1709"/>
      <c r="C10" s="1688">
        <f>SUM(C8:C9)</f>
        <v>5324924</v>
      </c>
      <c r="D10" s="1688">
        <f t="shared" ref="D10:K10" si="1">SUM(D8:D9)</f>
        <v>278835</v>
      </c>
      <c r="E10" s="1688">
        <f t="shared" si="1"/>
        <v>366811</v>
      </c>
      <c r="F10" s="1688">
        <f t="shared" si="1"/>
        <v>116225</v>
      </c>
      <c r="G10" s="1688">
        <f t="shared" si="1"/>
        <v>35460</v>
      </c>
      <c r="H10" s="1688">
        <f t="shared" si="1"/>
        <v>0</v>
      </c>
      <c r="I10" s="1688">
        <f t="shared" si="1"/>
        <v>7812</v>
      </c>
      <c r="J10" s="1688">
        <f t="shared" si="1"/>
        <v>10619</v>
      </c>
      <c r="K10" s="1688">
        <f t="shared" si="1"/>
        <v>0</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1357797</v>
      </c>
      <c r="D12" s="520" t="s">
        <v>1169</v>
      </c>
      <c r="E12" s="468" t="s">
        <v>1169</v>
      </c>
      <c r="F12" s="468" t="s">
        <v>1169</v>
      </c>
      <c r="G12" s="1742">
        <f>'Expenditures 15-22'!K229</f>
        <v>23308</v>
      </c>
      <c r="H12" s="521"/>
      <c r="I12" s="468" t="s">
        <v>1169</v>
      </c>
      <c r="J12" s="468" t="s">
        <v>1169</v>
      </c>
      <c r="K12" s="521" t="s">
        <v>1169</v>
      </c>
      <c r="L12" s="347"/>
    </row>
    <row r="13" spans="1:13" ht="15.75" customHeight="1" x14ac:dyDescent="0.2">
      <c r="A13" s="1576" t="s">
        <v>457</v>
      </c>
      <c r="B13" s="1578">
        <v>2000</v>
      </c>
      <c r="C13" s="1743">
        <f>'Expenditures 15-22'!K74</f>
        <v>598243</v>
      </c>
      <c r="D13" s="1743">
        <f>'Expenditures 15-22'!K129</f>
        <v>208922</v>
      </c>
      <c r="E13" s="469" t="s">
        <v>1169</v>
      </c>
      <c r="F13" s="1743">
        <f>'Expenditures 15-22'!K184</f>
        <v>2001</v>
      </c>
      <c r="G13" s="1743">
        <f>'Expenditures 15-22'!K279</f>
        <v>27400</v>
      </c>
      <c r="H13" s="1743">
        <f>'Expenditures 15-22'!K303</f>
        <v>0</v>
      </c>
      <c r="I13" s="468" t="s">
        <v>1169</v>
      </c>
      <c r="J13" s="1743">
        <f>'Expenditures 15-22'!K330</f>
        <v>6170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660645</v>
      </c>
      <c r="D15" s="1743">
        <f>'Expenditures 15-22'!K139</f>
        <v>0</v>
      </c>
      <c r="E15" s="1743">
        <f>'Expenditures 15-22'!K160</f>
        <v>0</v>
      </c>
      <c r="F15" s="1743">
        <f>'Expenditures 15-22'!K196</f>
        <v>160633</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368200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2616685</v>
      </c>
      <c r="D17" s="1688">
        <f t="shared" si="2"/>
        <v>208922</v>
      </c>
      <c r="E17" s="1688">
        <f t="shared" si="2"/>
        <v>368200</v>
      </c>
      <c r="F17" s="1688">
        <f t="shared" si="2"/>
        <v>162634</v>
      </c>
      <c r="G17" s="1688">
        <f t="shared" si="2"/>
        <v>50708</v>
      </c>
      <c r="H17" s="1688">
        <f t="shared" si="2"/>
        <v>0</v>
      </c>
      <c r="I17" s="468"/>
      <c r="J17" s="1688">
        <f>SUM(J12:J16)</f>
        <v>6170</v>
      </c>
      <c r="K17" s="1688">
        <f>SUM(K12:K16)</f>
        <v>0</v>
      </c>
      <c r="L17" s="347"/>
    </row>
    <row r="18" spans="1:12" ht="15" customHeight="1" thickTop="1" x14ac:dyDescent="0.2">
      <c r="A18" s="1744" t="s">
        <v>1654</v>
      </c>
      <c r="B18" s="1745">
        <v>4180</v>
      </c>
      <c r="C18" s="1742">
        <f t="shared" ref="C18:H18" si="3">C9</f>
        <v>2326446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4943131</v>
      </c>
      <c r="D19" s="1688">
        <f t="shared" si="4"/>
        <v>208922</v>
      </c>
      <c r="E19" s="1688">
        <f t="shared" si="4"/>
        <v>368200</v>
      </c>
      <c r="F19" s="1688">
        <f t="shared" si="4"/>
        <v>162634</v>
      </c>
      <c r="G19" s="1688">
        <f t="shared" si="4"/>
        <v>50708</v>
      </c>
      <c r="H19" s="1688">
        <f t="shared" si="4"/>
        <v>0</v>
      </c>
      <c r="I19" s="468"/>
      <c r="J19" s="1688">
        <f>SUM(J17:J18)</f>
        <v>6170</v>
      </c>
      <c r="K19" s="1688">
        <f>SUM(K17:K18)</f>
        <v>0</v>
      </c>
      <c r="L19" s="347"/>
    </row>
    <row r="20" spans="1:12" ht="16.5" thickTop="1" thickBot="1" x14ac:dyDescent="0.25">
      <c r="A20" s="2126" t="s">
        <v>1655</v>
      </c>
      <c r="B20" s="2127"/>
      <c r="C20" s="1746">
        <f>C8-C17</f>
        <v>381793</v>
      </c>
      <c r="D20" s="1746">
        <f t="shared" ref="D20:K20" si="5">D8-D17</f>
        <v>69913</v>
      </c>
      <c r="E20" s="1746">
        <f t="shared" si="5"/>
        <v>-1389</v>
      </c>
      <c r="F20" s="1746">
        <f t="shared" si="5"/>
        <v>-46409</v>
      </c>
      <c r="G20" s="1746">
        <f t="shared" si="5"/>
        <v>-15248</v>
      </c>
      <c r="H20" s="1746">
        <f t="shared" si="5"/>
        <v>0</v>
      </c>
      <c r="I20" s="1746">
        <f t="shared" si="5"/>
        <v>7812</v>
      </c>
      <c r="J20" s="1746">
        <f t="shared" si="5"/>
        <v>4449</v>
      </c>
      <c r="K20" s="1746">
        <f t="shared" si="5"/>
        <v>0</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381793</v>
      </c>
      <c r="D78" s="1702">
        <f t="shared" si="9"/>
        <v>69913</v>
      </c>
      <c r="E78" s="1702">
        <f t="shared" si="9"/>
        <v>-1389</v>
      </c>
      <c r="F78" s="1702">
        <f t="shared" si="9"/>
        <v>-46409</v>
      </c>
      <c r="G78" s="1702">
        <f t="shared" si="9"/>
        <v>-15248</v>
      </c>
      <c r="H78" s="1702">
        <f t="shared" si="9"/>
        <v>0</v>
      </c>
      <c r="I78" s="1702">
        <f t="shared" si="9"/>
        <v>7812</v>
      </c>
      <c r="J78" s="1702">
        <f t="shared" si="9"/>
        <v>4449</v>
      </c>
      <c r="K78" s="1702">
        <f t="shared" si="9"/>
        <v>0</v>
      </c>
      <c r="L78" s="533"/>
    </row>
    <row r="79" spans="1:12" ht="13.5" thickTop="1" x14ac:dyDescent="0.2">
      <c r="A79" s="1494" t="s">
        <v>1949</v>
      </c>
      <c r="B79" s="534"/>
      <c r="C79" s="478">
        <v>1165853</v>
      </c>
      <c r="D79" s="535">
        <v>310599</v>
      </c>
      <c r="E79" s="535">
        <v>37791</v>
      </c>
      <c r="F79" s="535">
        <v>110072</v>
      </c>
      <c r="G79" s="535">
        <v>15652</v>
      </c>
      <c r="H79" s="535">
        <v>44913</v>
      </c>
      <c r="I79" s="535">
        <v>46894</v>
      </c>
      <c r="J79" s="535">
        <v>12141</v>
      </c>
      <c r="K79" s="535">
        <v>114</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1547646</v>
      </c>
      <c r="D81" s="1688">
        <f>SUM(D78:D80)</f>
        <v>380512</v>
      </c>
      <c r="E81" s="1688">
        <f t="shared" ref="E81:K81" si="10">SUM(E78:E80)</f>
        <v>36402</v>
      </c>
      <c r="F81" s="1688">
        <f t="shared" si="10"/>
        <v>63663</v>
      </c>
      <c r="G81" s="1688">
        <f t="shared" si="10"/>
        <v>404</v>
      </c>
      <c r="H81" s="1688">
        <f t="shared" si="10"/>
        <v>44913</v>
      </c>
      <c r="I81" s="1688">
        <f t="shared" si="10"/>
        <v>54706</v>
      </c>
      <c r="J81" s="1688">
        <f t="shared" si="10"/>
        <v>16590</v>
      </c>
      <c r="K81" s="1688">
        <f t="shared" si="10"/>
        <v>114</v>
      </c>
      <c r="L81" s="347"/>
    </row>
    <row r="82" spans="1:12" ht="0.75" customHeight="1" thickTop="1" thickBot="1" x14ac:dyDescent="0.25">
      <c r="A82" s="536" t="s">
        <v>343</v>
      </c>
      <c r="B82" s="537"/>
      <c r="C82" s="538">
        <f>(C81-C79)</f>
        <v>381793</v>
      </c>
      <c r="D82" s="538">
        <f t="shared" ref="D82:K82" si="11">(D81-D79)</f>
        <v>69913</v>
      </c>
      <c r="E82" s="538">
        <f t="shared" si="11"/>
        <v>-1389</v>
      </c>
      <c r="F82" s="538">
        <f t="shared" si="11"/>
        <v>-46409</v>
      </c>
      <c r="G82" s="538">
        <f t="shared" si="11"/>
        <v>-15248</v>
      </c>
      <c r="H82" s="538">
        <f t="shared" si="11"/>
        <v>0</v>
      </c>
      <c r="I82" s="538">
        <f t="shared" si="11"/>
        <v>7812</v>
      </c>
      <c r="J82" s="538">
        <f t="shared" si="11"/>
        <v>4449</v>
      </c>
      <c r="K82" s="538">
        <f t="shared" si="11"/>
        <v>0</v>
      </c>
    </row>
    <row r="83" spans="1:12" ht="14.25" hidden="1" thickTop="1" thickBot="1" x14ac:dyDescent="0.25">
      <c r="A83" s="539" t="s">
        <v>344</v>
      </c>
      <c r="B83" s="464"/>
      <c r="C83" s="540">
        <f>C82/C81</f>
        <v>0.2466927191360298</v>
      </c>
      <c r="D83" s="540">
        <f t="shared" ref="D83:K83" si="12">D82/D81</f>
        <v>0.1837340215288874</v>
      </c>
      <c r="E83" s="540">
        <f t="shared" si="12"/>
        <v>-3.8157244107466626E-2</v>
      </c>
      <c r="F83" s="540">
        <f t="shared" si="12"/>
        <v>-0.72897915586761541</v>
      </c>
      <c r="G83" s="540">
        <f t="shared" si="12"/>
        <v>-37.742574257425744</v>
      </c>
      <c r="H83" s="540">
        <f t="shared" si="12"/>
        <v>0</v>
      </c>
      <c r="I83" s="540">
        <f t="shared" si="12"/>
        <v>0.14279969290388622</v>
      </c>
      <c r="J83" s="540">
        <f t="shared" si="12"/>
        <v>0.26817359855334538</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D55" sqref="D55"/>
      <selection pane="bottomLeft" activeCell="G5" sqref="G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1472552</v>
      </c>
      <c r="D5" s="481">
        <v>261097</v>
      </c>
      <c r="E5" s="466">
        <v>366726</v>
      </c>
      <c r="F5" s="548">
        <v>19653</v>
      </c>
      <c r="G5" s="466">
        <v>15032</v>
      </c>
      <c r="H5" s="466">
        <v>0</v>
      </c>
      <c r="I5" s="466">
        <v>7530</v>
      </c>
      <c r="J5" s="467">
        <v>9749</v>
      </c>
      <c r="K5" s="466">
        <v>0</v>
      </c>
    </row>
    <row r="6" spans="1:12" ht="15" x14ac:dyDescent="0.2">
      <c r="A6" s="463" t="s">
        <v>1662</v>
      </c>
      <c r="B6" s="470">
        <v>1130</v>
      </c>
      <c r="C6" s="466">
        <v>11464</v>
      </c>
      <c r="D6" s="466">
        <v>0</v>
      </c>
      <c r="E6" s="475"/>
      <c r="F6" s="475"/>
      <c r="G6" s="468"/>
      <c r="H6" s="468"/>
      <c r="I6" s="468"/>
      <c r="J6" s="468"/>
      <c r="K6" s="468"/>
    </row>
    <row r="7" spans="1:12" x14ac:dyDescent="0.2">
      <c r="A7" s="463" t="s">
        <v>110</v>
      </c>
      <c r="B7" s="549">
        <v>1140</v>
      </c>
      <c r="C7" s="466">
        <v>34684</v>
      </c>
      <c r="D7" s="466">
        <v>0</v>
      </c>
      <c r="E7" s="468"/>
      <c r="F7" s="467">
        <v>0</v>
      </c>
      <c r="G7" s="467">
        <v>0</v>
      </c>
      <c r="H7" s="467">
        <v>0</v>
      </c>
      <c r="I7" s="468"/>
      <c r="J7" s="468"/>
      <c r="K7" s="468"/>
    </row>
    <row r="8" spans="1:12" x14ac:dyDescent="0.2">
      <c r="A8" s="463" t="s">
        <v>413</v>
      </c>
      <c r="B8" s="470">
        <v>1150</v>
      </c>
      <c r="C8" s="475"/>
      <c r="D8" s="475"/>
      <c r="E8" s="477"/>
      <c r="F8" s="477"/>
      <c r="G8" s="481">
        <v>18733</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1518700</v>
      </c>
      <c r="D12" s="1707">
        <f t="shared" si="0"/>
        <v>261097</v>
      </c>
      <c r="E12" s="1707">
        <f t="shared" si="0"/>
        <v>366726</v>
      </c>
      <c r="F12" s="1707">
        <f t="shared" si="0"/>
        <v>19653</v>
      </c>
      <c r="G12" s="1707">
        <f t="shared" si="0"/>
        <v>33765</v>
      </c>
      <c r="H12" s="1707">
        <f t="shared" si="0"/>
        <v>0</v>
      </c>
      <c r="I12" s="1707">
        <f t="shared" si="0"/>
        <v>7530</v>
      </c>
      <c r="J12" s="1707">
        <f t="shared" si="0"/>
        <v>9749</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11619</v>
      </c>
      <c r="D16" s="466">
        <v>0</v>
      </c>
      <c r="E16" s="466">
        <v>0</v>
      </c>
      <c r="F16" s="466">
        <v>0</v>
      </c>
      <c r="G16" s="466">
        <v>1500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11619</v>
      </c>
      <c r="D18" s="1710">
        <f t="shared" ref="D18:K18" si="1">SUM(D14:D17)</f>
        <v>0</v>
      </c>
      <c r="E18" s="1710">
        <f t="shared" si="1"/>
        <v>0</v>
      </c>
      <c r="F18" s="1710">
        <f t="shared" si="1"/>
        <v>0</v>
      </c>
      <c r="G18" s="1710">
        <f t="shared" si="1"/>
        <v>1500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24669</v>
      </c>
      <c r="D65" s="466">
        <v>6232</v>
      </c>
      <c r="E65" s="466">
        <v>85</v>
      </c>
      <c r="F65" s="467">
        <v>2022</v>
      </c>
      <c r="G65" s="466">
        <v>195</v>
      </c>
      <c r="H65" s="466">
        <v>0</v>
      </c>
      <c r="I65" s="466">
        <v>282</v>
      </c>
      <c r="J65" s="467">
        <v>131</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24669</v>
      </c>
      <c r="D67" s="1688">
        <f t="shared" ref="D67:K67" si="2">SUM(D65:D66)</f>
        <v>6232</v>
      </c>
      <c r="E67" s="1688">
        <f t="shared" si="2"/>
        <v>85</v>
      </c>
      <c r="F67" s="1688">
        <f t="shared" si="2"/>
        <v>2022</v>
      </c>
      <c r="G67" s="1688">
        <f t="shared" si="2"/>
        <v>195</v>
      </c>
      <c r="H67" s="1688">
        <f t="shared" si="2"/>
        <v>0</v>
      </c>
      <c r="I67" s="1688">
        <f t="shared" si="2"/>
        <v>282</v>
      </c>
      <c r="J67" s="1688">
        <f t="shared" si="2"/>
        <v>131</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14944</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160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15104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10804</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10804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25390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25390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192</v>
      </c>
      <c r="D95" s="551">
        <v>5285</v>
      </c>
      <c r="E95" s="521"/>
      <c r="F95" s="521"/>
      <c r="G95" s="521"/>
      <c r="H95" s="521"/>
      <c r="I95" s="521"/>
      <c r="J95" s="521"/>
      <c r="K95" s="521"/>
    </row>
    <row r="96" spans="1:11" ht="12.75" customHeight="1" x14ac:dyDescent="0.2">
      <c r="A96" s="463" t="s">
        <v>391</v>
      </c>
      <c r="B96" s="470">
        <v>1920</v>
      </c>
      <c r="C96" s="551">
        <v>1802</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4051</v>
      </c>
      <c r="E99" s="466">
        <v>0</v>
      </c>
      <c r="F99" s="466">
        <v>0</v>
      </c>
      <c r="G99" s="466">
        <v>0</v>
      </c>
      <c r="H99" s="466">
        <v>0</v>
      </c>
      <c r="I99" s="468"/>
      <c r="J99" s="467">
        <v>739</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4636</v>
      </c>
      <c r="D106" s="489">
        <v>0</v>
      </c>
      <c r="E106" s="467">
        <v>0</v>
      </c>
      <c r="F106" s="467">
        <v>0</v>
      </c>
      <c r="G106" s="467">
        <v>0</v>
      </c>
      <c r="H106" s="467">
        <v>0</v>
      </c>
      <c r="I106" s="521"/>
      <c r="J106" s="467">
        <v>0</v>
      </c>
      <c r="K106" s="467">
        <v>0</v>
      </c>
    </row>
    <row r="107" spans="1:12" ht="12.75" customHeight="1" x14ac:dyDescent="0.2">
      <c r="A107" s="463" t="s">
        <v>78</v>
      </c>
      <c r="B107" s="470">
        <v>1999</v>
      </c>
      <c r="C107" s="551">
        <v>3914</v>
      </c>
      <c r="D107" s="466">
        <v>2170</v>
      </c>
      <c r="E107" s="466">
        <v>0</v>
      </c>
      <c r="F107" s="466">
        <v>0</v>
      </c>
      <c r="G107" s="466">
        <v>0</v>
      </c>
      <c r="H107" s="466">
        <v>0</v>
      </c>
      <c r="I107" s="466">
        <v>0</v>
      </c>
      <c r="J107" s="467">
        <v>0</v>
      </c>
      <c r="K107" s="466">
        <v>0</v>
      </c>
    </row>
    <row r="108" spans="1:12" ht="12.75" customHeight="1" thickBot="1" x14ac:dyDescent="0.25">
      <c r="A108" s="1708" t="s">
        <v>487</v>
      </c>
      <c r="B108" s="1712"/>
      <c r="C108" s="1707">
        <f>SUM(C95:C107)</f>
        <v>10544</v>
      </c>
      <c r="D108" s="1707">
        <f t="shared" ref="D108:K108" si="3">SUM(D95:D107)</f>
        <v>11506</v>
      </c>
      <c r="E108" s="1707">
        <f t="shared" si="3"/>
        <v>0</v>
      </c>
      <c r="F108" s="1707">
        <f t="shared" si="3"/>
        <v>0</v>
      </c>
      <c r="G108" s="1707">
        <f t="shared" si="3"/>
        <v>0</v>
      </c>
      <c r="H108" s="1707">
        <f t="shared" si="3"/>
        <v>0</v>
      </c>
      <c r="I108" s="1707">
        <f t="shared" si="3"/>
        <v>0</v>
      </c>
      <c r="J108" s="1707">
        <f t="shared" si="3"/>
        <v>739</v>
      </c>
      <c r="K108" s="1688">
        <f t="shared" si="3"/>
        <v>0</v>
      </c>
    </row>
    <row r="109" spans="1:12" ht="14.25" thickTop="1" thickBot="1" x14ac:dyDescent="0.25">
      <c r="A109" s="1713" t="s">
        <v>248</v>
      </c>
      <c r="B109" s="1714" t="s">
        <v>570</v>
      </c>
      <c r="C109" s="1715">
        <f t="shared" ref="C109:K109" si="4">SUM(C12,C18,C40,C63,C67,C75,C82,C93,C108,)</f>
        <v>1616830</v>
      </c>
      <c r="D109" s="1715">
        <f t="shared" si="4"/>
        <v>278835</v>
      </c>
      <c r="E109" s="1715">
        <f t="shared" si="4"/>
        <v>366811</v>
      </c>
      <c r="F109" s="1715">
        <f t="shared" si="4"/>
        <v>21675</v>
      </c>
      <c r="G109" s="1715">
        <f t="shared" si="4"/>
        <v>35460</v>
      </c>
      <c r="H109" s="1715">
        <f t="shared" si="4"/>
        <v>0</v>
      </c>
      <c r="I109" s="1715">
        <f t="shared" si="4"/>
        <v>7812</v>
      </c>
      <c r="J109" s="1715">
        <f t="shared" si="4"/>
        <v>10619</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1069162</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v>0</v>
      </c>
      <c r="D120" s="466">
        <v>0</v>
      </c>
      <c r="E120" s="466">
        <v>0</v>
      </c>
      <c r="F120" s="466">
        <v>0</v>
      </c>
      <c r="G120" s="466">
        <v>0</v>
      </c>
      <c r="H120" s="466">
        <v>0</v>
      </c>
      <c r="I120" s="468"/>
      <c r="J120" s="467">
        <v>0</v>
      </c>
      <c r="K120" s="466">
        <v>0</v>
      </c>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1069162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80039</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80039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731</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0</v>
      </c>
      <c r="G152" s="467">
        <v>0</v>
      </c>
      <c r="H152" s="468"/>
      <c r="I152" s="468"/>
      <c r="J152" s="468"/>
      <c r="K152" s="468"/>
    </row>
    <row r="153" spans="1:11" ht="12.75" customHeight="1" x14ac:dyDescent="0.2">
      <c r="A153" s="463" t="s">
        <v>1057</v>
      </c>
      <c r="B153" s="562">
        <v>3510</v>
      </c>
      <c r="C153" s="551">
        <v>0</v>
      </c>
      <c r="D153" s="466">
        <v>0</v>
      </c>
      <c r="E153" s="561"/>
      <c r="F153" s="466">
        <v>91714</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91714</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44" t="s">
        <v>398</v>
      </c>
      <c r="B169" s="2145"/>
      <c r="C169" s="1722">
        <f t="shared" ref="C169:K169" si="6">SUM(C132,C141,C145,C146:C150,C155,C156:C167,C168)</f>
        <v>80770</v>
      </c>
      <c r="D169" s="1722">
        <f t="shared" si="6"/>
        <v>0</v>
      </c>
      <c r="E169" s="1722">
        <f t="shared" si="6"/>
        <v>0</v>
      </c>
      <c r="F169" s="1722">
        <f t="shared" si="6"/>
        <v>91714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1149932</v>
      </c>
      <c r="D170" s="1715">
        <f t="shared" si="7"/>
        <v>0</v>
      </c>
      <c r="E170" s="1715">
        <f t="shared" si="7"/>
        <v>0</v>
      </c>
      <c r="F170" s="1715">
        <f t="shared" si="7"/>
        <v>91714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40643</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40643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99654</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99654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50539</v>
      </c>
      <c r="D213" s="466">
        <v>0</v>
      </c>
      <c r="E213" s="468"/>
      <c r="F213" s="466">
        <v>0</v>
      </c>
      <c r="G213" s="466">
        <v>0</v>
      </c>
      <c r="H213" s="468"/>
      <c r="I213" s="468"/>
      <c r="J213" s="468"/>
      <c r="K213" s="468"/>
    </row>
    <row r="214" spans="1:11" ht="12.75" customHeight="1" x14ac:dyDescent="0.2">
      <c r="A214" s="463" t="s">
        <v>1054</v>
      </c>
      <c r="B214" s="470">
        <v>4625</v>
      </c>
      <c r="C214" s="551">
        <v>20453</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70992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5765</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2961</v>
      </c>
      <c r="D263" s="576">
        <v>0</v>
      </c>
      <c r="E263" s="468"/>
      <c r="F263" s="576">
        <v>0</v>
      </c>
      <c r="G263" s="576">
        <v>0</v>
      </c>
      <c r="H263" s="468"/>
      <c r="I263" s="468"/>
      <c r="J263" s="468"/>
      <c r="K263" s="468"/>
    </row>
    <row r="264" spans="1:11" ht="12.75" customHeight="1" thickTop="1" thickBot="1" x14ac:dyDescent="0.25">
      <c r="A264" s="463" t="s">
        <v>377</v>
      </c>
      <c r="B264" s="470">
        <v>4992</v>
      </c>
      <c r="C264" s="575">
        <v>11701</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2836</v>
      </c>
      <c r="G265" s="576">
        <v>0</v>
      </c>
      <c r="H265" s="530">
        <v>0</v>
      </c>
      <c r="I265" s="468"/>
      <c r="J265" s="468"/>
      <c r="K265" s="530">
        <v>0</v>
      </c>
    </row>
    <row r="266" spans="1:11" ht="14.25" thickTop="1" thickBot="1" x14ac:dyDescent="0.25">
      <c r="A266" s="1708" t="s">
        <v>1666</v>
      </c>
      <c r="B266" s="1727"/>
      <c r="C266" s="1715">
        <f t="shared" ref="C266:H266" si="10">SUM(C188,C198,C204,C209,C217,C221,C222,C252:C265)</f>
        <v>231716</v>
      </c>
      <c r="D266" s="1715">
        <f t="shared" si="10"/>
        <v>0</v>
      </c>
      <c r="E266" s="1715">
        <f t="shared" si="10"/>
        <v>0</v>
      </c>
      <c r="F266" s="1715">
        <f t="shared" si="10"/>
        <v>2836</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231716</v>
      </c>
      <c r="D267" s="1715">
        <f>SUM(D175,D181,D266)</f>
        <v>0</v>
      </c>
      <c r="E267" s="1715">
        <f>SUM(E175,E266)</f>
        <v>0</v>
      </c>
      <c r="F267" s="1715">
        <f t="shared" ref="F267:K267" si="11">SUM(F175,F181,F266)</f>
        <v>2836</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2998478</v>
      </c>
      <c r="D268" s="1715">
        <f t="shared" si="12"/>
        <v>278835</v>
      </c>
      <c r="E268" s="1715">
        <f t="shared" si="12"/>
        <v>366811</v>
      </c>
      <c r="F268" s="1715">
        <f t="shared" si="12"/>
        <v>116225</v>
      </c>
      <c r="G268" s="1715">
        <f t="shared" si="12"/>
        <v>35460</v>
      </c>
      <c r="H268" s="1715">
        <f t="shared" si="12"/>
        <v>0</v>
      </c>
      <c r="I268" s="1715">
        <f t="shared" si="12"/>
        <v>7812</v>
      </c>
      <c r="J268" s="1715">
        <f t="shared" si="12"/>
        <v>10619</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43" colorId="8" zoomScale="110" zoomScaleNormal="110" workbookViewId="0">
      <selection activeCell="D55" sqref="D5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917218</v>
      </c>
      <c r="D5" s="466">
        <v>229892</v>
      </c>
      <c r="E5" s="466">
        <v>18692</v>
      </c>
      <c r="F5" s="466">
        <v>7564</v>
      </c>
      <c r="G5" s="466">
        <v>0</v>
      </c>
      <c r="H5" s="466">
        <v>36</v>
      </c>
      <c r="I5" s="466">
        <v>0</v>
      </c>
      <c r="J5" s="466">
        <v>0</v>
      </c>
      <c r="K5" s="1671">
        <f>SUM(C5:J5)</f>
        <v>1173402</v>
      </c>
      <c r="L5" s="466">
        <v>1257400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40430</v>
      </c>
      <c r="D8" s="466">
        <v>0</v>
      </c>
      <c r="E8" s="466">
        <v>0</v>
      </c>
      <c r="F8" s="466">
        <v>620</v>
      </c>
      <c r="G8" s="466">
        <v>0</v>
      </c>
      <c r="H8" s="466">
        <v>60</v>
      </c>
      <c r="I8" s="467">
        <v>0</v>
      </c>
      <c r="J8" s="467">
        <v>0</v>
      </c>
      <c r="K8" s="1671">
        <f t="shared" si="0"/>
        <v>41110</v>
      </c>
      <c r="L8" s="466">
        <v>67900</v>
      </c>
    </row>
    <row r="9" spans="1:14" x14ac:dyDescent="0.2">
      <c r="A9" s="1504" t="s">
        <v>721</v>
      </c>
      <c r="B9" s="614" t="s">
        <v>968</v>
      </c>
      <c r="C9" s="467">
        <v>0</v>
      </c>
      <c r="D9" s="467">
        <v>0</v>
      </c>
      <c r="E9" s="467">
        <v>0</v>
      </c>
      <c r="F9" s="467">
        <v>0</v>
      </c>
      <c r="G9" s="467">
        <v>0</v>
      </c>
      <c r="H9" s="467">
        <v>0</v>
      </c>
      <c r="I9" s="467">
        <v>0</v>
      </c>
      <c r="J9" s="467">
        <v>0</v>
      </c>
      <c r="K9" s="1671">
        <f t="shared" si="0"/>
        <v>0</v>
      </c>
      <c r="L9" s="466">
        <v>0</v>
      </c>
    </row>
    <row r="10" spans="1:14" x14ac:dyDescent="0.2">
      <c r="A10" s="1504" t="s">
        <v>722</v>
      </c>
      <c r="B10" s="614">
        <v>1250</v>
      </c>
      <c r="C10" s="466">
        <v>24733</v>
      </c>
      <c r="D10" s="466">
        <v>2868</v>
      </c>
      <c r="E10" s="466">
        <v>1839</v>
      </c>
      <c r="F10" s="466">
        <v>49449</v>
      </c>
      <c r="G10" s="466">
        <v>0</v>
      </c>
      <c r="H10" s="466">
        <v>0</v>
      </c>
      <c r="I10" s="467">
        <v>0</v>
      </c>
      <c r="J10" s="467">
        <v>0</v>
      </c>
      <c r="K10" s="1671">
        <f t="shared" si="0"/>
        <v>78889</v>
      </c>
      <c r="L10" s="466">
        <v>89730</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52309</v>
      </c>
      <c r="D14" s="466">
        <v>660</v>
      </c>
      <c r="E14" s="466">
        <v>7300</v>
      </c>
      <c r="F14" s="466">
        <v>2396</v>
      </c>
      <c r="G14" s="466">
        <v>0</v>
      </c>
      <c r="H14" s="466">
        <v>1731</v>
      </c>
      <c r="I14" s="467">
        <v>0</v>
      </c>
      <c r="J14" s="467">
        <v>0</v>
      </c>
      <c r="K14" s="1671">
        <f t="shared" si="0"/>
        <v>64396</v>
      </c>
      <c r="L14" s="466">
        <v>53625</v>
      </c>
    </row>
    <row r="15" spans="1:14" x14ac:dyDescent="0.2">
      <c r="A15" s="1504" t="s">
        <v>964</v>
      </c>
      <c r="B15" s="614">
        <v>1600</v>
      </c>
      <c r="C15" s="466">
        <v>0</v>
      </c>
      <c r="D15" s="466">
        <v>0</v>
      </c>
      <c r="E15" s="466">
        <v>0</v>
      </c>
      <c r="F15" s="466">
        <v>0</v>
      </c>
      <c r="G15" s="466">
        <v>0</v>
      </c>
      <c r="H15" s="466">
        <v>0</v>
      </c>
      <c r="I15" s="467">
        <v>0</v>
      </c>
      <c r="J15" s="467">
        <v>0</v>
      </c>
      <c r="K15" s="1671">
        <f t="shared" si="0"/>
        <v>0</v>
      </c>
      <c r="L15" s="466">
        <v>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0</v>
      </c>
      <c r="D18" s="466">
        <v>0</v>
      </c>
      <c r="E18" s="466">
        <v>0</v>
      </c>
      <c r="F18" s="466">
        <v>0</v>
      </c>
      <c r="G18" s="466">
        <v>0</v>
      </c>
      <c r="H18" s="466">
        <v>0</v>
      </c>
      <c r="I18" s="467">
        <v>0</v>
      </c>
      <c r="J18" s="467">
        <v>0</v>
      </c>
      <c r="K18" s="1671">
        <f t="shared" si="0"/>
        <v>0</v>
      </c>
      <c r="L18" s="466">
        <v>0</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1034690</v>
      </c>
      <c r="D33" s="1670">
        <f t="shared" ref="D33:L33" si="1">SUM(D5:D32)</f>
        <v>233420</v>
      </c>
      <c r="E33" s="1670">
        <f t="shared" si="1"/>
        <v>27831</v>
      </c>
      <c r="F33" s="1670">
        <f t="shared" si="1"/>
        <v>60029</v>
      </c>
      <c r="G33" s="1670">
        <f t="shared" si="1"/>
        <v>0</v>
      </c>
      <c r="H33" s="1670">
        <f t="shared" si="1"/>
        <v>1827</v>
      </c>
      <c r="I33" s="1670">
        <f t="shared" si="1"/>
        <v>0</v>
      </c>
      <c r="J33" s="1670">
        <f t="shared" si="1"/>
        <v>0</v>
      </c>
      <c r="K33" s="1670">
        <f t="shared" si="1"/>
        <v>1357797</v>
      </c>
      <c r="L33" s="1670">
        <f t="shared" si="1"/>
        <v>1468655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1090</v>
      </c>
      <c r="B37" s="614">
        <v>2120</v>
      </c>
      <c r="C37" s="466">
        <v>0</v>
      </c>
      <c r="D37" s="466">
        <v>0</v>
      </c>
      <c r="E37" s="466">
        <v>0</v>
      </c>
      <c r="F37" s="466">
        <v>0</v>
      </c>
      <c r="G37" s="466">
        <v>0</v>
      </c>
      <c r="H37" s="466">
        <v>0</v>
      </c>
      <c r="I37" s="467">
        <v>0</v>
      </c>
      <c r="J37" s="467">
        <v>0</v>
      </c>
      <c r="K37" s="1671">
        <f t="shared" si="2"/>
        <v>0</v>
      </c>
      <c r="L37" s="466">
        <v>0</v>
      </c>
    </row>
    <row r="38" spans="1:14" x14ac:dyDescent="0.2">
      <c r="A38" s="1504" t="s">
        <v>198</v>
      </c>
      <c r="B38" s="614">
        <v>2130</v>
      </c>
      <c r="C38" s="466">
        <v>27112</v>
      </c>
      <c r="D38" s="466">
        <v>0</v>
      </c>
      <c r="E38" s="466">
        <v>482</v>
      </c>
      <c r="F38" s="466">
        <v>1226</v>
      </c>
      <c r="G38" s="466">
        <v>0</v>
      </c>
      <c r="H38" s="466">
        <v>0</v>
      </c>
      <c r="I38" s="467">
        <v>0</v>
      </c>
      <c r="J38" s="467">
        <v>0</v>
      </c>
      <c r="K38" s="1671">
        <f t="shared" si="2"/>
        <v>28820</v>
      </c>
      <c r="L38" s="466">
        <v>28725</v>
      </c>
    </row>
    <row r="39" spans="1:14" x14ac:dyDescent="0.2">
      <c r="A39" s="1504" t="s">
        <v>199</v>
      </c>
      <c r="B39" s="614">
        <v>2140</v>
      </c>
      <c r="C39" s="466">
        <v>0</v>
      </c>
      <c r="D39" s="466">
        <v>0</v>
      </c>
      <c r="E39" s="466">
        <v>9100</v>
      </c>
      <c r="F39" s="466">
        <v>0</v>
      </c>
      <c r="G39" s="466">
        <v>0</v>
      </c>
      <c r="H39" s="466">
        <v>0</v>
      </c>
      <c r="I39" s="467">
        <v>0</v>
      </c>
      <c r="J39" s="467">
        <v>0</v>
      </c>
      <c r="K39" s="1671">
        <f t="shared" si="2"/>
        <v>9100</v>
      </c>
      <c r="L39" s="466">
        <v>0</v>
      </c>
    </row>
    <row r="40" spans="1:14" x14ac:dyDescent="0.2">
      <c r="A40" s="1504" t="s">
        <v>200</v>
      </c>
      <c r="B40" s="614">
        <v>2150</v>
      </c>
      <c r="C40" s="466">
        <v>66419</v>
      </c>
      <c r="D40" s="466">
        <v>9550</v>
      </c>
      <c r="E40" s="466">
        <v>0</v>
      </c>
      <c r="F40" s="466">
        <v>0</v>
      </c>
      <c r="G40" s="466">
        <v>0</v>
      </c>
      <c r="H40" s="466">
        <v>0</v>
      </c>
      <c r="I40" s="467">
        <v>0</v>
      </c>
      <c r="J40" s="467">
        <v>0</v>
      </c>
      <c r="K40" s="1671">
        <f t="shared" si="2"/>
        <v>75969</v>
      </c>
      <c r="L40" s="466">
        <v>76500</v>
      </c>
    </row>
    <row r="41" spans="1:14" x14ac:dyDescent="0.2">
      <c r="A41" s="1504" t="s">
        <v>1669</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560</v>
      </c>
      <c r="B42" s="1669" t="s">
        <v>716</v>
      </c>
      <c r="C42" s="1670">
        <f>SUM(C36:C41)</f>
        <v>93531</v>
      </c>
      <c r="D42" s="1670">
        <f t="shared" ref="D42:L42" si="3">SUM(D36:D41)</f>
        <v>9550</v>
      </c>
      <c r="E42" s="1670">
        <f t="shared" si="3"/>
        <v>9582</v>
      </c>
      <c r="F42" s="1670">
        <f t="shared" si="3"/>
        <v>1226</v>
      </c>
      <c r="G42" s="1670">
        <f t="shared" si="3"/>
        <v>0</v>
      </c>
      <c r="H42" s="1670">
        <f t="shared" si="3"/>
        <v>0</v>
      </c>
      <c r="I42" s="1670">
        <f t="shared" si="3"/>
        <v>0</v>
      </c>
      <c r="J42" s="1670">
        <f t="shared" si="3"/>
        <v>0</v>
      </c>
      <c r="K42" s="1670">
        <f t="shared" si="3"/>
        <v>113889</v>
      </c>
      <c r="L42" s="1670">
        <f t="shared" si="3"/>
        <v>105225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0</v>
      </c>
      <c r="D44" s="481">
        <v>583</v>
      </c>
      <c r="E44" s="481">
        <v>10648</v>
      </c>
      <c r="F44" s="481">
        <v>566</v>
      </c>
      <c r="G44" s="481">
        <v>0</v>
      </c>
      <c r="H44" s="481">
        <v>0</v>
      </c>
      <c r="I44" s="467">
        <v>0</v>
      </c>
      <c r="J44" s="467">
        <v>0</v>
      </c>
      <c r="K44" s="1672">
        <f>SUM(C44:J44)</f>
        <v>11797</v>
      </c>
      <c r="L44" s="481">
        <v>34700</v>
      </c>
    </row>
    <row r="45" spans="1:14" x14ac:dyDescent="0.2">
      <c r="A45" s="1504" t="s">
        <v>815</v>
      </c>
      <c r="B45" s="614">
        <v>2220</v>
      </c>
      <c r="C45" s="466">
        <v>19701</v>
      </c>
      <c r="D45" s="466">
        <v>0</v>
      </c>
      <c r="E45" s="466">
        <v>13708</v>
      </c>
      <c r="F45" s="466">
        <v>6386</v>
      </c>
      <c r="G45" s="466">
        <v>0</v>
      </c>
      <c r="H45" s="466">
        <v>0</v>
      </c>
      <c r="I45" s="467">
        <v>3324</v>
      </c>
      <c r="J45" s="467">
        <v>0</v>
      </c>
      <c r="K45" s="1672">
        <f>SUM(C45:J45)</f>
        <v>43119</v>
      </c>
      <c r="L45" s="466">
        <v>36850</v>
      </c>
    </row>
    <row r="46" spans="1:14" x14ac:dyDescent="0.2">
      <c r="A46" s="1504" t="s">
        <v>816</v>
      </c>
      <c r="B46" s="614">
        <v>2230</v>
      </c>
      <c r="C46" s="466">
        <v>0</v>
      </c>
      <c r="D46" s="466">
        <v>0</v>
      </c>
      <c r="E46" s="466">
        <v>0</v>
      </c>
      <c r="F46" s="466">
        <v>1133</v>
      </c>
      <c r="G46" s="466">
        <v>0</v>
      </c>
      <c r="H46" s="466">
        <v>0</v>
      </c>
      <c r="I46" s="467">
        <v>0</v>
      </c>
      <c r="J46" s="467">
        <v>0</v>
      </c>
      <c r="K46" s="1672">
        <f>SUM(C46:J46)</f>
        <v>1133</v>
      </c>
      <c r="L46" s="466">
        <v>3000</v>
      </c>
    </row>
    <row r="47" spans="1:14" ht="12.75" customHeight="1" thickBot="1" x14ac:dyDescent="0.25">
      <c r="A47" s="1668" t="s">
        <v>561</v>
      </c>
      <c r="B47" s="1669" t="s">
        <v>32</v>
      </c>
      <c r="C47" s="1670">
        <f>SUM(C44:C46)</f>
        <v>19701</v>
      </c>
      <c r="D47" s="1670">
        <f t="shared" ref="D47:K47" si="4">SUM(D44:D46)</f>
        <v>583</v>
      </c>
      <c r="E47" s="1670">
        <f t="shared" si="4"/>
        <v>24356</v>
      </c>
      <c r="F47" s="1670">
        <f t="shared" si="4"/>
        <v>8085</v>
      </c>
      <c r="G47" s="1670">
        <f t="shared" si="4"/>
        <v>0</v>
      </c>
      <c r="H47" s="1670">
        <f t="shared" si="4"/>
        <v>0</v>
      </c>
      <c r="I47" s="1670">
        <f t="shared" si="4"/>
        <v>3324</v>
      </c>
      <c r="J47" s="1670">
        <f t="shared" si="4"/>
        <v>0</v>
      </c>
      <c r="K47" s="1670">
        <f t="shared" si="4"/>
        <v>56049</v>
      </c>
      <c r="L47" s="1670">
        <f>SUM(L44:L46)</f>
        <v>74550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1200</v>
      </c>
      <c r="D49" s="481">
        <v>0</v>
      </c>
      <c r="E49" s="481">
        <v>45096</v>
      </c>
      <c r="F49" s="481">
        <v>275</v>
      </c>
      <c r="G49" s="481">
        <v>0</v>
      </c>
      <c r="H49" s="481">
        <v>6089</v>
      </c>
      <c r="I49" s="467">
        <v>0</v>
      </c>
      <c r="J49" s="467">
        <v>0</v>
      </c>
      <c r="K49" s="1672">
        <f>SUM(C49:J49)</f>
        <v>52660</v>
      </c>
      <c r="L49" s="481">
        <v>33875</v>
      </c>
    </row>
    <row r="50" spans="1:14" x14ac:dyDescent="0.2">
      <c r="A50" s="1504" t="s">
        <v>818</v>
      </c>
      <c r="B50" s="614">
        <v>2320</v>
      </c>
      <c r="C50" s="466">
        <v>131454</v>
      </c>
      <c r="D50" s="466">
        <v>706</v>
      </c>
      <c r="E50" s="466">
        <v>4519</v>
      </c>
      <c r="F50" s="466">
        <v>724</v>
      </c>
      <c r="G50" s="466">
        <v>0</v>
      </c>
      <c r="H50" s="466">
        <v>1344</v>
      </c>
      <c r="I50" s="467">
        <v>0</v>
      </c>
      <c r="J50" s="467">
        <v>0</v>
      </c>
      <c r="K50" s="1672">
        <f>SUM(C50:J50)</f>
        <v>138747</v>
      </c>
      <c r="L50" s="466">
        <v>101250</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132654</v>
      </c>
      <c r="D53" s="1670">
        <f t="shared" ref="D53:L53" si="5">SUM(D49:D52)</f>
        <v>706</v>
      </c>
      <c r="E53" s="1670">
        <f t="shared" si="5"/>
        <v>49615</v>
      </c>
      <c r="F53" s="1670">
        <f t="shared" si="5"/>
        <v>999</v>
      </c>
      <c r="G53" s="1670">
        <f t="shared" si="5"/>
        <v>0</v>
      </c>
      <c r="H53" s="1670">
        <f t="shared" si="5"/>
        <v>7433</v>
      </c>
      <c r="I53" s="1670">
        <f t="shared" si="5"/>
        <v>0</v>
      </c>
      <c r="J53" s="1670">
        <f t="shared" si="5"/>
        <v>0</v>
      </c>
      <c r="K53" s="1670">
        <f t="shared" si="5"/>
        <v>191407</v>
      </c>
      <c r="L53" s="1670">
        <f t="shared" si="5"/>
        <v>135125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119643</v>
      </c>
      <c r="D55" s="481">
        <v>19818</v>
      </c>
      <c r="E55" s="481">
        <v>0</v>
      </c>
      <c r="F55" s="481">
        <v>0</v>
      </c>
      <c r="G55" s="481">
        <v>0</v>
      </c>
      <c r="H55" s="481">
        <v>0</v>
      </c>
      <c r="I55" s="467">
        <v>0</v>
      </c>
      <c r="J55" s="467">
        <v>0</v>
      </c>
      <c r="K55" s="1672">
        <f>SUM(C55:J55)</f>
        <v>139461</v>
      </c>
      <c r="L55" s="481">
        <v>199000</v>
      </c>
    </row>
    <row r="56" spans="1:14" ht="12.75" customHeight="1" x14ac:dyDescent="0.2">
      <c r="A56" s="1508" t="s">
        <v>376</v>
      </c>
      <c r="B56" s="628">
        <v>2490</v>
      </c>
      <c r="C56" s="466">
        <v>19610</v>
      </c>
      <c r="D56" s="466">
        <v>0</v>
      </c>
      <c r="E56" s="466">
        <v>0</v>
      </c>
      <c r="F56" s="466">
        <v>0</v>
      </c>
      <c r="G56" s="466">
        <v>0</v>
      </c>
      <c r="H56" s="466">
        <v>0</v>
      </c>
      <c r="I56" s="467">
        <v>0</v>
      </c>
      <c r="J56" s="467">
        <v>0</v>
      </c>
      <c r="K56" s="1672">
        <f>SUM(C56:J56)</f>
        <v>19610</v>
      </c>
      <c r="L56" s="466">
        <v>0</v>
      </c>
    </row>
    <row r="57" spans="1:14" s="343" customFormat="1" ht="12.75" customHeight="1" thickBot="1" x14ac:dyDescent="0.25">
      <c r="A57" s="1668" t="s">
        <v>263</v>
      </c>
      <c r="B57" s="1673" t="s">
        <v>34</v>
      </c>
      <c r="C57" s="1674">
        <f>SUM(C55:C56)</f>
        <v>139253</v>
      </c>
      <c r="D57" s="1674">
        <f t="shared" ref="D57:K57" si="6">SUM(D55:D56)</f>
        <v>19818</v>
      </c>
      <c r="E57" s="1674">
        <f t="shared" si="6"/>
        <v>0</v>
      </c>
      <c r="F57" s="1674">
        <f t="shared" si="6"/>
        <v>0</v>
      </c>
      <c r="G57" s="1674">
        <f t="shared" si="6"/>
        <v>0</v>
      </c>
      <c r="H57" s="1674">
        <f t="shared" si="6"/>
        <v>0</v>
      </c>
      <c r="I57" s="1674">
        <f t="shared" si="6"/>
        <v>0</v>
      </c>
      <c r="J57" s="1674">
        <f t="shared" si="6"/>
        <v>0</v>
      </c>
      <c r="K57" s="1674">
        <f t="shared" si="6"/>
        <v>159071</v>
      </c>
      <c r="L57" s="1670">
        <f>SUM(L55:L56)</f>
        <v>199000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463</v>
      </c>
      <c r="B60" s="614">
        <v>2520</v>
      </c>
      <c r="C60" s="466">
        <v>17198</v>
      </c>
      <c r="D60" s="466">
        <v>0</v>
      </c>
      <c r="E60" s="466">
        <v>11492</v>
      </c>
      <c r="F60" s="466">
        <v>1548</v>
      </c>
      <c r="G60" s="466">
        <v>0</v>
      </c>
      <c r="H60" s="466">
        <v>592</v>
      </c>
      <c r="I60" s="467">
        <v>0</v>
      </c>
      <c r="J60" s="467">
        <v>0</v>
      </c>
      <c r="K60" s="1672">
        <f t="shared" si="7"/>
        <v>30830</v>
      </c>
      <c r="L60" s="466">
        <v>8200</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v>0</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7923</v>
      </c>
      <c r="D63" s="466">
        <v>0</v>
      </c>
      <c r="E63" s="466">
        <v>39074</v>
      </c>
      <c r="F63" s="466">
        <v>0</v>
      </c>
      <c r="G63" s="466">
        <v>0</v>
      </c>
      <c r="H63" s="466">
        <v>0</v>
      </c>
      <c r="I63" s="467">
        <v>0</v>
      </c>
      <c r="J63" s="467">
        <v>0</v>
      </c>
      <c r="K63" s="1672">
        <f t="shared" si="7"/>
        <v>46997</v>
      </c>
      <c r="L63" s="466">
        <v>67905</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25121</v>
      </c>
      <c r="D65" s="1670">
        <f t="shared" ref="D65:L65" si="8">SUM(D59:D64)</f>
        <v>0</v>
      </c>
      <c r="E65" s="1670">
        <f t="shared" si="8"/>
        <v>50566</v>
      </c>
      <c r="F65" s="1670">
        <f t="shared" si="8"/>
        <v>1548</v>
      </c>
      <c r="G65" s="1670">
        <f t="shared" si="8"/>
        <v>0</v>
      </c>
      <c r="H65" s="1670">
        <f t="shared" si="8"/>
        <v>592</v>
      </c>
      <c r="I65" s="1670">
        <f t="shared" si="8"/>
        <v>0</v>
      </c>
      <c r="J65" s="1670">
        <f t="shared" si="8"/>
        <v>0</v>
      </c>
      <c r="K65" s="1670">
        <f t="shared" si="8"/>
        <v>77827</v>
      </c>
      <c r="L65" s="1670">
        <f t="shared" si="8"/>
        <v>76105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0</v>
      </c>
      <c r="D73" s="573">
        <v>0</v>
      </c>
      <c r="E73" s="573">
        <v>0</v>
      </c>
      <c r="F73" s="573">
        <v>0</v>
      </c>
      <c r="G73" s="573">
        <v>0</v>
      </c>
      <c r="H73" s="573">
        <v>0</v>
      </c>
      <c r="I73" s="531">
        <v>0</v>
      </c>
      <c r="J73" s="531">
        <v>0</v>
      </c>
      <c r="K73" s="1670">
        <f>SUM(C73:J73)</f>
        <v>0</v>
      </c>
      <c r="L73" s="576">
        <v>0</v>
      </c>
      <c r="M73" s="609"/>
      <c r="N73" s="609"/>
    </row>
    <row r="74" spans="1:14" ht="12.75" customHeight="1" thickTop="1" thickBot="1" x14ac:dyDescent="0.25">
      <c r="A74" s="1668" t="s">
        <v>811</v>
      </c>
      <c r="B74" s="1676">
        <v>2000</v>
      </c>
      <c r="C74" s="1677">
        <f>SUM(C42,C47,C53,C57,C65,C72,C73)</f>
        <v>410260</v>
      </c>
      <c r="D74" s="1677">
        <f t="shared" ref="D74:K74" si="10">SUM(D42,D47,D53,D57,D65,D72,D73)</f>
        <v>30657</v>
      </c>
      <c r="E74" s="1677">
        <f t="shared" si="10"/>
        <v>134119</v>
      </c>
      <c r="F74" s="1677">
        <f t="shared" si="10"/>
        <v>11858</v>
      </c>
      <c r="G74" s="1677">
        <f t="shared" si="10"/>
        <v>0</v>
      </c>
      <c r="H74" s="1677">
        <f t="shared" si="10"/>
        <v>8025</v>
      </c>
      <c r="I74" s="1677">
        <f t="shared" si="10"/>
        <v>3324</v>
      </c>
      <c r="J74" s="1677">
        <f t="shared" si="10"/>
        <v>0</v>
      </c>
      <c r="K74" s="1677">
        <f t="shared" si="10"/>
        <v>598243</v>
      </c>
      <c r="L74" s="1677">
        <f>SUM(L42,L47,L53,L57,L65,L72,L73)</f>
        <v>590005</v>
      </c>
    </row>
    <row r="75" spans="1:14" s="259" customFormat="1" ht="15.75" customHeight="1" thickTop="1" thickBot="1" x14ac:dyDescent="0.25">
      <c r="A75" s="1610" t="s">
        <v>47</v>
      </c>
      <c r="B75" s="1611" t="s">
        <v>575</v>
      </c>
      <c r="C75" s="573">
        <v>0</v>
      </c>
      <c r="D75" s="573">
        <v>0</v>
      </c>
      <c r="E75" s="573">
        <v>0</v>
      </c>
      <c r="F75" s="573">
        <v>0</v>
      </c>
      <c r="G75" s="573">
        <v>0</v>
      </c>
      <c r="H75" s="573">
        <v>0</v>
      </c>
      <c r="I75" s="531">
        <v>0</v>
      </c>
      <c r="J75" s="531">
        <v>0</v>
      </c>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329331</v>
      </c>
      <c r="F79" s="616"/>
      <c r="G79" s="616"/>
      <c r="H79" s="466">
        <v>331314</v>
      </c>
      <c r="I79" s="477"/>
      <c r="J79" s="477"/>
      <c r="K79" s="1671">
        <f t="shared" si="11"/>
        <v>660645</v>
      </c>
      <c r="L79" s="466">
        <v>600000</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0</v>
      </c>
      <c r="I83" s="477"/>
      <c r="J83" s="477"/>
      <c r="K83" s="1671">
        <f t="shared" si="11"/>
        <v>0</v>
      </c>
      <c r="L83" s="466">
        <v>0</v>
      </c>
    </row>
    <row r="84" spans="1:12" ht="13.5" thickBot="1" x14ac:dyDescent="0.25">
      <c r="A84" s="1668" t="s">
        <v>1485</v>
      </c>
      <c r="B84" s="1678">
        <v>4100</v>
      </c>
      <c r="C84" s="616"/>
      <c r="D84" s="616"/>
      <c r="E84" s="1670">
        <f>SUM(E78:E83)</f>
        <v>329331</v>
      </c>
      <c r="F84" s="616"/>
      <c r="G84" s="616"/>
      <c r="H84" s="1670">
        <f>SUM(H78:H83)</f>
        <v>331314</v>
      </c>
      <c r="I84" s="477"/>
      <c r="J84" s="477"/>
      <c r="K84" s="1670">
        <f>SUM(K78:K83)</f>
        <v>660645</v>
      </c>
      <c r="L84" s="1670">
        <f>SUM(L78:L83)</f>
        <v>600000</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v>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329331</v>
      </c>
      <c r="F102" s="616"/>
      <c r="G102" s="616"/>
      <c r="H102" s="1677">
        <f>SUM(H84,H92,H100,H101)</f>
        <v>331314</v>
      </c>
      <c r="I102" s="477"/>
      <c r="J102" s="477"/>
      <c r="K102" s="1677">
        <f>SUM(K84,K92,K100,K101)</f>
        <v>660645</v>
      </c>
      <c r="L102" s="1677">
        <f>SUM(L84,L92,L100,L101)</f>
        <v>600000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50000</v>
      </c>
      <c r="M113" s="613"/>
      <c r="N113" s="613"/>
    </row>
    <row r="114" spans="1:14" ht="12.75" customHeight="1" thickTop="1" thickBot="1" x14ac:dyDescent="0.25">
      <c r="A114" s="1668" t="s">
        <v>48</v>
      </c>
      <c r="B114" s="1682"/>
      <c r="C114" s="1670">
        <f>SUM(C33,C74,C75,C102,C112,C113)</f>
        <v>1444950</v>
      </c>
      <c r="D114" s="1670">
        <f t="shared" ref="D114:K114" si="13">SUM(D33,D74,D75,D102,D112,D113)</f>
        <v>264077</v>
      </c>
      <c r="E114" s="1670">
        <f t="shared" si="13"/>
        <v>491281</v>
      </c>
      <c r="F114" s="1670">
        <f t="shared" si="13"/>
        <v>71887</v>
      </c>
      <c r="G114" s="1670">
        <f t="shared" si="13"/>
        <v>0</v>
      </c>
      <c r="H114" s="1670">
        <f>SUM(H33,H74,H75,H102,H112,H113)</f>
        <v>341166</v>
      </c>
      <c r="I114" s="1670">
        <f t="shared" si="13"/>
        <v>3324</v>
      </c>
      <c r="J114" s="1670">
        <f t="shared" si="13"/>
        <v>0</v>
      </c>
      <c r="K114" s="1670">
        <f t="shared" si="13"/>
        <v>2616685</v>
      </c>
      <c r="L114" s="1670">
        <f>SUM(L33,L74,L75,L102,L112,L113)</f>
        <v>2708660</v>
      </c>
    </row>
    <row r="115" spans="1:14" ht="13.5" thickTop="1" x14ac:dyDescent="0.2">
      <c r="A115" s="2156" t="s">
        <v>996</v>
      </c>
      <c r="B115" s="2157"/>
      <c r="C115" s="618"/>
      <c r="D115" s="618"/>
      <c r="E115" s="618"/>
      <c r="F115" s="618"/>
      <c r="G115" s="618"/>
      <c r="H115" s="618"/>
      <c r="I115" s="618"/>
      <c r="J115" s="618"/>
      <c r="K115" s="1684">
        <f>'Revenues 9-14'!C268-'Expenditures 15-22'!K114</f>
        <v>381793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21360</v>
      </c>
      <c r="D124" s="466">
        <v>2295</v>
      </c>
      <c r="E124" s="466">
        <v>118744</v>
      </c>
      <c r="F124" s="466">
        <v>58334</v>
      </c>
      <c r="G124" s="466">
        <v>8189</v>
      </c>
      <c r="H124" s="466">
        <v>0</v>
      </c>
      <c r="I124" s="467">
        <v>0</v>
      </c>
      <c r="J124" s="467">
        <v>0</v>
      </c>
      <c r="K124" s="1670">
        <f>SUM(C124:J124)</f>
        <v>208922</v>
      </c>
      <c r="L124" s="466">
        <v>269100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21360</v>
      </c>
      <c r="D127" s="1670">
        <f t="shared" ref="D127:L127" si="14">SUM(D122:D126)</f>
        <v>2295</v>
      </c>
      <c r="E127" s="1670">
        <f t="shared" si="14"/>
        <v>118744</v>
      </c>
      <c r="F127" s="1670">
        <f t="shared" si="14"/>
        <v>58334</v>
      </c>
      <c r="G127" s="1670">
        <f t="shared" si="14"/>
        <v>8189</v>
      </c>
      <c r="H127" s="1670">
        <f t="shared" si="14"/>
        <v>0</v>
      </c>
      <c r="I127" s="1670">
        <f t="shared" si="14"/>
        <v>0</v>
      </c>
      <c r="J127" s="1670">
        <f t="shared" si="14"/>
        <v>0</v>
      </c>
      <c r="K127" s="1670">
        <f t="shared" si="14"/>
        <v>208922</v>
      </c>
      <c r="L127" s="1670">
        <f t="shared" si="14"/>
        <v>269100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21360</v>
      </c>
      <c r="D129" s="1677">
        <f t="shared" ref="D129:L129" si="15">SUM(D120,D127,D128)</f>
        <v>2295</v>
      </c>
      <c r="E129" s="1677">
        <f t="shared" si="15"/>
        <v>118744</v>
      </c>
      <c r="F129" s="1677">
        <f t="shared" si="15"/>
        <v>58334</v>
      </c>
      <c r="G129" s="1677">
        <f t="shared" si="15"/>
        <v>8189</v>
      </c>
      <c r="H129" s="1677">
        <f t="shared" si="15"/>
        <v>0</v>
      </c>
      <c r="I129" s="1677">
        <f t="shared" si="15"/>
        <v>0</v>
      </c>
      <c r="J129" s="1677">
        <f t="shared" si="15"/>
        <v>0</v>
      </c>
      <c r="K129" s="1677">
        <f t="shared" si="15"/>
        <v>208922</v>
      </c>
      <c r="L129" s="1677">
        <f t="shared" si="15"/>
        <v>269100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3" t="s">
        <v>620</v>
      </c>
      <c r="B151" s="2153"/>
      <c r="C151" s="1670">
        <f>SUM(C129,C130,C139,C149,C150)</f>
        <v>21360</v>
      </c>
      <c r="D151" s="1670">
        <f t="shared" ref="D151:K151" si="16">SUM(D129,D130,D139,D149,D150)</f>
        <v>2295</v>
      </c>
      <c r="E151" s="1670">
        <f t="shared" si="16"/>
        <v>118744</v>
      </c>
      <c r="F151" s="1670">
        <f t="shared" si="16"/>
        <v>58334</v>
      </c>
      <c r="G151" s="1670">
        <f t="shared" si="16"/>
        <v>8189</v>
      </c>
      <c r="H151" s="1670">
        <f t="shared" si="16"/>
        <v>0</v>
      </c>
      <c r="I151" s="1670">
        <f t="shared" si="16"/>
        <v>0</v>
      </c>
      <c r="J151" s="1670">
        <f t="shared" si="16"/>
        <v>0</v>
      </c>
      <c r="K151" s="1670">
        <f t="shared" si="16"/>
        <v>208922</v>
      </c>
      <c r="L151" s="1670">
        <f>SUM(L129,L130,L139,L149,L150)</f>
        <v>269100</v>
      </c>
    </row>
    <row r="152" spans="1:14" ht="12.75" customHeight="1" thickTop="1" x14ac:dyDescent="0.2">
      <c r="A152" s="2176" t="s">
        <v>1178</v>
      </c>
      <c r="B152" s="2177"/>
      <c r="C152" s="618"/>
      <c r="D152" s="618"/>
      <c r="E152" s="618"/>
      <c r="F152" s="618"/>
      <c r="G152" s="618"/>
      <c r="H152" s="618"/>
      <c r="I152" s="618"/>
      <c r="J152" s="616"/>
      <c r="K152" s="1684">
        <f>'Revenues 9-14'!D268-'Expenditures 15-22'!K151</f>
        <v>69913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153200</v>
      </c>
      <c r="I169" s="616"/>
      <c r="J169" s="616"/>
      <c r="K169" s="1671">
        <f>SUM(C169:H169)</f>
        <v>153200</v>
      </c>
      <c r="L169" s="656">
        <v>76000</v>
      </c>
    </row>
    <row r="170" spans="1:14" ht="33.75" customHeight="1" x14ac:dyDescent="0.2">
      <c r="A170" s="669" t="s">
        <v>1670</v>
      </c>
      <c r="B170" s="671" t="s">
        <v>31</v>
      </c>
      <c r="C170" s="616"/>
      <c r="D170" s="616"/>
      <c r="E170" s="616"/>
      <c r="F170" s="616"/>
      <c r="G170" s="616"/>
      <c r="H170" s="569">
        <v>215000</v>
      </c>
      <c r="I170" s="616"/>
      <c r="J170" s="616"/>
      <c r="K170" s="1671">
        <f>SUM(C170:J170)</f>
        <v>215000</v>
      </c>
      <c r="L170" s="569">
        <v>292000</v>
      </c>
    </row>
    <row r="171" spans="1:14" ht="15.75" customHeight="1" x14ac:dyDescent="0.2">
      <c r="A171" s="621" t="s">
        <v>766</v>
      </c>
      <c r="B171" s="672" t="s">
        <v>84</v>
      </c>
      <c r="C171" s="616"/>
      <c r="D171" s="616"/>
      <c r="E171" s="466">
        <v>0</v>
      </c>
      <c r="F171" s="616"/>
      <c r="G171" s="616"/>
      <c r="H171" s="569">
        <v>0</v>
      </c>
      <c r="I171" s="477"/>
      <c r="J171" s="616"/>
      <c r="K171" s="1671">
        <f>SUM(C171:J171)</f>
        <v>0</v>
      </c>
      <c r="L171" s="569">
        <v>1000</v>
      </c>
    </row>
    <row r="172" spans="1:14" ht="12.75" customHeight="1" thickBot="1" x14ac:dyDescent="0.25">
      <c r="A172" s="1668" t="s">
        <v>638</v>
      </c>
      <c r="B172" s="1669" t="s">
        <v>492</v>
      </c>
      <c r="C172" s="616"/>
      <c r="D172" s="616"/>
      <c r="E172" s="1677">
        <f>SUM(E168,E169,E170,E171)</f>
        <v>0</v>
      </c>
      <c r="F172" s="616"/>
      <c r="G172" s="616"/>
      <c r="H172" s="1677">
        <f>SUM(H168,H169,H170,H171)</f>
        <v>368200</v>
      </c>
      <c r="I172" s="638"/>
      <c r="J172" s="616"/>
      <c r="K172" s="1677">
        <f>SUM(K168,K169,K170,K171)</f>
        <v>368200</v>
      </c>
      <c r="L172" s="1677">
        <f>SUM(L168,L169,L170,L171)</f>
        <v>369000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368200</v>
      </c>
      <c r="I174" s="638"/>
      <c r="J174" s="616"/>
      <c r="K174" s="1677">
        <f>SUM(K160,K172,K173)</f>
        <v>368200</v>
      </c>
      <c r="L174" s="1677">
        <f>SUM(L160,L172,L173)</f>
        <v>369000</v>
      </c>
    </row>
    <row r="175" spans="1:14" ht="13.5" thickTop="1" x14ac:dyDescent="0.2">
      <c r="A175" s="2156" t="s">
        <v>996</v>
      </c>
      <c r="B175" s="2157"/>
      <c r="C175" s="616"/>
      <c r="D175" s="616"/>
      <c r="E175" s="616"/>
      <c r="F175" s="616"/>
      <c r="G175" s="616"/>
      <c r="H175" s="618"/>
      <c r="I175" s="616"/>
      <c r="J175" s="616"/>
      <c r="K175" s="1684">
        <f>'Revenues 9-14'!E268-'Expenditures 15-22'!K174</f>
        <v>-1389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125</v>
      </c>
      <c r="D182" s="466">
        <v>16</v>
      </c>
      <c r="E182" s="466">
        <v>1860</v>
      </c>
      <c r="F182" s="466">
        <v>0</v>
      </c>
      <c r="G182" s="466">
        <v>0</v>
      </c>
      <c r="H182" s="466">
        <v>0</v>
      </c>
      <c r="I182" s="467">
        <v>0</v>
      </c>
      <c r="J182" s="467">
        <v>0</v>
      </c>
      <c r="K182" s="1671">
        <f>SUM(C182:J182)</f>
        <v>2001</v>
      </c>
      <c r="L182" s="466">
        <v>5175</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125</v>
      </c>
      <c r="D184" s="1677">
        <f t="shared" ref="D184:J184" si="17">SUM(D180,D182,D183)</f>
        <v>16</v>
      </c>
      <c r="E184" s="1677">
        <f t="shared" si="17"/>
        <v>1860</v>
      </c>
      <c r="F184" s="1677">
        <f t="shared" si="17"/>
        <v>0</v>
      </c>
      <c r="G184" s="1677">
        <f t="shared" si="17"/>
        <v>0</v>
      </c>
      <c r="H184" s="1677">
        <f t="shared" si="17"/>
        <v>0</v>
      </c>
      <c r="I184" s="1677">
        <f t="shared" si="17"/>
        <v>0</v>
      </c>
      <c r="J184" s="1677">
        <f t="shared" si="17"/>
        <v>0</v>
      </c>
      <c r="K184" s="1677">
        <f>SUM(K180,K182,K183)</f>
        <v>2001</v>
      </c>
      <c r="L184" s="1677">
        <f>SUM(L180, L182:L183)</f>
        <v>5175</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160633</v>
      </c>
      <c r="F189" s="616"/>
      <c r="G189" s="616"/>
      <c r="H189" s="466">
        <v>0</v>
      </c>
      <c r="I189" s="477"/>
      <c r="J189" s="616"/>
      <c r="K189" s="1671">
        <f t="shared" si="18"/>
        <v>160633</v>
      </c>
      <c r="L189" s="466">
        <v>156750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160633</v>
      </c>
      <c r="F194" s="616"/>
      <c r="G194" s="616"/>
      <c r="H194" s="1670">
        <f>SUM(H188:H193)</f>
        <v>0</v>
      </c>
      <c r="I194" s="477"/>
      <c r="J194" s="616"/>
      <c r="K194" s="1670">
        <f>SUM(K188:K193)</f>
        <v>160633</v>
      </c>
      <c r="L194" s="1670">
        <f>SUM(L188:L193)</f>
        <v>156750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160633</v>
      </c>
      <c r="F196" s="616"/>
      <c r="G196" s="616"/>
      <c r="H196" s="1677">
        <f>SUM(H194,H195)</f>
        <v>0</v>
      </c>
      <c r="I196" s="477"/>
      <c r="J196" s="616"/>
      <c r="K196" s="1677">
        <f>SUM(K194,K195)</f>
        <v>160633</v>
      </c>
      <c r="L196" s="1677">
        <f>SUM(L194,L195)</f>
        <v>156750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125</v>
      </c>
      <c r="D210" s="1670">
        <f>SUM(D184,D185)</f>
        <v>16</v>
      </c>
      <c r="E210" s="1670">
        <f>SUM(E184,E185,E196)</f>
        <v>162493</v>
      </c>
      <c r="F210" s="1670">
        <f>SUM(F184,F185)</f>
        <v>0</v>
      </c>
      <c r="G210" s="1670">
        <f>SUM(G184,G185)</f>
        <v>0</v>
      </c>
      <c r="H210" s="1670">
        <f>SUM(H184,H185,H196,H208,H209)</f>
        <v>0</v>
      </c>
      <c r="I210" s="1670">
        <f>SUM(I184,I185)</f>
        <v>0</v>
      </c>
      <c r="J210" s="1670">
        <f>SUM(J184,J185)</f>
        <v>0</v>
      </c>
      <c r="K210" s="1671">
        <f>SUM(K184,K185,K196,K208,K209)</f>
        <v>162634</v>
      </c>
      <c r="L210" s="1670">
        <f>SUM(L184,L185,L196,L208,L209)</f>
        <v>161925</v>
      </c>
    </row>
    <row r="211" spans="1:14" ht="13.5" thickTop="1" x14ac:dyDescent="0.2">
      <c r="A211" s="2156" t="s">
        <v>996</v>
      </c>
      <c r="B211" s="2157"/>
      <c r="C211" s="618"/>
      <c r="D211" s="618"/>
      <c r="E211" s="618"/>
      <c r="F211" s="618"/>
      <c r="G211" s="618"/>
      <c r="H211" s="618"/>
      <c r="I211" s="616"/>
      <c r="J211" s="616"/>
      <c r="K211" s="1684">
        <f>'Revenues 9-14'!F268-'Expenditures 15-22'!K210</f>
        <v>-46409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13439</v>
      </c>
      <c r="E215" s="616"/>
      <c r="F215" s="616"/>
      <c r="G215" s="616"/>
      <c r="H215" s="616"/>
      <c r="I215" s="616"/>
      <c r="J215" s="616"/>
      <c r="K215" s="1671">
        <f>D215</f>
        <v>13439</v>
      </c>
      <c r="L215" s="466">
        <v>15350</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6805</v>
      </c>
      <c r="E217" s="616"/>
      <c r="F217" s="616"/>
      <c r="G217" s="616"/>
      <c r="H217" s="616"/>
      <c r="I217" s="616"/>
      <c r="J217" s="616"/>
      <c r="K217" s="1671">
        <f t="shared" si="19"/>
        <v>6805</v>
      </c>
      <c r="L217" s="466">
        <v>10750</v>
      </c>
    </row>
    <row r="218" spans="1:14" x14ac:dyDescent="0.2">
      <c r="A218" s="1504" t="s">
        <v>278</v>
      </c>
      <c r="B218" s="614" t="s">
        <v>968</v>
      </c>
      <c r="C218" s="616"/>
      <c r="D218" s="467">
        <v>0</v>
      </c>
      <c r="E218" s="616"/>
      <c r="F218" s="616"/>
      <c r="G218" s="616"/>
      <c r="H218" s="616"/>
      <c r="I218" s="616"/>
      <c r="J218" s="616"/>
      <c r="K218" s="1671">
        <f t="shared" si="19"/>
        <v>0</v>
      </c>
      <c r="L218" s="466">
        <v>0</v>
      </c>
    </row>
    <row r="219" spans="1:14" x14ac:dyDescent="0.2">
      <c r="A219" s="1504" t="s">
        <v>279</v>
      </c>
      <c r="B219" s="614">
        <v>1250</v>
      </c>
      <c r="C219" s="616"/>
      <c r="D219" s="466">
        <v>307</v>
      </c>
      <c r="E219" s="616"/>
      <c r="F219" s="616"/>
      <c r="G219" s="616"/>
      <c r="H219" s="616"/>
      <c r="I219" s="616"/>
      <c r="J219" s="616"/>
      <c r="K219" s="1671">
        <f t="shared" si="19"/>
        <v>307</v>
      </c>
      <c r="L219" s="466">
        <v>3250</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2757</v>
      </c>
      <c r="E223" s="616"/>
      <c r="F223" s="616"/>
      <c r="G223" s="616"/>
      <c r="H223" s="616"/>
      <c r="I223" s="616"/>
      <c r="J223" s="616"/>
      <c r="K223" s="1671">
        <f t="shared" si="19"/>
        <v>2757</v>
      </c>
      <c r="L223" s="466">
        <v>1610</v>
      </c>
    </row>
    <row r="224" spans="1:14" x14ac:dyDescent="0.2">
      <c r="A224" s="1504" t="s">
        <v>964</v>
      </c>
      <c r="B224" s="614">
        <v>1600</v>
      </c>
      <c r="C224" s="616"/>
      <c r="D224" s="466">
        <v>0</v>
      </c>
      <c r="E224" s="616"/>
      <c r="F224" s="616"/>
      <c r="G224" s="616"/>
      <c r="H224" s="616"/>
      <c r="I224" s="616"/>
      <c r="J224" s="616"/>
      <c r="K224" s="1671">
        <f t="shared" si="19"/>
        <v>0</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0</v>
      </c>
      <c r="E227" s="616"/>
      <c r="F227" s="616"/>
      <c r="G227" s="616"/>
      <c r="H227" s="616"/>
      <c r="I227" s="616"/>
      <c r="J227" s="616"/>
      <c r="K227" s="1671">
        <f t="shared" si="19"/>
        <v>0</v>
      </c>
      <c r="L227" s="466">
        <v>0</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23308</v>
      </c>
      <c r="E229" s="616"/>
      <c r="F229" s="616"/>
      <c r="G229" s="616"/>
      <c r="H229" s="616"/>
      <c r="I229" s="616"/>
      <c r="J229" s="616"/>
      <c r="K229" s="1670">
        <f>SUM(K215:K228)</f>
        <v>23308</v>
      </c>
      <c r="L229" s="1670">
        <f>SUM(L215:L228)</f>
        <v>30960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0</v>
      </c>
      <c r="E232" s="616"/>
      <c r="F232" s="616"/>
      <c r="G232" s="616"/>
      <c r="H232" s="616"/>
      <c r="I232" s="616"/>
      <c r="J232" s="616"/>
      <c r="K232" s="1671">
        <f t="shared" ref="K232:K237" si="20">D232</f>
        <v>0</v>
      </c>
      <c r="L232" s="466">
        <v>0</v>
      </c>
    </row>
    <row r="233" spans="1:12" x14ac:dyDescent="0.2">
      <c r="A233" s="1504" t="s">
        <v>1090</v>
      </c>
      <c r="B233" s="614">
        <v>2120</v>
      </c>
      <c r="C233" s="616"/>
      <c r="D233" s="466">
        <v>0</v>
      </c>
      <c r="E233" s="616"/>
      <c r="F233" s="616"/>
      <c r="G233" s="616"/>
      <c r="H233" s="616"/>
      <c r="I233" s="616"/>
      <c r="J233" s="616"/>
      <c r="K233" s="1671">
        <f t="shared" si="20"/>
        <v>0</v>
      </c>
      <c r="L233" s="466">
        <v>0</v>
      </c>
    </row>
    <row r="234" spans="1:12" x14ac:dyDescent="0.2">
      <c r="A234" s="1504" t="s">
        <v>198</v>
      </c>
      <c r="B234" s="614">
        <v>2130</v>
      </c>
      <c r="C234" s="616"/>
      <c r="D234" s="466">
        <v>3768</v>
      </c>
      <c r="E234" s="616"/>
      <c r="F234" s="616"/>
      <c r="G234" s="616"/>
      <c r="H234" s="616"/>
      <c r="I234" s="616"/>
      <c r="J234" s="616"/>
      <c r="K234" s="1671">
        <f t="shared" si="20"/>
        <v>3768</v>
      </c>
      <c r="L234" s="466">
        <v>4150</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963</v>
      </c>
      <c r="E236" s="616"/>
      <c r="F236" s="616"/>
      <c r="G236" s="616"/>
      <c r="H236" s="616"/>
      <c r="I236" s="616"/>
      <c r="J236" s="616"/>
      <c r="K236" s="1671">
        <f t="shared" si="20"/>
        <v>963</v>
      </c>
      <c r="L236" s="466">
        <v>975</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4731</v>
      </c>
      <c r="E238" s="616"/>
      <c r="F238" s="616"/>
      <c r="G238" s="616"/>
      <c r="H238" s="616"/>
      <c r="I238" s="616"/>
      <c r="J238" s="616"/>
      <c r="K238" s="1670">
        <f>SUM(K232:K237)</f>
        <v>4731</v>
      </c>
      <c r="L238" s="1670">
        <f>SUM(L232:L237)</f>
        <v>5125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50</v>
      </c>
      <c r="E240" s="616"/>
      <c r="F240" s="616"/>
      <c r="G240" s="616"/>
      <c r="H240" s="616"/>
      <c r="I240" s="616"/>
      <c r="J240" s="616"/>
      <c r="K240" s="1672">
        <f>D240</f>
        <v>50</v>
      </c>
      <c r="L240" s="481">
        <v>0</v>
      </c>
    </row>
    <row r="241" spans="1:12" x14ac:dyDescent="0.2">
      <c r="A241" s="1504" t="s">
        <v>815</v>
      </c>
      <c r="B241" s="614">
        <v>2220</v>
      </c>
      <c r="C241" s="616"/>
      <c r="D241" s="466">
        <v>2180</v>
      </c>
      <c r="E241" s="616"/>
      <c r="F241" s="616"/>
      <c r="G241" s="616"/>
      <c r="H241" s="616"/>
      <c r="I241" s="616"/>
      <c r="J241" s="616"/>
      <c r="K241" s="1672">
        <f>D241</f>
        <v>2180</v>
      </c>
      <c r="L241" s="466">
        <v>100</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2230</v>
      </c>
      <c r="E243" s="616"/>
      <c r="F243" s="616"/>
      <c r="G243" s="616"/>
      <c r="H243" s="616"/>
      <c r="I243" s="616"/>
      <c r="J243" s="616"/>
      <c r="K243" s="1670">
        <f>SUM(K240:K242)</f>
        <v>2230</v>
      </c>
      <c r="L243" s="1670">
        <f>SUM(L240:L242)</f>
        <v>100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92</v>
      </c>
      <c r="E245" s="616"/>
      <c r="F245" s="616"/>
      <c r="G245" s="616"/>
      <c r="H245" s="616"/>
      <c r="I245" s="616"/>
      <c r="J245" s="616"/>
      <c r="K245" s="1672">
        <f>D245</f>
        <v>92</v>
      </c>
      <c r="L245" s="481">
        <v>125</v>
      </c>
    </row>
    <row r="246" spans="1:12" x14ac:dyDescent="0.2">
      <c r="A246" s="1504" t="s">
        <v>818</v>
      </c>
      <c r="B246" s="614">
        <v>2320</v>
      </c>
      <c r="C246" s="616"/>
      <c r="D246" s="466">
        <v>6050</v>
      </c>
      <c r="E246" s="616"/>
      <c r="F246" s="616"/>
      <c r="G246" s="616"/>
      <c r="H246" s="616"/>
      <c r="I246" s="616"/>
      <c r="J246" s="616"/>
      <c r="K246" s="1672">
        <f t="shared" ref="K246:K256" si="21">D246</f>
        <v>6050</v>
      </c>
      <c r="L246" s="466">
        <v>0</v>
      </c>
    </row>
    <row r="247" spans="1:12" x14ac:dyDescent="0.2">
      <c r="A247" s="1504" t="s">
        <v>819</v>
      </c>
      <c r="B247" s="614">
        <v>2330</v>
      </c>
      <c r="C247" s="616"/>
      <c r="D247" s="466">
        <v>0</v>
      </c>
      <c r="E247" s="616"/>
      <c r="F247" s="616"/>
      <c r="G247" s="616"/>
      <c r="H247" s="616"/>
      <c r="I247" s="616"/>
      <c r="J247" s="616"/>
      <c r="K247" s="1672">
        <f t="shared" si="21"/>
        <v>0</v>
      </c>
      <c r="L247" s="466">
        <v>14450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1805</v>
      </c>
      <c r="B249" s="683" t="s">
        <v>282</v>
      </c>
      <c r="C249" s="616"/>
      <c r="D249" s="474">
        <v>0</v>
      </c>
      <c r="E249" s="616"/>
      <c r="F249" s="616"/>
      <c r="G249" s="616"/>
      <c r="H249" s="616"/>
      <c r="I249" s="616"/>
      <c r="J249" s="616"/>
      <c r="K249" s="1672">
        <f t="shared" si="21"/>
        <v>0</v>
      </c>
      <c r="L249" s="466">
        <v>0</v>
      </c>
    </row>
    <row r="250" spans="1:12" x14ac:dyDescent="0.2">
      <c r="A250" s="1505" t="s">
        <v>1806</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6142</v>
      </c>
      <c r="E257" s="616"/>
      <c r="F257" s="616"/>
      <c r="G257" s="616"/>
      <c r="H257" s="616"/>
      <c r="I257" s="616"/>
      <c r="J257" s="616"/>
      <c r="K257" s="1670">
        <f>SUM(K245:K256)</f>
        <v>6142</v>
      </c>
      <c r="L257" s="1670">
        <f>SUM(L245:L256)</f>
        <v>14575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8022</v>
      </c>
      <c r="E259" s="616"/>
      <c r="F259" s="616"/>
      <c r="G259" s="616"/>
      <c r="H259" s="616"/>
      <c r="I259" s="616"/>
      <c r="J259" s="616"/>
      <c r="K259" s="1672">
        <f>D259</f>
        <v>8022</v>
      </c>
      <c r="L259" s="481">
        <v>0</v>
      </c>
    </row>
    <row r="260" spans="1:14" s="597" customFormat="1" x14ac:dyDescent="0.2">
      <c r="A260" s="1522" t="s">
        <v>1804</v>
      </c>
      <c r="B260" s="628">
        <v>2490</v>
      </c>
      <c r="C260" s="616"/>
      <c r="D260" s="466">
        <v>234</v>
      </c>
      <c r="E260" s="616"/>
      <c r="F260" s="616"/>
      <c r="G260" s="616"/>
      <c r="H260" s="616"/>
      <c r="I260" s="616"/>
      <c r="J260" s="616"/>
      <c r="K260" s="1672">
        <f>D260</f>
        <v>234</v>
      </c>
      <c r="L260" s="466">
        <v>0</v>
      </c>
      <c r="M260" s="210"/>
      <c r="N260" s="210"/>
    </row>
    <row r="261" spans="1:14" ht="12.75" customHeight="1" thickBot="1" x14ac:dyDescent="0.25">
      <c r="A261" s="1692" t="s">
        <v>263</v>
      </c>
      <c r="B261" s="1697" t="s">
        <v>34</v>
      </c>
      <c r="C261" s="616"/>
      <c r="D261" s="1670">
        <f>SUM(D259:D260)</f>
        <v>8256</v>
      </c>
      <c r="E261" s="616"/>
      <c r="F261" s="616"/>
      <c r="G261" s="616"/>
      <c r="H261" s="616"/>
      <c r="I261" s="616"/>
      <c r="J261" s="616"/>
      <c r="K261" s="1670">
        <f>SUM(K259:K260)</f>
        <v>8256</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v>0</v>
      </c>
    </row>
    <row r="264" spans="1:14" x14ac:dyDescent="0.2">
      <c r="A264" s="1504" t="s">
        <v>463</v>
      </c>
      <c r="B264" s="685">
        <v>2520</v>
      </c>
      <c r="C264" s="616"/>
      <c r="D264" s="466">
        <v>3331</v>
      </c>
      <c r="E264" s="616"/>
      <c r="F264" s="616"/>
      <c r="G264" s="616"/>
      <c r="H264" s="616"/>
      <c r="I264" s="616"/>
      <c r="J264" s="616"/>
      <c r="K264" s="1672">
        <f t="shared" ref="K264:K269" si="22">D264</f>
        <v>3331</v>
      </c>
      <c r="L264" s="466">
        <v>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1616</v>
      </c>
      <c r="E266" s="616"/>
      <c r="F266" s="616"/>
      <c r="G266" s="616"/>
      <c r="H266" s="616"/>
      <c r="I266" s="616"/>
      <c r="J266" s="616"/>
      <c r="K266" s="1672">
        <f t="shared" si="22"/>
        <v>1616</v>
      </c>
      <c r="L266" s="466">
        <v>7000</v>
      </c>
    </row>
    <row r="267" spans="1:14" x14ac:dyDescent="0.2">
      <c r="A267" s="1504" t="s">
        <v>953</v>
      </c>
      <c r="B267" s="614">
        <v>2550</v>
      </c>
      <c r="C267" s="616"/>
      <c r="D267" s="466">
        <v>2</v>
      </c>
      <c r="E267" s="616"/>
      <c r="F267" s="616"/>
      <c r="G267" s="616"/>
      <c r="H267" s="616"/>
      <c r="I267" s="616"/>
      <c r="J267" s="616"/>
      <c r="K267" s="1672">
        <f t="shared" si="22"/>
        <v>2</v>
      </c>
      <c r="L267" s="466">
        <v>50</v>
      </c>
    </row>
    <row r="268" spans="1:14" x14ac:dyDescent="0.2">
      <c r="A268" s="1504" t="s">
        <v>100</v>
      </c>
      <c r="B268" s="614">
        <v>2560</v>
      </c>
      <c r="C268" s="616"/>
      <c r="D268" s="466">
        <v>1092</v>
      </c>
      <c r="E268" s="616"/>
      <c r="F268" s="616"/>
      <c r="G268" s="616"/>
      <c r="H268" s="616"/>
      <c r="I268" s="616"/>
      <c r="J268" s="616"/>
      <c r="K268" s="1672">
        <f t="shared" si="22"/>
        <v>1092</v>
      </c>
      <c r="L268" s="466">
        <v>1200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6041</v>
      </c>
      <c r="E270" s="616"/>
      <c r="F270" s="616"/>
      <c r="G270" s="616"/>
      <c r="H270" s="616"/>
      <c r="I270" s="616"/>
      <c r="J270" s="616"/>
      <c r="K270" s="1670">
        <f>SUM(K263:K269)</f>
        <v>6041</v>
      </c>
      <c r="L270" s="1670">
        <f>SUM(L263:L269)</f>
        <v>8250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27400</v>
      </c>
      <c r="E279" s="616"/>
      <c r="F279" s="616"/>
      <c r="G279" s="616"/>
      <c r="H279" s="616"/>
      <c r="I279" s="616"/>
      <c r="J279" s="616"/>
      <c r="K279" s="1677">
        <f>SUM(K238,K243,K257,K261,K270,K277,K278)</f>
        <v>27400</v>
      </c>
      <c r="L279" s="1677">
        <f>SUM(L238,L243,L257,L261,L270,L277,L278)</f>
        <v>28050</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t="s">
        <v>1169</v>
      </c>
      <c r="E282" s="616"/>
      <c r="F282" s="616"/>
      <c r="G282" s="616"/>
      <c r="H282" s="616"/>
      <c r="I282" s="616"/>
      <c r="J282" s="616"/>
      <c r="K282" s="1671" t="str">
        <f>D282</f>
        <v xml:space="preserve"> </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4" t="s">
        <v>505</v>
      </c>
      <c r="B295" s="2175"/>
      <c r="C295" s="616"/>
      <c r="D295" s="1670">
        <f>SUM(D229,D279,D280,D285)</f>
        <v>50708</v>
      </c>
      <c r="E295" s="616"/>
      <c r="F295" s="616"/>
      <c r="G295" s="616"/>
      <c r="H295" s="1670">
        <f>H293</f>
        <v>0</v>
      </c>
      <c r="I295" s="616"/>
      <c r="J295" s="616"/>
      <c r="K295" s="1670">
        <f>SUM(K229,K279,K280,K285,K293,K294)</f>
        <v>50708</v>
      </c>
      <c r="L295" s="1670">
        <f>SUM(L229,L279,L280,L285,L293,L294)</f>
        <v>59010</v>
      </c>
    </row>
    <row r="296" spans="1:14" ht="13.5" thickTop="1" x14ac:dyDescent="0.2">
      <c r="A296" s="2156" t="s">
        <v>996</v>
      </c>
      <c r="B296" s="2157"/>
      <c r="C296" s="616"/>
      <c r="D296" s="618"/>
      <c r="E296" s="616"/>
      <c r="F296" s="616"/>
      <c r="G296" s="616"/>
      <c r="H296" s="687"/>
      <c r="I296" s="616"/>
      <c r="J296" s="616"/>
      <c r="K296" s="1684">
        <f>'Revenues 9-14'!G268-'Expenditures 15-22'!K295</f>
        <v>-15248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0</v>
      </c>
      <c r="H301" s="466">
        <v>0</v>
      </c>
      <c r="I301" s="467">
        <v>0</v>
      </c>
      <c r="J301" s="467">
        <v>0</v>
      </c>
      <c r="K301" s="1671">
        <f>SUM(C301:J301)</f>
        <v>0</v>
      </c>
      <c r="L301" s="467">
        <v>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1805</v>
      </c>
      <c r="B320" s="698" t="s">
        <v>282</v>
      </c>
      <c r="C320" s="467">
        <v>0</v>
      </c>
      <c r="D320" s="467">
        <v>0</v>
      </c>
      <c r="E320" s="467">
        <v>6110</v>
      </c>
      <c r="F320" s="467">
        <v>0</v>
      </c>
      <c r="G320" s="467">
        <v>0</v>
      </c>
      <c r="H320" s="467">
        <v>0</v>
      </c>
      <c r="I320" s="467">
        <v>0</v>
      </c>
      <c r="J320" s="467">
        <v>0</v>
      </c>
      <c r="K320" s="1671">
        <f t="shared" ref="K320:K327" si="24">SUM(C320:J320)</f>
        <v>6110</v>
      </c>
      <c r="L320" s="467">
        <v>9500</v>
      </c>
      <c r="M320" s="665"/>
      <c r="N320" s="665"/>
    </row>
    <row r="321" spans="1:14" s="674" customFormat="1" x14ac:dyDescent="0.2">
      <c r="A321" s="1519" t="s">
        <v>300</v>
      </c>
      <c r="B321" s="697" t="s">
        <v>283</v>
      </c>
      <c r="C321" s="467">
        <v>0</v>
      </c>
      <c r="D321" s="467">
        <v>0</v>
      </c>
      <c r="E321" s="467">
        <v>60</v>
      </c>
      <c r="F321" s="467">
        <v>0</v>
      </c>
      <c r="G321" s="467">
        <v>0</v>
      </c>
      <c r="H321" s="467">
        <v>0</v>
      </c>
      <c r="I321" s="467">
        <v>0</v>
      </c>
      <c r="J321" s="467">
        <v>0</v>
      </c>
      <c r="K321" s="1671">
        <f t="shared" si="24"/>
        <v>60</v>
      </c>
      <c r="L321" s="467">
        <v>120</v>
      </c>
      <c r="M321" s="665"/>
      <c r="N321" s="665"/>
    </row>
    <row r="322" spans="1:14" s="674" customFormat="1" x14ac:dyDescent="0.2">
      <c r="A322" s="1519" t="s">
        <v>238</v>
      </c>
      <c r="B322" s="697" t="s">
        <v>284</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472</v>
      </c>
      <c r="B328" s="690" t="s">
        <v>1132</v>
      </c>
      <c r="C328" s="474" t="s">
        <v>1169</v>
      </c>
      <c r="D328" s="474" t="s">
        <v>1169</v>
      </c>
      <c r="E328" s="474">
        <v>0</v>
      </c>
      <c r="F328" s="474" t="s">
        <v>1169</v>
      </c>
      <c r="G328" s="474" t="s">
        <v>1169</v>
      </c>
      <c r="H328" s="474" t="s">
        <v>1169</v>
      </c>
      <c r="I328" s="474" t="s">
        <v>1169</v>
      </c>
      <c r="J328" s="474" t="s">
        <v>1169</v>
      </c>
      <c r="K328" s="1699">
        <f>SUM(C328:J328)</f>
        <v>0</v>
      </c>
      <c r="L328" s="474">
        <v>3700</v>
      </c>
      <c r="M328" s="665"/>
      <c r="N328" s="665"/>
    </row>
    <row r="329" spans="1:14" s="674" customFormat="1" x14ac:dyDescent="0.2">
      <c r="A329" s="1520" t="s">
        <v>1133</v>
      </c>
      <c r="B329" s="690" t="s">
        <v>1134</v>
      </c>
      <c r="C329" s="474" t="s">
        <v>1169</v>
      </c>
      <c r="D329" s="474" t="s">
        <v>1169</v>
      </c>
      <c r="E329" s="474" t="s">
        <v>1169</v>
      </c>
      <c r="F329" s="474" t="s">
        <v>1169</v>
      </c>
      <c r="G329" s="474" t="s">
        <v>1169</v>
      </c>
      <c r="H329" s="474" t="s">
        <v>1169</v>
      </c>
      <c r="I329" s="474" t="s">
        <v>1169</v>
      </c>
      <c r="J329" s="474" t="s">
        <v>1169</v>
      </c>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6170</v>
      </c>
      <c r="F330" s="1670">
        <f t="shared" si="25"/>
        <v>0</v>
      </c>
      <c r="G330" s="1670">
        <f t="shared" si="25"/>
        <v>0</v>
      </c>
      <c r="H330" s="1670">
        <f t="shared" si="25"/>
        <v>0</v>
      </c>
      <c r="I330" s="1670">
        <f t="shared" si="25"/>
        <v>0</v>
      </c>
      <c r="J330" s="1670">
        <f t="shared" si="25"/>
        <v>0</v>
      </c>
      <c r="K330" s="1670">
        <f>SUM(K319:K329)</f>
        <v>6170</v>
      </c>
      <c r="L330" s="1670">
        <f>SUM(L319:L329)</f>
        <v>13320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6170</v>
      </c>
      <c r="F342" s="1670">
        <f>SUM(F330)</f>
        <v>0</v>
      </c>
      <c r="G342" s="1670">
        <f>SUM(G330)</f>
        <v>0</v>
      </c>
      <c r="H342" s="1670">
        <f>SUM(H330,H334,H340)</f>
        <v>0</v>
      </c>
      <c r="I342" s="1670">
        <f>SUM(I330)</f>
        <v>0</v>
      </c>
      <c r="J342" s="1670">
        <f>SUM(J330)</f>
        <v>0</v>
      </c>
      <c r="K342" s="1670">
        <f>SUM(K330,K334,K340)</f>
        <v>6170</v>
      </c>
      <c r="L342" s="1677">
        <f>SUM(L330,L340,L341)</f>
        <v>13320</v>
      </c>
    </row>
    <row r="343" spans="1:14" ht="12.75" customHeight="1" thickTop="1" x14ac:dyDescent="0.2">
      <c r="A343" s="2169" t="s">
        <v>996</v>
      </c>
      <c r="B343" s="2170"/>
      <c r="C343" s="616"/>
      <c r="D343" s="616"/>
      <c r="E343" s="616"/>
      <c r="F343" s="616"/>
      <c r="G343" s="616"/>
      <c r="H343" s="616"/>
      <c r="I343" s="616"/>
      <c r="J343" s="616"/>
      <c r="K343" s="1684">
        <f>'Revenues 9-14'!J268-'Expenditures 15-22'!K342</f>
        <v>4449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v>0</v>
      </c>
    </row>
    <row r="355" spans="1:14" ht="12.75" customHeight="1" x14ac:dyDescent="0.2">
      <c r="A355" s="1513" t="s">
        <v>1854</v>
      </c>
      <c r="B355" s="690" t="s">
        <v>1847</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6" t="s">
        <v>996</v>
      </c>
      <c r="B368" s="2157"/>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elements/1.1/"/>
    <ds:schemaRef ds:uri="d21dc803-237d-4c68-8692-8d731fd29118"/>
    <ds:schemaRef ds:uri="6ce3111e-7420-4802-b50a-75d4e9a0b980"/>
    <ds:schemaRef ds:uri="http://schemas.microsoft.com/sharepoint/v3"/>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2019-09-26T15:28:22Z</cp:lastPrinted>
  <dcterms:created xsi:type="dcterms:W3CDTF">2003-10-29T19:06:34Z</dcterms:created>
  <dcterms:modified xsi:type="dcterms:W3CDTF">2020-01-02T17:23:31Z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