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C931A59-A1B8-42F4-8BE6-E27FE345C60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 i="5" l="1"/>
  <c r="D107" i="5" l="1"/>
  <c r="C200" i="5"/>
  <c r="C193" i="5"/>
  <c r="C92" i="5"/>
  <c r="I4" i="3"/>
  <c r="H4"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31" i="108"/>
  <c r="F36" i="108"/>
  <c r="G28" i="108"/>
  <c r="G29" i="108"/>
  <c r="D31" i="108"/>
  <c r="D36" i="108"/>
  <c r="E31" i="108"/>
  <c r="G31" i="108"/>
  <c r="E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D24" i="37"/>
  <c r="B4270" i="106" s="1"/>
  <c r="D4270" i="106" s="1"/>
  <c r="D7245" i="106" l="1"/>
  <c r="L22" i="37"/>
  <c r="L367" i="29"/>
  <c r="F70" i="34"/>
  <c r="F65" i="34"/>
  <c r="F46" i="34"/>
  <c r="F38" i="34"/>
  <c r="E35" i="108"/>
  <c r="E33" i="108"/>
  <c r="F27" i="108"/>
  <c r="D69" i="36"/>
  <c r="B7047" i="106"/>
  <c r="D7047" i="106" s="1"/>
  <c r="H112" i="29"/>
  <c r="B7018" i="106" s="1"/>
  <c r="D7018" i="106" s="1"/>
  <c r="B2836" i="106"/>
  <c r="D2836" i="106" s="1"/>
  <c r="B1126" i="106"/>
  <c r="D1126" i="106" s="1"/>
  <c r="D54" i="36"/>
  <c r="L5" i="11"/>
  <c r="B2056" i="106" s="1"/>
  <c r="D2056" i="106" s="1"/>
  <c r="F19" i="7"/>
  <c r="B1807" i="106" s="1"/>
  <c r="D1807" i="106" s="1"/>
  <c r="E29" i="108"/>
  <c r="F28" i="108"/>
  <c r="C129" i="29"/>
  <c r="G30" i="108"/>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G6" i="4" l="1"/>
  <c r="B2604" i="106" s="1"/>
  <c r="D2604" i="106" s="1"/>
  <c r="D41" i="108"/>
  <c r="E43" i="108" s="1"/>
  <c r="L16" i="11"/>
  <c r="B2061" i="106" s="1"/>
  <c r="D2061" i="106"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B6223" i="106" l="1"/>
  <c r="D6223" i="106" s="1"/>
  <c r="K17" i="4"/>
  <c r="K19" i="4" s="1"/>
  <c r="B4144" i="106" s="1"/>
  <c r="D4144"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<sst xmlns="http://schemas.openxmlformats.org/spreadsheetml/2006/main" count="5091" uniqueCount="2105">
  <si>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</si>
  <si>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</si>
  <si>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</si>
  <si>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</si>
  <si>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</si>
  <si>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</si>
  <si>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</si>
  <si>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</si>
  <si>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</si>
  <si>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</si>
  <si>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</si>
  <si>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</si>
  <si>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</si>
  <si>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</si>
  <si>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</si>
  <si>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</si>
  <si>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</si>
  <si>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</si>
  <si>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</si>
  <si>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</si>
  <si>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</si>
  <si>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</si>
  <si>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</si>
  <si>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</si>
  <si>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</si>
  <si>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</si>
  <si>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</si>
  <si>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</si>
  <si>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</si>
  <si>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</si>
  <si>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</si>
  <si>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</si>
  <si>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</si>
  <si>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</si>
  <si>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</si>
  <si>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</si>
  <si>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</si>
  <si>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</si>
  <si>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</si>
  <si>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</si>
  <si>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</si>
  <si>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</si>
  <si>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</si>
  <si>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</si>
  <si>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</si>
  <si>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</si>
  <si>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</si>
  <si>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</si>
  <si>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</si>
  <si>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</si>
  <si>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</si>
  <si>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</si>
  <si>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</si>
  <si>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</si>
  <si>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</si>
  <si>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</si>
  <si>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</si>
  <si>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</si>
  <si>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</si>
  <si>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</si>
  <si>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</si>
  <si>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</si>
  <si>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</si>
  <si>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</si>
  <si>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</si>
  <si>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</si>
  <si>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</si>
  <si>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</si>
  <si>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</si>
  <si>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</si>
  <si>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</si>
  <si>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</si>
  <si>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</si>
  <si>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</si>
  <si>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</si>
  <si>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</si>
  <si>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</si>
  <si>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</si>
  <si>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</si>
  <si>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</si>
  <si>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</si>
  <si>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</si>
  <si>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</si>
  <si>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</si>
  <si>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</si>
  <si>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</si>
  <si>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</si>
  <si>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</si>
  <si>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</si>
  <si>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</si>
  <si>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</si>
  <si>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</si>
  <si>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</si>
  <si>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</si>
  <si>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</si>
  <si>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</si>
  <si>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</si>
  <si>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</si>
  <si>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</si>
  <si>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</si>
  <si>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</si>
  <si>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</si>
  <si>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</si>
  <si>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</si>
  <si>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</si>
  <si>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</si>
  <si>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</si>
  <si>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</si>
  <si>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</si>
  <si>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</si>
  <si>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</si>
  <si>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</si>
  <si>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</si>
  <si>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</si>
  <si>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</si>
  <si>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</si>
  <si>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</si>
  <si>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</si>
  <si>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</si>
  <si>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</si>
  <si>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</si>
  <si>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</si>
  <si>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</si>
  <si>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</si>
  <si>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</si>
  <si>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</si>
  <si>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</si>
  <si>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</si>
  <si>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</si>
  <si>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</si>
  <si>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</si>
  <si>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</si>
  <si>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</si>
  <si>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</si>
  <si>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</si>
  <si>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</si>
  <si>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</si>
  <si>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</si>
  <si>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</si>
  <si>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</si>
  <si>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</si>
  <si>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</si>
  <si>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</si>
  <si>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</si>
  <si>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</si>
  <si>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</si>
  <si>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</si>
  <si>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</si>
  <si>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</si>
  <si>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</si>
  <si>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</si>
  <si>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</si>
  <si>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</si>
  <si>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</si>
  <si>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</si>
  <si>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</si>
  <si>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</si>
  <si>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</si>
  <si>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</si>
  <si>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</si>
  <si>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</si>
  <si>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</si>
  <si>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</si>
  <si>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</si>
  <si>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</si>
  <si>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</si>
  <si>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</si>
  <si>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</si>
  <si>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</si>
  <si>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</si>
  <si>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</si>
  <si>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</si>
  <si>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</si>
  <si>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</si>
  <si>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</si>
  <si>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</si>
  <si>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</si>
  <si>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</si>
  <si>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</si>
  <si>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</si>
  <si>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</si>
  <si>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</si>
  <si>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</si>
  <si>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</si>
  <si>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</si>
  <si>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</si>
  <si>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</si>
  <si>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</si>
  <si>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</si>
  <si>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</si>
  <si>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</si>
  <si>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</si>
  <si>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</si>
  <si>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</si>
  <si>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</si>
  <si>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</si>
  <si>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</si>
  <si>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</si>
  <si>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</si>
  <si>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</si>
  <si>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</si>
  <si>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</si>
  <si>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</si>
  <si>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</si>
  <si>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</si>
  <si>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</si>
  <si>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</si>
  <si>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</si>
  <si>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</si>
  <si>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</si>
  <si>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</si>
  <si>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</si>
  <si>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</si>
  <si>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</si>
  <si>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</si>
  <si>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</si>
  <si>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</si>
  <si>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</si>
  <si>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</si>
  <si>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</si>
  <si>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</si>
  <si>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</si>
  <si>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</si>
  <si>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</si>
  <si>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</si>
  <si>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</si>
  <si>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</si>
  <si>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</si>
  <si>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</si>
  <si>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</si>
  <si>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</si>
  <si>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</si>
  <si>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</si>
  <si>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</si>
  <si>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</si>
  <si>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</si>
  <si>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</si>
  <si>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</si>
  <si>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</si>
  <si>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</si>
  <si>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</si>
  <si>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</si>
  <si>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</si>
  <si>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</si>
  <si>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</si>
  <si>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</si>
  <si>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</si>
  <si>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</si>
  <si>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</si>
  <si>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</si>
  <si>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</si>
  <si>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</si>
  <si>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</si>
  <si>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</si>
  <si>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</si>
  <si>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</si>
  <si>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</si>
  <si>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</si>
  <si>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</si>
  <si>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</si>
  <si>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</si>
  <si>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</si>
  <si>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</si>
  <si>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</si>
  <si>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</si>
  <si>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</si>
  <si>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</si>
  <si>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</si>
  <si>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</si>
  <si>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</si>
  <si>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</si>
  <si>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</si>
  <si>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</si>
  <si>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</si>
  <si>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</si>
  <si>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</si>
  <si>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</si>
  <si>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</si>
  <si>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</si>
  <si>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</si>
  <si>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</si>
  <si>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</si>
  <si>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</si>
  <si>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</si>
  <si>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</si>
  <si>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</si>
  <si>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</si>
  <si>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</si>
  <si>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</si>
  <si>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</si>
  <si>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</si>
  <si>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</si>
  <si>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</si>
  <si>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</si>
  <si>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</si>
  <si>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</si>
  <si>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</si>
  <si>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</si>
  <si>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</si>
  <si>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</si>
  <si>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</si>
  <si>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</si>
  <si>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</si>
  <si>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</si>
  <si>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</si>
  <si>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</si>
  <si>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</si>
  <si>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</si>
  <si>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</si>
  <si>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</si>
  <si>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</si>
  <si>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</si>
  <si>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</si>
  <si>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</si>
  <si>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</si>
  <si>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</si>
  <si>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</si>
  <si>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</si>
  <si>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</si>
  <si>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</si>
  <si>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</si>
  <si>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</si>
  <si>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</si>
  <si>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</si>
  <si>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</si>
  <si>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</si>
  <si>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</si>
  <si>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</si>
  <si>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</si>
  <si>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</si>
  <si>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</si>
  <si>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</si>
  <si>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</si>
  <si>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</si>
  <si>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</si>
  <si>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</si>
  <si>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</si>
  <si>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</si>
  <si>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</si>
  <si>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</si>
  <si>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</si>
  <si>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</si>
  <si>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</si>
  <si>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</si>
  <si>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</si>
  <si>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</si>
  <si>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</si>
  <si>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</si>
  <si>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</si>
  <si>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</si>
  <si>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</si>
  <si>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</si>
  <si>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</si>
  <si>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</si>
  <si>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</si>
  <si>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</si>
  <si>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</si>
  <si>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</si>
  <si>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</si>
  <si>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</si>
  <si>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</si>
  <si>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</si>
  <si>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</si>
  <si>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</si>
  <si>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</si>
  <si>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</si>
  <si>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</si>
  <si>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</si>
  <si>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</si>
  <si>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</si>
  <si>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</si>
  <si>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</si>
  <si>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</si>
  <si>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</si>
  <si>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</si>
  <si>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</si>
  <si>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</si>
  <si>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</si>
  <si>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</si>
  <si>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</si>
  <si>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</si>
  <si>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</si>
  <si>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</si>
  <si>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</si>
  <si>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</si>
  <si>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</si>
  <si>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</si>
  <si>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</si>
  <si>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</si>
  <si>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</si>
  <si>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</si>
  <si>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</si>
  <si>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</si>
  <si>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</si>
  <si>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</si>
  <si>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</si>
  <si>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</si>
  <si>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</si>
  <si>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</si>
  <si>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</si>
  <si>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</si>
  <si>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</si>
  <si>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</si>
  <si>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</si>
  <si>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</si>
  <si>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</si>
  <si>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</si>
  <si>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</si>
  <si>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</si>
  <si>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</si>
  <si>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</si>
  <si>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</si>
  <si>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</si>
  <si>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</si>
  <si>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</si>
  <si>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</si>
  <si>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</si>
  <si>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</si>
  <si>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</si>
  <si>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</si>
  <si>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</si>
  <si>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</si>
  <si>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</si>
  <si>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</si>
  <si>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</si>
  <si>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</si>
  <si>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</si>
  <si>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</si>
  <si>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</si>
  <si>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</si>
  <si>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</si>
  <si>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</si>
  <si>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</si>
  <si>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</si>
  <si>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</si>
  <si>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</si>
  <si>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</si>
  <si>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</si>
  <si>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</si>
  <si>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</si>
  <si>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</si>
  <si>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</si>
  <si>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</si>
  <si>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</si>
  <si>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</si>
  <si>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</si>
  <si>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</si>
  <si>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</si>
  <si>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</si>
  <si>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</si>
  <si>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</si>
  <si>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</si>
  <si>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</si>
  <si>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</si>
  <si>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</si>
  <si>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</si>
  <si>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</si>
  <si>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</si>
  <si>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</si>
  <si>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</si>
  <si>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</si>
  <si>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</si>
  <si>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</si>
  <si>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</si>
  <si>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</si>
  <si>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</si>
  <si>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</si>
  <si>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</si>
  <si>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</si>
  <si>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</si>
  <si>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</si>
  <si>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</si>
  <si>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</si>
  <si>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</si>
  <si>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</si>
  <si>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</si>
  <si>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</si>
  <si>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</si>
  <si>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</si>
  <si>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</si>
  <si>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</si>
  <si>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</si>
  <si>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</si>
  <si>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</si>
  <si>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</si>
  <si>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</si>
  <si>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</si>
  <si>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</si>
  <si>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</si>
  <si>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</si>
  <si>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</si>
  <si>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</si>
  <si>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</si>
  <si>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</si>
  <si>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</si>
  <si>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</si>
  <si>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</si>
  <si>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</si>
  <si>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</si>
  <si>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</si>
  <si>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</si>
  <si>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</si>
  <si>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</si>
  <si>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</si>
  <si>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</si>
  <si>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</si>
  <si>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</si>
  <si>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</si>
  <si>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</si>
  <si>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</si>
  <si>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</si>
  <si>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</si>
  <si>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</si>
  <si>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</si>
  <si>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</si>
  <si>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</si>
  <si>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</si>
  <si>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</si>
  <si>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</si>
  <si>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</si>
  <si>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</si>
  <si>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</si>
  <si>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</si>
  <si>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</si>
  <si>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</si>
  <si>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</si>
  <si>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</si>
  <si>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</si>
  <si>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</si>
  <si>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</si>
  <si>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</si>
  <si>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</si>
  <si>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</si>
  <si>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</si>
  <si>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</si>
  <si>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</si>
  <si>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</si>
  <si>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</si>
  <si>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</si>
  <si>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</si>
  <si>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</si>
  <si>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</si>
  <si>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</si>
  <si>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</si>
  <si>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</si>
  <si>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</si>
  <si>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</si>
  <si>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</si>
  <si>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</si>
  <si>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</si>
  <si>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</si>
  <si>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</si>
  <si>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</si>
  <si>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</si>
  <si>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</si>
  <si>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</si>
  <si>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</si>
  <si>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</si>
  <si>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</si>
  <si>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</si>
  <si>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</si>
  <si>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</si>
  <si>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</si>
  <si>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</si>
  <si>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</si>
  <si>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</si>
  <si>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</si>
  <si>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</si>
  <si>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</si>
  <si>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</si>
  <si>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</si>
  <si>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</si>
  <si>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</si>
  <si>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</si>
  <si>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</si>
  <si>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</si>
  <si>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</si>
  <si>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</si>
  <si>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</si>
  <si>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</si>
  <si>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</si>
  <si>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</si>
  <si>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</si>
  <si>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</si>
  <si>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</si>
  <si>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</si>
  <si>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</si>
  <si>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</si>
  <si>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</si>
  <si>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</si>
  <si>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</si>
  <si>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</si>
  <si>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</si>
  <si>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</si>
  <si>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</si>
  <si>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</si>
  <si>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</si>
  <si>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</si>
  <si>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</si>
  <si>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</si>
  <si>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</si>
  <si>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</si>
  <si>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</si>
  <si>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</si>
  <si>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</si>
  <si>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</si>
  <si>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</si>
  <si>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</si>
  <si>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</si>
  <si>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</si>
  <si>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</si>
  <si>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</si>
  <si>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</si>
  <si>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</si>
  <si>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</si>
  <si>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</si>
  <si>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</si>
  <si>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</si>
  <si>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</si>
  <si>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</si>
  <si>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</si>
  <si>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</si>
  <si>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</si>
  <si>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</si>
  <si>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</si>
  <si>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</si>
  <si>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</si>
  <si>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</si>
  <si>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</si>
  <si>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</si>
  <si>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</si>
  <si>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</si>
  <si>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</si>
  <si>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</si>
  <si>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</si>
  <si>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</si>
  <si>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</si>
  <si>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</si>
  <si>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</si>
  <si>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</si>
  <si>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</si>
  <si>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</si>
  <si>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</si>
  <si>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</si>
  <si>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</si>
  <si>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</si>
  <si>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</si>
  <si>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</si>
  <si>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</si>
  <si>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</si>
  <si>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</si>
  <si>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</si>
  <si>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</si>
  <si>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</si>
  <si>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</si>
  <si>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</si>
  <si>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</si>
  <si>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</si>
  <si>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</si>
  <si>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</si>
  <si>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</si>
  <si>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</si>
  <si>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</si>
  <si>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</si>
  <si>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</si>
  <si>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</si>
  <si>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</si>
  <si>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</si>
  <si>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</si>
  <si>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</si>
  <si>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</si>
  <si>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</si>
  <si>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</si>
  <si>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</si>
  <si>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</si>
  <si>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</si>
  <si>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</si>
  <si>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</si>
  <si>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</si>
  <si>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</si>
  <si>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</si>
  <si>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</si>
  <si>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</si>
  <si>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</si>
  <si>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</si>
  <si>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</si>
  <si>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</si>
  <si>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</si>
  <si>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</si>
  <si>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</si>
  <si>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</si>
  <si>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</si>
  <si>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</si>
  <si>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</si>
  <si>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</si>
  <si>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</si>
  <si>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</si>
  <si>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</si>
  <si>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</si>
  <si>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</si>
  <si>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</si>
  <si>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</si>
  <si>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</si>
  <si>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</si>
  <si>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</si>
  <si>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</si>
  <si>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</si>
  <si>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</si>
  <si>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</si>
  <si>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</si>
  <si>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</si>
  <si>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</si>
  <si>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</si>
  <si>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</si>
  <si>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</si>
  <si>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</si>
  <si>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</si>
  <si>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</si>
  <si>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</si>
  <si>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</si>
  <si>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</si>
  <si>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</si>
  <si>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</si>
  <si>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</si>
  <si>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</si>
  <si>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</si>
  <si>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</si>
  <si>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</si>
  <si>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</si>
  <si>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</si>
  <si>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</si>
  <si>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</si>
  <si>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</si>
  <si>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</si>
  <si>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</si>
  <si>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</si>
  <si>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</si>
  <si>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</si>
  <si>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</si>
  <si>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</si>
  <si>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</si>
  <si>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</si>
  <si>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</si>
  <si>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</si>
  <si>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</si>
  <si>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</si>
  <si>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</si>
  <si>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</si>
  <si>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</si>
  <si>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</si>
  <si>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</si>
  <si>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</si>
  <si>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</si>
  <si>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</si>
  <si>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</si>
  <si>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</si>
  <si>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</si>
  <si>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</si>
  <si>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</si>
  <si>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</si>
  <si>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</si>
  <si>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</si>
  <si>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</si>
  <si>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</si>
  <si>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</si>
  <si>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</si>
  <si>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</si>
  <si>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</si>
  <si>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</si>
  <si>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</si>
  <si>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</si>
  <si>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</si>
  <si>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</si>
  <si>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</si>
  <si>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</si>
  <si>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</si>
  <si>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</si>
  <si>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</si>
  <si>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</si>
  <si>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</si>
  <si>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</si>
  <si>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</si>
  <si>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</si>
  <si>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</si>
  <si>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</si>
  <si>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</si>
  <si>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</si>
  <si>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</si>
  <si>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</si>
  <si>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</si>
  <si>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</si>
  <si>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</si>
  <si>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</si>
  <si>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</si>
  <si>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</si>
  <si>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</si>
  <si>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</si>
  <si>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</si>
  <si>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</si>
  <si>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</si>
  <si>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</si>
  <si>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</si>
  <si>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</si>
  <si>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</si>
  <si>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</si>
  <si>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</si>
  <si>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</si>
  <si>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</si>
  <si>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</si>
  <si>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</si>
  <si>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</si>
  <si>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</si>
  <si>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</si>
  <si>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</si>
  <si>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</si>
  <si>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</si>
  <si>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</si>
  <si>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</si>
  <si>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</si>
  <si>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</si>
  <si>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</si>
  <si>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</si>
  <si>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</si>
  <si>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</si>
  <si>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</si>
  <si>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</si>
  <si>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</si>
  <si>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</si>
  <si>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</si>
  <si>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</si>
  <si>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</si>
  <si>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</si>
  <si>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</si>
  <si>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</si>
  <si>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</si>
  <si>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</si>
  <si>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</si>
  <si>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</si>
  <si>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</si>
  <si>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</si>
  <si>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</si>
  <si>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</si>
  <si>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</si>
  <si>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</si>
  <si>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</si>
  <si>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</si>
  <si>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</si>
  <si>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</si>
  <si>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</si>
  <si>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</si>
  <si>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</si>
  <si>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</si>
  <si>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</si>
  <si>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</si>
  <si>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</si>
  <si>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</si>
  <si>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</si>
  <si>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</si>
  <si>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</si>
  <si>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</si>
  <si>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</si>
  <si>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</si>
  <si>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</si>
  <si>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</si>
  <si>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</si>
  <si>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</si>
  <si>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</si>
  <si>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</si>
  <si>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</si>
  <si>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</si>
  <si>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</si>
  <si>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</si>
  <si>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</si>
  <si>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</si>
  <si>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</si>
  <si>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</si>
  <si>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</si>
  <si>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</si>
  <si>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</si>
  <si>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</si>
  <si>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</si>
  <si>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</si>
  <si>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</si>
  <si>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</si>
  <si>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</si>
  <si>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</si>
  <si>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</si>
  <si>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</si>
  <si>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</si>
  <si>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</si>
  <si>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</si>
  <si>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</si>
  <si>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</si>
  <si>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</si>
  <si>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</si>
  <si>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</si>
  <si>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</si>
  <si>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</si>
  <si>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</si>
  <si>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</si>
  <si>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</si>
  <si>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</si>
  <si>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</si>
  <si>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</si>
  <si>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</si>
  <si>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</si>
  <si>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</si>
  <si>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</si>
  <si>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</si>
  <si>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</si>
  <si>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</si>
  <si>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</si>
  <si>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</si>
  <si>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</si>
  <si>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</si>
  <si>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</si>
  <si>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</si>
  <si>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</si>
  <si>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</si>
  <si>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</si>
  <si>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</si>
  <si>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</si>
  <si>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</si>
  <si>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</si>
  <si>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</si>
  <si>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</si>
  <si>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</si>
  <si>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</si>
  <si>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</si>
  <si>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</si>
  <si>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</si>
  <si>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</si>
  <si>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</si>
  <si>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</si>
  <si>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</si>
  <si>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</si>
  <si>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</si>
  <si>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</si>
  <si>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</si>
  <si>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</si>
  <si>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</si>
  <si>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</si>
  <si>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</si>
  <si>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</si>
  <si>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</si>
  <si>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</si>
  <si>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</si>
  <si>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</si>
  <si>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</si>
  <si>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</si>
  <si>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</si>
  <si>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</si>
  <si>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</si>
  <si>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</si>
  <si>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</si>
  <si>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</si>
  <si>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</si>
  <si>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</si>
  <si>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</si>
  <si>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</si>
  <si>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</si>
  <si>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</si>
  <si>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</si>
  <si>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</si>
  <si>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</si>
  <si>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</si>
  <si>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</si>
  <si>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</si>
  <si>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</si>
  <si>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</si>
  <si>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</si>
  <si>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</si>
  <si>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</si>
  <si>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</si>
  <si>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</si>
  <si>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</si>
  <si>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</si>
  <si>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</si>
  <si>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</si>
  <si>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</si>
  <si>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</si>
  <si>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</si>
  <si>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</si>
  <si>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</si>
  <si>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</si>
  <si>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</si>
  <si>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</si>
  <si>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</si>
  <si>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</si>
  <si>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</si>
  <si>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</si>
  <si>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</si>
  <si>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</si>
  <si>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</si>
  <si>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</si>
  <si>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</si>
  <si>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</si>
  <si>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</si>
  <si>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</si>
  <si>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</si>
  <si>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</si>
  <si>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</si>
  <si>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</si>
  <si>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</si>
  <si>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</si>
  <si>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</si>
  <si>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</si>
  <si>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</si>
  <si>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</si>
  <si>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</si>
  <si>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</si>
  <si>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</si>
  <si>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</si>
  <si>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</si>
  <si>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</si>
  <si>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</si>
  <si>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</si>
  <si>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</si>
  <si>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</si>
  <si>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</si>
  <si>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</si>
  <si>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</si>
  <si>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</si>
  <si>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</si>
  <si>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</si>
  <si>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</si>
  <si>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</si>
  <si>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</si>
  <si>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</si>
  <si>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</si>
  <si>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</si>
  <si>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</si>
  <si>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</si>
  <si>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</si>
  <si>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</si>
  <si>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</si>
  <si>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</si>
  <si>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</si>
  <si>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</si>
  <si>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</si>
  <si>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</si>
  <si>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</si>
  <si>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</si>
  <si>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</si>
  <si>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</si>
  <si>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</si>
  <si>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</si>
  <si>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</si>
  <si>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</si>
  <si>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</si>
  <si>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</si>
  <si>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</si>
  <si>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</si>
  <si>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</si>
  <si>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</si>
  <si>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</si>
  <si>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</si>
  <si>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</si>
  <si>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</si>
  <si>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</si>
  <si>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</si>
  <si>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</si>
  <si>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</si>
  <si>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</si>
  <si>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</si>
  <si>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</si>
  <si>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</si>
  <si>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</si>
  <si>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</si>
  <si>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</si>
  <si>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</si>
  <si>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</si>
  <si>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</si>
  <si>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</si>
  <si>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</si>
  <si>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</si>
  <si>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</si>
  <si>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</si>
  <si>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</si>
  <si>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</si>
  <si>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</si>
  <si>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</si>
  <si>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</si>
  <si>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</si>
  <si>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</si>
  <si>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</si>
  <si>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</si>
  <si>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</si>
  <si>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</si>
  <si>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</si>
  <si>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</si>
  <si>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</si>
  <si>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</si>
  <si>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</si>
  <si>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</si>
  <si>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</si>
  <si>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</si>
  <si>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</si>
  <si>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</si>
  <si>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</si>
  <si>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</si>
  <si>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</si>
  <si>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</si>
  <si>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</si>
  <si>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</si>
  <si>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</si>
  <si>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</si>
  <si>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</si>
  <si>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</si>
  <si>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</si>
  <si>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</si>
  <si>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</si>
  <si>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</si>
  <si>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</si>
  <si>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</si>
  <si>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</si>
  <si>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</si>
  <si>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</si>
  <si>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</si>
  <si>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</si>
  <si>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</si>
  <si>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</si>
  <si>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</si>
  <si>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</si>
  <si>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</si>
  <si>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</si>
  <si>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</si>
  <si>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</si>
  <si>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</si>
  <si>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</si>
  <si>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</si>
  <si>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</si>
  <si>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</si>
  <si>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</si>
  <si>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</si>
  <si>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</si>
  <si>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</si>
  <si>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</si>
  <si>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</si>
  <si>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</si>
  <si>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</si>
  <si>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</si>
  <si>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</si>
  <si>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</si>
  <si>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</si>
  <si>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</si>
  <si>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</si>
  <si>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</si>
  <si>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</si>
  <si>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</si>
  <si>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</si>
  <si>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</si>
  <si>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</si>
  <si>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</si>
  <si>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</si>
  <si>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</si>
  <si>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</si>
  <si>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</si>
  <si>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</si>
  <si>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</si>
  <si>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</si>
  <si>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</si>
  <si>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</si>
  <si>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</si>
  <si>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</si>
  <si>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</si>
  <si>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</si>
  <si>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</si>
  <si>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</si>
  <si>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</si>
  <si>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</si>
  <si>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</si>
  <si>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</si>
  <si>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</si>
  <si>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</si>
  <si>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</si>
  <si>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</si>
  <si>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</si>
  <si>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</si>
  <si>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</si>
  <si>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</si>
  <si>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</si>
  <si>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</si>
  <si>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</si>
  <si>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</si>
  <si>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</si>
  <si>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</si>
  <si>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</si>
  <si>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</si>
  <si>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</si>
  <si>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</si>
  <si>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</si>
  <si>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</si>
  <si>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</si>
  <si>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</si>
  <si>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</si>
  <si>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</si>
  <si>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</si>
  <si>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</si>
  <si>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</si>
  <si>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</si>
  <si>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</si>
  <si>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</si>
  <si>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</si>
  <si>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</si>
  <si>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</si>
  <si>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</si>
  <si>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</si>
  <si>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</si>
  <si>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</si>
  <si>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</si>
  <si>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</si>
  <si>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</si>
  <si>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</si>
  <si>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</si>
  <si>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</si>
  <si>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</si>
  <si>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</si>
  <si>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</si>
  <si>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</si>
  <si>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</si>
  <si>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</si>
  <si>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</si>
  <si>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</si>
  <si>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</si>
  <si>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</si>
  <si>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</si>
  <si>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</si>
  <si>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</si>
  <si>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</si>
  <si>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</si>
  <si>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</si>
  <si>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</si>
  <si>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</si>
  <si>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</si>
  <si>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</si>
  <si>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</si>
  <si>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</si>
  <si>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</si>
  <si>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</si>
  <si>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</si>
  <si>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</si>
  <si>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</si>
  <si>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</si>
  <si>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</si>
  <si>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</si>
  <si>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</si>
  <si>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</si>
  <si>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</si>
  <si>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</si>
  <si>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</si>
  <si>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</si>
  <si>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</si>
  <si>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</si>
  <si>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</si>
  <si>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</si>
  <si>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</si>
  <si>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</si>
  <si>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</si>
  <si>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</si>
  <si>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</si>
  <si>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</si>
  <si>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</si>
  <si>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</si>
  <si>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</si>
  <si>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</si>
  <si>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</si>
  <si>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</si>
  <si>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</si>
  <si>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</si>
  <si>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</si>
  <si>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</si>
  <si>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</si>
  <si>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</si>
  <si>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</si>
  <si>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</si>
  <si>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</si>
  <si>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</si>
  <si>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</si>
  <si>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</si>
  <si>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</si>
  <si>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</si>
  <si>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</si>
  <si>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</si>
  <si>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</si>
  <si>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</si>
  <si>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</si>
  <si>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</si>
  <si>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</si>
  <si>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</si>
  <si>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</si>
  <si>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</si>
  <si>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</si>
  <si>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</si>
  <si>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</si>
  <si>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</si>
  <si>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</si>
  <si>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</si>
  <si>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</si>
  <si>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</si>
  <si>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</si>
  <si>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</si>
  <si>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</si>
  <si>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</si>
  <si>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</si>
  <si>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</si>
  <si>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</si>
  <si>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</si>
  <si>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</si>
  <si>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</si>
  <si>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</si>
  <si>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</si>
  <si>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</si>
  <si>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</si>
  <si>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</si>
  <si>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</si>
  <si>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</si>
  <si>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</si>
  <si>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</si>
  <si>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</si>
  <si>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</si>
  <si>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</si>
  <si>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</si>
  <si>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</si>
  <si>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</si>
  <si>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</si>
  <si>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</si>
  <si>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</si>
  <si>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</si>
  <si>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</si>
  <si>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</si>
  <si>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</si>
  <si>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</si>
  <si>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</si>
  <si>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</si>
  <si>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</si>
  <si>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</si>
  <si>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</si>
  <si>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</si>
  <si>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</si>
  <si>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</si>
  <si>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</si>
  <si>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</si>
  <si>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</si>
  <si>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</si>
  <si>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</si>
  <si>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</si>
  <si>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</si>
  <si>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</si>
  <si>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</si>
  <si>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</si>
  <si>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</si>
  <si>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</si>
  <si>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</si>
  <si>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</si>
  <si>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</si>
  <si>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</si>
  <si>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</si>
  <si>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</si>
  <si>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</si>
  <si>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</si>
  <si>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</si>
  <si>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</si>
  <si>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</si>
  <si>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</si>
  <si>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</si>
  <si>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</si>
  <si>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</si>
  <si>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</si>
  <si>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</si>
  <si>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</si>
  <si>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</si>
  <si>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</si>
  <si>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</si>
  <si>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</si>
  <si>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</si>
  <si>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</si>
  <si>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</si>
  <si>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</si>
  <si>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</si>
  <si>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</si>
  <si>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</si>
  <si>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</si>
  <si>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</si>
  <si>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</si>
  <si>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</si>
  <si>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</si>
  <si>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</si>
  <si>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</si>
  <si>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</si>
  <si>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</si>
  <si>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</si>
  <si>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</si>
  <si>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</si>
  <si>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</si>
  <si>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</si>
  <si>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</si>
  <si>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</si>
  <si>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</si>
  <si>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</si>
  <si>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</si>
  <si>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</si>
  <si>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</si>
  <si>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</si>
  <si>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</si>
  <si>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</si>
  <si>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</si>
  <si>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</si>
  <si>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</si>
  <si>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</si>
  <si>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</si>
  <si>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</si>
  <si>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</si>
  <si>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</si>
  <si>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</si>
  <si>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</si>
  <si>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</si>
  <si>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</si>
  <si>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</si>
  <si>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</si>
  <si>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</si>
  <si>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</si>
  <si>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</si>
  <si>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</si>
  <si>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</si>
  <si>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</si>
  <si>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</si>
  <si>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</si>
  <si>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</si>
  <si>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</si>
  <si>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</si>
  <si>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</si>
  <si>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</si>
  <si>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</si>
  <si>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</si>
  <si>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</si>
  <si>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</si>
  <si>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</si>
  <si>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</si>
  <si>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</si>
  <si>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</si>
  <si>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</si>
  <si>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</si>
  <si>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</si>
  <si>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</si>
  <si>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</si>
  <si>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</si>
  <si>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</si>
  <si>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</si>
  <si>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</si>
  <si>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</si>
  <si>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</si>
  <si>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</si>
  <si>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</si>
  <si>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</si>
  <si>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</si>
  <si>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</si>
  <si>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</si>
  <si>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</si>
  <si>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</si>
  <si>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</si>
  <si>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</si>
  <si>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</si>
  <si>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</si>
  <si>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</si>
  <si>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</si>
  <si>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</si>
  <si>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</si>
  <si>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</si>
  <si>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</si>
  <si>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</si>
  <si>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</si>
  <si>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</si>
  <si>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</si>
  <si>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</si>
  <si>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</si>
  <si>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</si>
  <si>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</si>
  <si>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</si>
  <si>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</si>
  <si>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</si>
  <si>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</si>
  <si>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</si>
  <si>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</si>
  <si>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</si>
  <si>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</si>
  <si>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</si>
  <si>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</si>
  <si>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</si>
  <si>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</si>
  <si>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</si>
  <si>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</si>
  <si>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</si>
  <si>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</si>
  <si>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</si>
  <si>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</si>
  <si>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</si>
  <si>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</si>
  <si>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</si>
  <si>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</si>
  <si>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</si>
  <si>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</si>
  <si>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</si>
  <si>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</si>
  <si>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</si>
  <si>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</si>
  <si>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</si>
  <si>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</si>
  <si>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</si>
  <si>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</si>
  <si>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</si>
  <si>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</si>
  <si>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</si>
  <si>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</si>
  <si>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</si>
  <si>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</si>
  <si>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</si>
  <si>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</si>
  <si>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</si>
  <si>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</si>
  <si>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</si>
  <si>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</si>
  <si>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</si>
  <si>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</si>
  <si>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</si>
  <si>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</si>
  <si>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</si>
  <si>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</si>
  <si>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</si>
  <si>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</si>
  <si>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</si>
  <si>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</si>
  <si>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</si>
  <si>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</si>
  <si>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</si>
  <si>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</si>
  <si>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</si>
  <si>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</si>
  <si>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</si>
  <si>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</si>
  <si>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</si>
  <si>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</si>
  <si>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</si>
  <si>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</si>
  <si>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</si>
  <si>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</si>
  <si>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</si>
  <si>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</si>
  <si>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</si>
  <si>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</si>
  <si>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</si>
  <si>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</si>
  <si>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</si>
  <si>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</si>
  <si>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</si>
  <si>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</si>
  <si>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</si>
  <si>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</si>
  <si>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</si>
  <si>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</si>
  <si>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</si>
  <si>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</si>
  <si>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</si>
  <si>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</si>
  <si>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</si>
  <si>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</si>
  <si>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</si>
  <si>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</si>
  <si>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</si>
  <si>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</si>
  <si>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</si>
  <si>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</si>
  <si>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</si>
  <si>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</si>
  <si>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</si>
  <si>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</si>
  <si>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</si>
  <si>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</si>
  <si>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</si>
  <si>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</si>
  <si>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</si>
  <si>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</si>
  <si>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</si>
  <si>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</si>
  <si>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</si>
  <si>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</si>
  <si>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</si>
  <si>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</si>
  <si>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</si>
  <si>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</si>
  <si>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</si>
  <si>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</si>
  <si>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</si>
  <si>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</si>
  <si>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</si>
  <si>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</si>
  <si>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</si>
  <si>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</si>
  <si>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</si>
  <si>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</si>
  <si>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</si>
  <si>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</si>
  <si>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</si>
  <si>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</si>
  <si>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</si>
  <si>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</si>
  <si>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</si>
  <si>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</si>
  <si>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</si>
  <si>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</si>
  <si>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</si>
  <si>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</si>
  <si>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</si>
  <si>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</si>
  <si>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</si>
  <si>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</si>
  <si>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</si>
  <si>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</si>
  <si>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</si>
  <si>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</si>
  <si>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</si>
  <si>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</si>
  <si>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</si>
  <si>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</si>
  <si>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</si>
  <si>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</si>
  <si>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</si>
  <si>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</si>
  <si>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</si>
  <si>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</si>
  <si>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</si>
  <si>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</si>
  <si>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</si>
  <si>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</si>
  <si>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</si>
  <si>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</si>
  <si>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</si>
  <si>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</si>
  <si>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</si>
  <si>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</si>
  <si>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</si>
  <si>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</si>
  <si>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</si>
  <si>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</si>
  <si>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</si>
  <si>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</si>
  <si>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</si>
  <si>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</si>
  <si>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</si>
  <si>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</si>
  <si>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</si>
  <si>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</si>
  <si>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</si>
  <si>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</si>
  <si>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</si>
  <si>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</si>
  <si>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</si>
  <si>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</si>
  <si>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</si>
  <si>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</si>
  <si>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</si>
  <si>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</si>
  <si>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</si>
  <si>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</si>
  <si>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</si>
  <si>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</si>
  <si>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</si>
  <si>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</si>
  <si>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</si>
  <si>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</si>
  <si>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</si>
  <si>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</si>
  <si>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</si>
  <si>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</si>
  <si>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</si>
  <si>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</si>
  <si>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</si>
  <si>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</si>
  <si>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</si>
  <si>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</si>
  <si>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</si>
  <si>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</si>
  <si>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</si>
  <si>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</si>
  <si>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</si>
  <si>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</si>
  <si>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</si>
  <si>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</si>
  <si>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</si>
  <si>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</si>
  <si>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</si>
  <si>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</si>
  <si>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</si>
  <si>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</si>
  <si>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</si>
  <si>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</si>
  <si>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</si>
  <si>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</si>
  <si>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</si>
  <si>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</si>
  <si>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</si>
  <si>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</si>
  <si>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</si>
  <si>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</si>
  <si>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</si>
  <si>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</si>
  <si>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</si>
  <si>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</si>
  <si>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</si>
  <si>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</si>
  <si>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</si>
  <si>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</si>
  <si>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</si>
  <si>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</si>
  <si>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</si>
  <si>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</si>
  <si>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</si>
  <si>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</si>
  <si>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</si>
  <si>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</si>
  <si>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</si>
  <si>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</si>
  <si>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</si>
  <si>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</si>
  <si>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</si>
  <si>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</si>
  <si>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</si>
  <si>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</si>
  <si>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</si>
  <si>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</si>
  <si>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</si>
  <si>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</si>
  <si>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</si>
  <si>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</si>
  <si>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</si>
  <si>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</si>
  <si>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</si>
  <si>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</si>
  <si>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</si>
  <si>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</si>
  <si>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</si>
  <si>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</si>
  <si>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</si>
  <si>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</si>
  <si>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</si>
  <si>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</si>
  <si>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</si>
  <si>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</si>
  <si>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</si>
  <si>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</si>
  <si>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</si>
  <si>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</si>
  <si>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</si>
  <si>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</si>
  <si>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</si>
  <si>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</si>
  <si>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</si>
  <si>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</si>
  <si>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</si>
  <si>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</si>
  <si>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</si>
  <si>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</si>
  <si>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</si>
  <si>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</si>
  <si>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</si>
  <si>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</si>
  <si>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</si>
  <si>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</si>
  <si>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</si>
  <si>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</si>
  <si>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</si>
  <si>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</si>
  <si>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</si>
  <si>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</si>
  <si>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</si>
  <si>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</si>
  <si>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</si>
  <si>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</si>
  <si>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</si>
  <si>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</si>
  <si>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</si>
  <si>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</si>
  <si>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</si>
  <si>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</si>
  <si>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</si>
  <si>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</si>
  <si>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</si>
  <si>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</si>
  <si>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</si>
  <si>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</si>
  <si>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</si>
  <si>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</si>
  <si>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</si>
  <si>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</si>
  <si>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</si>
  <si>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</si>
  <si>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</si>
  <si>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</si>
  <si>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</si>
  <si>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</si>
  <si>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</si>
  <si>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</si>
  <si>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</si>
  <si>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</si>
  <si>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</si>
  <si>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</si>
  <si>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</si>
  <si>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</si>
  <si>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</si>
  <si>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</si>
  <si>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</si>
  <si>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</si>
  <si>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</si>
  <si>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</si>
  <si>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</si>
  <si>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</si>
  <si>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</si>
  <si>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</si>
  <si>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</si>
  <si>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</si>
  <si>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</si>
  <si>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</si>
  <si>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</si>
  <si>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</si>
  <si>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</si>
  <si>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</si>
  <si>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</si>
  <si>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</si>
  <si>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</si>
  <si>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</si>
  <si>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</si>
  <si>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</si>
  <si>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</si>
  <si>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</si>
  <si>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</si>
  <si>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</si>
  <si>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</si>
  <si>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</si>
  <si>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</si>
  <si>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</si>
  <si>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</si>
  <si>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</si>
  <si>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</si>
  <si>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</si>
  <si>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</si>
  <si>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</si>
  <si>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</si>
  <si>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</si>
  <si>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</si>
  <si>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</si>
  <si>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</si>
  <si>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</si>
  <si>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</si>
  <si>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</si>
  <si>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</si>
  <si>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</si>
  <si>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</si>
  <si>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</si>
  <si>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</si>
  <si>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</si>
  <si>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</si>
  <si>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</si>
  <si>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</si>
  <si>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</si>
  <si>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</si>
  <si>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</si>
  <si>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</si>
  <si>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</si>
  <si>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</si>
  <si>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</si>
  <si>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</si>
  <si>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</si>
  <si>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</si>
  <si>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</si>
  <si>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</si>
  <si>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</si>
  <si>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</si>
  <si>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</si>
  <si>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</si>
  <si>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</si>
  <si>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</si>
  <si>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</si>
  <si>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</si>
  <si>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</si>
  <si>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</si>
  <si>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</si>
  <si>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</si>
  <si>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</si>
  <si>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</si>
  <si>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</si>
  <si>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</si>
  <si>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</si>
  <si>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</si>
  <si>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</si>
  <si>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</si>
  <si>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</si>
  <si>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</si>
  <si>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</si>
  <si>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</si>
  <si>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</si>
  <si>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</si>
  <si>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</si>
  <si>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</si>
  <si>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</si>
  <si>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</si>
  <si>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</si>
  <si>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</si>
  <si>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</si>
  <si>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</si>
  <si>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</si>
  <si>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</si>
  <si>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</si>
  <si>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</si>
  <si>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</si>
  <si>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</si>
  <si>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</si>
  <si>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</si>
  <si>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</si>
  <si>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</si>
  <si>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</si>
  <si>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</si>
  <si>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</si>
  <si>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</si>
  <si>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</si>
  <si>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</si>
  <si>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</si>
  <si>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</si>
  <si>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</si>
  <si>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</si>
  <si>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</si>
  <si>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</si>
  <si>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</si>
  <si>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</si>
  <si>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</si>
  <si>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</si>
  <si>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</si>
  <si>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</si>
  <si>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</si>
  <si>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</si>
  <si>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</si>
  <si>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</si>
  <si>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</si>
  <si>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</si>
  <si>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</si>
  <si>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</si>
  <si>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</si>
  <si>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</si>
  <si>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</si>
  <si>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</si>
  <si>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</si>
  <si>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</si>
  <si>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</si>
  <si>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</si>
  <si>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</si>
  <si>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</si>
  <si>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</si>
  <si>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</si>
  <si>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</si>
  <si>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</si>
  <si>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</si>
  <si>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</si>
  <si>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</si>
  <si>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</si>
  <si>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</si>
  <si>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</si>
  <si>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</si>
  <si>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</si>
  <si>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</si>
  <si>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</si>
  <si>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</si>
  <si>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</si>
  <si>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</si>
  <si>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</si>
  <si>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</si>
  <si>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</si>
  <si>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</si>
  <si>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</si>
  <si>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</si>
  <si>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</si>
  <si>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</si>
  <si>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</si>
  <si>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</si>
  <si>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</si>
  <si>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</si>
  <si>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</si>
  <si>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</si>
  <si>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</si>
  <si>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</si>
  <si>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</si>
  <si>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</si>
  <si>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</si>
  <si>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</si>
  <si>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</si>
  <si>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</si>
  <si>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</si>
  <si>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</si>
  <si>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</si>
  <si>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</si>
  <si>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</si>
  <si>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</si>
  <si>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</si>
  <si>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</si>
  <si>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</si>
  <si>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</si>
  <si>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</si>
  <si>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</si>
  <si>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</si>
  <si>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</si>
  <si>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</si>
  <si>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</si>
  <si>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</si>
  <si>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</si>
  <si>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</si>
  <si>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</si>
  <si>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</si>
  <si>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</si>
  <si>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</si>
  <si>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</si>
  <si>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</si>
  <si>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</si>
  <si>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</si>
  <si>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</si>
  <si>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</si>
  <si>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</si>
  <si>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</si>
  <si>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</si>
  <si>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</si>
  <si>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</si>
  <si>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</si>
  <si>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</si>
  <si>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</si>
  <si>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</si>
  <si>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</si>
  <si>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</si>
  <si>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</si>
  <si>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</si>
  <si>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</si>
  <si>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</si>
  <si>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</si>
  <si>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</si>
  <si>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</si>
  <si>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</si>
  <si>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</si>
  <si>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</si>
  <si>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</si>
  <si>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</si>
  <si>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</si>
  <si>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</si>
  <si>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</si>
  <si>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</si>
  <si>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</si>
  <si>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</si>
  <si>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</si>
  <si>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</si>
  <si>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</si>
  <si>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</si>
  <si>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</si>
  <si>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</si>
  <si>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</si>
  <si>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</si>
  <si>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</si>
  <si>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</si>
  <si>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</si>
  <si>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</si>
  <si>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</si>
  <si>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</si>
  <si>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400 Elise Avenue</t>
  </si>
  <si>
    <t>Crest Hill</t>
  </si>
  <si>
    <t>ASIEGFRIED@CHANEYMONGE.US</t>
  </si>
  <si>
    <t xml:space="preserve">MUELLER &amp; CO., LLP </t>
  </si>
  <si>
    <t xml:space="preserve">EDWARD MCCORMICK </t>
  </si>
  <si>
    <t xml:space="preserve">14300 RAVINIA AVE. </t>
  </si>
  <si>
    <t xml:space="preserve">ORLAND PARK </t>
  </si>
  <si>
    <t>IL</t>
  </si>
  <si>
    <t>708-349-6999</t>
  </si>
  <si>
    <t>708-349-6639</t>
  </si>
  <si>
    <t>066-003328</t>
  </si>
  <si>
    <t>emccormick@muellercpa.com</t>
  </si>
  <si>
    <t>ANDY SIEGFRIED</t>
  </si>
  <si>
    <t>815-722-6673</t>
  </si>
  <si>
    <t>815-722-7814</t>
  </si>
  <si>
    <t xml:space="preserve">#20 LIMITED SEGREGATION OF DUTIES WITHIN THE ACCOUNTING DEPARTMENT DUE TO NUMBER OF STAFF AVAILABLE. </t>
  </si>
  <si>
    <t>Mueller &amp; Co. LLP</t>
  </si>
  <si>
    <t xml:space="preserve">GO School Building Bond Series 2014A </t>
  </si>
  <si>
    <t xml:space="preserve">GO School Building Bond Series 2014B </t>
  </si>
  <si>
    <t>GO School Building Bond Series 2017</t>
  </si>
  <si>
    <t>Lockport Area Special Education Cooperative</t>
  </si>
  <si>
    <t>Page #</t>
  </si>
  <si>
    <t>Education</t>
  </si>
  <si>
    <t>Band Fees</t>
  </si>
  <si>
    <t>Technology Fees and textbooks other</t>
  </si>
  <si>
    <t>Other Income</t>
  </si>
  <si>
    <t>State Library Grant</t>
  </si>
  <si>
    <t>Erate proceeds and Other Income</t>
  </si>
  <si>
    <t>Capital Project</t>
  </si>
  <si>
    <t>Tax Equivalent Grant</t>
  </si>
  <si>
    <t>Commodities not recorded to the books of account</t>
  </si>
  <si>
    <t>Medicaid Fee for Service is not reported on the SEFA</t>
  </si>
  <si>
    <t>Union School</t>
  </si>
  <si>
    <t>10-2560-400</t>
  </si>
  <si>
    <t>ED- Food Service</t>
  </si>
  <si>
    <t>Transportation - Student Transportation</t>
  </si>
  <si>
    <t>40-2550-300</t>
  </si>
  <si>
    <t>First Student</t>
  </si>
  <si>
    <t>Chaney-Monge SD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</si>
</sst>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126" fillId="0" borderId="0" xfId="0" applyFont="1" applyAlignment="1">
      <alignment horizontal="center"/>
    </xf>
    <xf numFmtId="43" fontId="126" fillId="0" borderId="0" xfId="1" applyFont="1" applyAlignment="1">
      <alignment horizontal="center"/>
    </xf>
    <xf numFmtId="0" fontId="0" fillId="0" borderId="0" xfId="0" applyAlignment="1">
      <alignment horizontal="center"/>
    </xf>
    <xf numFmtId="43" fontId="0" fillId="0" borderId="0" xfId="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1" fillId="0" borderId="125" xfId="2" applyNumberFormat="1" applyFill="1" applyBorder="1" applyAlignment="1" applyProtection="1">
      <alignment horizontal="left" vertical="center" indent="1"/>
      <protection locked="0"/>
    </xf>
    <xf numFmtId="49" fontId="35" fillId="0" borderId="128" xfId="0" applyNumberFormat="1" applyFont="1" applyBorder="1" applyAlignment="1" applyProtection="1">
      <alignment horizontal="left" vertical="center" indent="1"/>
      <protection locked="0"/>
    </xf>
    <xf numFmtId="49" fontId="35" fillId="0" borderId="126"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1" fillId="0" borderId="125" xfId="12" applyNumberFormat="1" applyFont="1" applyBorder="1" applyAlignment="1" applyProtection="1">
      <alignment horizontal="left" vertical="center"/>
      <protection locked="0"/>
    </xf>
    <xf numFmtId="0" fontId="11" fillId="0" borderId="128" xfId="0" applyNumberFormat="1" applyFont="1" applyBorder="1" applyAlignment="1" applyProtection="1">
      <alignment horizontal="left" vertical="center"/>
      <protection locked="0"/>
    </xf>
    <xf numFmtId="0" fontId="8" fillId="0" borderId="128" xfId="0" applyFont="1" applyBorder="1" applyAlignment="1" applyProtection="1">
      <alignment vertical="center"/>
      <protection locked="0"/>
    </xf>
    <xf numFmtId="0" fontId="8" fillId="0" borderId="126"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1" fillId="0" borderId="125" xfId="2" applyBorder="1" applyAlignment="1" applyProtection="1">
      <protection locked="0"/>
    </xf>
    <xf numFmtId="0" fontId="14" fillId="0" borderId="128" xfId="0" applyFont="1" applyBorder="1" applyProtection="1">
      <protection locked="0"/>
    </xf>
    <xf numFmtId="0" fontId="14" fillId="0" borderId="126"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4" t="s">
        <v>405</v>
      </c>
      <c r="J1" s="1985"/>
      <c r="K1" s="1985"/>
      <c r="L1" s="1985"/>
      <c r="M1" s="1985"/>
      <c r="N1" s="1985"/>
      <c r="O1" s="1985"/>
      <c r="P1" s="1985"/>
      <c r="Q1" s="1985"/>
      <c r="R1" s="1985"/>
      <c r="S1" s="1985"/>
    </row>
    <row r="2" spans="1:28" ht="12" customHeight="1" x14ac:dyDescent="0.2">
      <c r="A2" s="47" t="s">
        <v>1993</v>
      </c>
      <c r="D2" s="48"/>
      <c r="I2" s="1986" t="s">
        <v>979</v>
      </c>
      <c r="J2" s="1985"/>
      <c r="K2" s="1985"/>
      <c r="L2" s="1985"/>
      <c r="M2" s="1985"/>
      <c r="N2" s="1985"/>
      <c r="O2" s="1985"/>
      <c r="P2" s="1985"/>
      <c r="Q2" s="1985"/>
      <c r="R2" s="1985"/>
      <c r="S2" s="1985"/>
    </row>
    <row r="3" spans="1:28" ht="12" customHeight="1" x14ac:dyDescent="0.2">
      <c r="A3" s="155" t="s">
        <v>1945</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2064</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3"/>
      <c r="V10" s="1993"/>
      <c r="W10" s="1993"/>
      <c r="X10" s="1993"/>
      <c r="Y10" s="1993"/>
      <c r="Z10" s="1993"/>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56099088002</v>
      </c>
      <c r="B13" s="2017"/>
      <c r="C13" s="2017"/>
      <c r="D13" s="2017"/>
      <c r="E13" s="2017"/>
      <c r="F13" s="2017"/>
      <c r="G13" s="2017"/>
      <c r="H13" s="2018"/>
      <c r="I13" s="31"/>
      <c r="J13" s="30"/>
      <c r="K13" s="28"/>
      <c r="L13" s="30"/>
      <c r="M13" s="30"/>
      <c r="N13" s="30"/>
      <c r="O13" s="30"/>
      <c r="P13" s="30"/>
      <c r="Q13" s="30"/>
      <c r="R13" s="30"/>
      <c r="S13" s="30"/>
      <c r="T13" s="2022" t="s">
        <v>2069</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6" t="s">
        <v>2070</v>
      </c>
      <c r="U15" s="2027"/>
      <c r="V15" s="2027"/>
      <c r="W15" s="2027"/>
      <c r="X15" s="2027"/>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2104</v>
      </c>
      <c r="B17" s="1977"/>
      <c r="C17" s="1977"/>
      <c r="D17" s="1977"/>
      <c r="E17" s="1977"/>
      <c r="F17" s="1977"/>
      <c r="G17" s="1977"/>
      <c r="H17" s="2001"/>
      <c r="T17" s="2032" t="s">
        <v>2071</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5" t="s">
        <v>2066</v>
      </c>
      <c r="B19" s="1962"/>
      <c r="C19" s="1962"/>
      <c r="D19" s="1962"/>
      <c r="E19" s="1962"/>
      <c r="F19" s="1962"/>
      <c r="G19" s="1962"/>
      <c r="H19" s="1944"/>
      <c r="I19" s="30"/>
      <c r="J19" s="99"/>
      <c r="K19" s="40"/>
      <c r="L19" s="38"/>
      <c r="M19" s="112" t="s">
        <v>315</v>
      </c>
      <c r="P19" s="27"/>
      <c r="Q19" s="27"/>
      <c r="R19" s="27"/>
      <c r="S19" s="31"/>
      <c r="T19" s="2021" t="s">
        <v>2072</v>
      </c>
      <c r="U19" s="1978"/>
      <c r="V19" s="1978"/>
      <c r="W19" s="1979"/>
      <c r="X19" s="2031" t="s">
        <v>2073</v>
      </c>
      <c r="Y19" s="1978"/>
      <c r="Z19" s="2030">
        <v>60462</v>
      </c>
      <c r="AA19" s="197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2067</v>
      </c>
      <c r="B21" s="1943"/>
      <c r="C21" s="1943"/>
      <c r="D21" s="1943"/>
      <c r="E21" s="1943"/>
      <c r="F21" s="1943"/>
      <c r="G21" s="1943"/>
      <c r="H21" s="1944"/>
      <c r="I21" s="1995" t="s">
        <v>678</v>
      </c>
      <c r="J21" s="1993"/>
      <c r="K21" s="1993"/>
      <c r="L21" s="1993"/>
      <c r="M21" s="1993"/>
      <c r="N21" s="1993"/>
      <c r="O21" s="1993"/>
      <c r="P21" s="1993"/>
      <c r="Q21" s="1993"/>
      <c r="R21" s="1993"/>
      <c r="S21" s="1996"/>
      <c r="T21" s="2039" t="s">
        <v>2074</v>
      </c>
      <c r="U21" s="2040"/>
      <c r="V21" s="2040"/>
      <c r="W21" s="2040"/>
      <c r="X21" s="2046" t="s">
        <v>2075</v>
      </c>
      <c r="Y21" s="2047"/>
      <c r="Z21" s="2047"/>
      <c r="AA21" s="2048"/>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56" t="s">
        <v>2068</v>
      </c>
      <c r="B23" s="1957"/>
      <c r="C23" s="1957"/>
      <c r="D23" s="1957"/>
      <c r="E23" s="1957"/>
      <c r="F23" s="1957"/>
      <c r="G23" s="1957"/>
      <c r="H23" s="1958"/>
      <c r="T23" s="1976" t="s">
        <v>2076</v>
      </c>
      <c r="U23" s="2038"/>
      <c r="V23" s="2038"/>
      <c r="W23" s="2038"/>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2">
        <v>60453</v>
      </c>
      <c r="B25" s="1943"/>
      <c r="C25" s="1943"/>
      <c r="D25" s="1943"/>
      <c r="E25" s="1943"/>
      <c r="F25" s="1943"/>
      <c r="G25" s="1943"/>
      <c r="H25" s="1944"/>
      <c r="I25" s="113"/>
      <c r="J25" s="1965"/>
      <c r="K25" s="1965"/>
      <c r="L25" s="1965"/>
      <c r="M25" s="1965"/>
      <c r="N25" s="1965"/>
      <c r="O25" s="1965"/>
      <c r="P25" s="1965"/>
      <c r="Q25" s="1965"/>
      <c r="R25" s="1965"/>
      <c r="S25" s="1966"/>
      <c r="T25" s="2035" t="s">
        <v>2077</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2078</v>
      </c>
      <c r="B38" s="1977"/>
      <c r="C38" s="1977"/>
      <c r="D38" s="1977"/>
      <c r="E38" s="1977"/>
      <c r="F38" s="1978"/>
      <c r="G38" s="1978"/>
      <c r="H38" s="1979"/>
      <c r="I38" s="1969"/>
      <c r="J38" s="1970"/>
      <c r="K38" s="1970"/>
      <c r="L38" s="1970"/>
      <c r="M38" s="1970"/>
      <c r="N38" s="1970"/>
      <c r="O38" s="1970"/>
      <c r="P38" s="1971"/>
      <c r="Q38" s="1971"/>
      <c r="R38" s="1971"/>
      <c r="S38" s="1972"/>
      <c r="T38" s="2041"/>
      <c r="U38" s="1970"/>
      <c r="V38" s="1970"/>
      <c r="W38" s="1970"/>
      <c r="X38" s="1971"/>
      <c r="Y38" s="1971"/>
      <c r="Z38" s="1971"/>
      <c r="AA38" s="1972"/>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2068</v>
      </c>
      <c r="B40" s="1957"/>
      <c r="C40" s="1957"/>
      <c r="D40" s="1957"/>
      <c r="E40" s="1957"/>
      <c r="F40" s="1957"/>
      <c r="G40" s="1957"/>
      <c r="H40" s="1958"/>
      <c r="I40" s="1981"/>
      <c r="J40" s="1982"/>
      <c r="K40" s="1982"/>
      <c r="L40" s="1982"/>
      <c r="M40" s="1982"/>
      <c r="N40" s="1982"/>
      <c r="O40" s="1982"/>
      <c r="P40" s="1982"/>
      <c r="Q40" s="1982"/>
      <c r="R40" s="1982"/>
      <c r="S40" s="1983"/>
      <c r="T40" s="1981"/>
      <c r="U40" s="2042"/>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2079</v>
      </c>
      <c r="B42" s="1960"/>
      <c r="C42" s="1961"/>
      <c r="D42" s="1959" t="s">
        <v>2080</v>
      </c>
      <c r="E42" s="1960"/>
      <c r="F42" s="1960"/>
      <c r="G42" s="1960"/>
      <c r="H42" s="1961"/>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50"/>
      <c r="J44" s="1951"/>
      <c r="K44" s="1951"/>
      <c r="L44" s="1951"/>
      <c r="M44" s="1951"/>
      <c r="N44" s="1951"/>
      <c r="O44" s="1951"/>
      <c r="P44" s="1951"/>
      <c r="Q44" s="1951"/>
      <c r="R44" s="1951"/>
      <c r="S44" s="1952"/>
      <c r="T44" s="1950"/>
      <c r="U44" s="1967"/>
      <c r="V44" s="1967"/>
      <c r="W44" s="1967"/>
      <c r="X44" s="1967"/>
      <c r="Y44" s="1967"/>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G27" sqref="G2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2" t="s">
        <v>1802</v>
      </c>
      <c r="B2" s="1527" t="s">
        <v>1951</v>
      </c>
      <c r="C2" s="714" t="s">
        <v>1952</v>
      </c>
      <c r="D2" s="714" t="s">
        <v>1953</v>
      </c>
      <c r="E2" s="714" t="s">
        <v>1954</v>
      </c>
      <c r="F2" s="714" t="s">
        <v>1955</v>
      </c>
    </row>
    <row r="3" spans="1:6" ht="12" customHeight="1" x14ac:dyDescent="0.2">
      <c r="A3" s="2183"/>
      <c r="B3" s="1524"/>
      <c r="C3" s="1525"/>
      <c r="D3" s="1526" t="s">
        <v>256</v>
      </c>
      <c r="E3" s="1525"/>
      <c r="F3" s="1526" t="s">
        <v>257</v>
      </c>
    </row>
    <row r="4" spans="1:6" ht="13.7" customHeight="1" x14ac:dyDescent="0.2">
      <c r="A4" s="715" t="s">
        <v>1155</v>
      </c>
      <c r="B4" s="1748">
        <f>'Revenues 9-14'!C5</f>
        <v>1386748</v>
      </c>
      <c r="C4" s="1523">
        <v>729649</v>
      </c>
      <c r="D4" s="1751">
        <f>B4-C4</f>
        <v>657099</v>
      </c>
      <c r="E4" s="1523">
        <v>1377762</v>
      </c>
      <c r="F4" s="1751">
        <f>E4-C4</f>
        <v>648113</v>
      </c>
    </row>
    <row r="5" spans="1:6" ht="13.7" customHeight="1" x14ac:dyDescent="0.2">
      <c r="A5" s="715" t="s">
        <v>870</v>
      </c>
      <c r="B5" s="1749">
        <f>'Revenues 9-14'!D5</f>
        <v>267135</v>
      </c>
      <c r="C5" s="585">
        <v>140613</v>
      </c>
      <c r="D5" s="1752">
        <f t="shared" ref="D5:D18" si="0">B5-C5</f>
        <v>126522</v>
      </c>
      <c r="E5" s="585">
        <v>265514</v>
      </c>
      <c r="F5" s="1752">
        <f>E5-C5</f>
        <v>124901</v>
      </c>
    </row>
    <row r="6" spans="1:6" ht="13.7" customHeight="1" x14ac:dyDescent="0.2">
      <c r="A6" s="715" t="s">
        <v>411</v>
      </c>
      <c r="B6" s="1749">
        <f>'Revenues 9-14'!E5</f>
        <v>271385</v>
      </c>
      <c r="C6" s="585">
        <v>142193</v>
      </c>
      <c r="D6" s="1752">
        <f t="shared" si="0"/>
        <v>129192</v>
      </c>
      <c r="E6" s="585">
        <v>268496</v>
      </c>
      <c r="F6" s="1752">
        <f t="shared" ref="F6:F18" si="1">E6-C6</f>
        <v>126303</v>
      </c>
    </row>
    <row r="7" spans="1:6" ht="13.7" customHeight="1" x14ac:dyDescent="0.2">
      <c r="A7" s="715" t="s">
        <v>155</v>
      </c>
      <c r="B7" s="1749">
        <f>'Revenues 9-14'!F5</f>
        <v>121428</v>
      </c>
      <c r="C7" s="585">
        <v>63915</v>
      </c>
      <c r="D7" s="1752">
        <f t="shared" si="0"/>
        <v>57513</v>
      </c>
      <c r="E7" s="585">
        <v>120688</v>
      </c>
      <c r="F7" s="1752">
        <f t="shared" si="1"/>
        <v>56773</v>
      </c>
    </row>
    <row r="8" spans="1:6" ht="13.7" customHeight="1" x14ac:dyDescent="0.2">
      <c r="A8" s="715" t="s">
        <v>1179</v>
      </c>
      <c r="B8" s="1749">
        <f>'Revenues 9-14'!G5</f>
        <v>46689</v>
      </c>
      <c r="C8" s="585">
        <v>24739</v>
      </c>
      <c r="D8" s="1752">
        <f t="shared" si="0"/>
        <v>21950</v>
      </c>
      <c r="E8" s="585">
        <v>46713</v>
      </c>
      <c r="F8" s="1752">
        <f t="shared" si="1"/>
        <v>21974</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0</v>
      </c>
      <c r="C10" s="585"/>
      <c r="D10" s="1752">
        <f t="shared" si="0"/>
        <v>0</v>
      </c>
      <c r="E10" s="585"/>
      <c r="F10" s="1752">
        <f t="shared" si="1"/>
        <v>0</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48590</v>
      </c>
      <c r="C13" s="585">
        <v>25566</v>
      </c>
      <c r="D13" s="1752">
        <f t="shared" si="0"/>
        <v>23024</v>
      </c>
      <c r="E13" s="585">
        <v>48275</v>
      </c>
      <c r="F13" s="1752">
        <f t="shared" si="1"/>
        <v>22709</v>
      </c>
    </row>
    <row r="14" spans="1:6" ht="13.7" customHeight="1" x14ac:dyDescent="0.2">
      <c r="A14" s="715" t="s">
        <v>410</v>
      </c>
      <c r="B14" s="1749">
        <f>SUM('Revenues 9-14'!C7:D7,'Revenues 9-14'!F7:H7)</f>
        <v>194298</v>
      </c>
      <c r="C14" s="585">
        <v>102264</v>
      </c>
      <c r="D14" s="1752">
        <f t="shared" si="0"/>
        <v>92034</v>
      </c>
      <c r="E14" s="585">
        <v>193101</v>
      </c>
      <c r="F14" s="1752">
        <f t="shared" si="1"/>
        <v>90837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44910</v>
      </c>
      <c r="C16" s="585">
        <v>23611</v>
      </c>
      <c r="D16" s="1752">
        <f t="shared" si="0"/>
        <v>21299</v>
      </c>
      <c r="E16" s="585">
        <v>44584</v>
      </c>
      <c r="F16" s="1752">
        <f t="shared" si="1"/>
        <v>20973</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2381183</v>
      </c>
      <c r="C19" s="1750">
        <f>SUM(C4:C18)</f>
        <v>1252550</v>
      </c>
      <c r="D19" s="1750">
        <f>SUM(D4:D18)</f>
        <v>1128633</v>
      </c>
      <c r="E19" s="1750">
        <f>SUM(E4:E18)</f>
        <v>2365133</v>
      </c>
      <c r="F19" s="1750">
        <f>SUM(F4:F18)</f>
        <v>1112583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5" colorId="8" zoomScale="110" zoomScaleNormal="110" workbookViewId="0">
      <selection activeCell="J35" sqref="J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3" t="s">
        <v>1956</v>
      </c>
      <c r="D2" s="723" t="s">
        <v>1957</v>
      </c>
      <c r="E2" s="723" t="s">
        <v>1958</v>
      </c>
      <c r="F2" s="1883"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4">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5" t="s">
        <v>631</v>
      </c>
      <c r="B15" s="2196"/>
      <c r="C15" s="1754">
        <f>SUM(C6:C14)</f>
        <v>0</v>
      </c>
      <c r="D15" s="1754">
        <f>SUM(D6:D14)</f>
        <v>0</v>
      </c>
      <c r="E15" s="1754">
        <f>SUM(E6:E14)</f>
        <v>0</v>
      </c>
      <c r="F15" s="1754">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4">
        <f>SUM(C17+D17)-E17</f>
        <v>0</v>
      </c>
    </row>
    <row r="18" spans="1:11" ht="12.75" customHeight="1" thickTop="1" thickBot="1" x14ac:dyDescent="0.25">
      <c r="A18" s="2190" t="s">
        <v>6</v>
      </c>
      <c r="B18" s="2191"/>
      <c r="C18" s="726"/>
      <c r="D18" s="585"/>
      <c r="E18" s="726"/>
      <c r="F18" s="1754">
        <f>SUM(C18+D18)-E18</f>
        <v>0</v>
      </c>
    </row>
    <row r="19" spans="1:11" ht="12.75" customHeight="1" thickTop="1" thickBot="1" x14ac:dyDescent="0.25">
      <c r="A19" s="2190" t="s">
        <v>388</v>
      </c>
      <c r="B19" s="2191"/>
      <c r="C19" s="726"/>
      <c r="D19" s="585"/>
      <c r="E19" s="726"/>
      <c r="F19" s="1754">
        <f>SUM(C19+D19)-E19</f>
        <v>0</v>
      </c>
    </row>
    <row r="20" spans="1:11" ht="12.75" customHeight="1" thickTop="1" thickBot="1" x14ac:dyDescent="0.25">
      <c r="A20" s="2190" t="s">
        <v>448</v>
      </c>
      <c r="B20" s="2191"/>
      <c r="C20" s="726"/>
      <c r="D20" s="585"/>
      <c r="E20" s="726"/>
      <c r="F20" s="1754">
        <f>SUM(C20+D20)-E20</f>
        <v>0</v>
      </c>
    </row>
    <row r="21" spans="1:11" ht="14.25" thickTop="1" thickBot="1" x14ac:dyDescent="0.25">
      <c r="A21" s="2195" t="s">
        <v>632</v>
      </c>
      <c r="B21" s="2196"/>
      <c r="C21" s="1754">
        <f>SUM(C17:C20)</f>
        <v>0</v>
      </c>
      <c r="D21" s="1754">
        <f>SUM(D17:D20)</f>
        <v>0</v>
      </c>
      <c r="E21" s="1754">
        <f>SUM(E17:E20)</f>
        <v>0</v>
      </c>
      <c r="F21" s="1754">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4">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4">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4">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t="s">
        <v>2083</v>
      </c>
      <c r="B32" s="733">
        <v>41898</v>
      </c>
      <c r="C32" s="734">
        <v>1000000</v>
      </c>
      <c r="D32" s="735">
        <v>8</v>
      </c>
      <c r="E32" s="734">
        <v>900000</v>
      </c>
      <c r="F32" s="734"/>
      <c r="G32" s="734"/>
      <c r="H32" s="734">
        <v>45000</v>
      </c>
      <c r="I32" s="1755">
        <f>((E32+F32)-H32)+G32</f>
        <v>855000</v>
      </c>
      <c r="J32" s="734">
        <v>855000</v>
      </c>
      <c r="K32" s="736"/>
    </row>
    <row r="33" spans="1:11" ht="12" customHeight="1" x14ac:dyDescent="0.2">
      <c r="A33" s="732" t="s">
        <v>2084</v>
      </c>
      <c r="B33" s="733">
        <v>41898</v>
      </c>
      <c r="C33" s="734">
        <v>330000</v>
      </c>
      <c r="D33" s="735">
        <v>7</v>
      </c>
      <c r="E33" s="734">
        <v>299000</v>
      </c>
      <c r="F33" s="734"/>
      <c r="G33" s="734"/>
      <c r="H33" s="734">
        <v>34000</v>
      </c>
      <c r="I33" s="1755">
        <f t="shared" ref="I33:I48" si="1">((E33+F33)-H33)+G33</f>
        <v>265000</v>
      </c>
      <c r="J33" s="734">
        <v>265000</v>
      </c>
      <c r="K33" s="736"/>
    </row>
    <row r="34" spans="1:11" ht="12" customHeight="1" x14ac:dyDescent="0.2">
      <c r="A34" s="732" t="s">
        <v>2085</v>
      </c>
      <c r="B34" s="733">
        <v>43097</v>
      </c>
      <c r="C34" s="734">
        <v>2000000</v>
      </c>
      <c r="D34" s="735">
        <v>7</v>
      </c>
      <c r="E34" s="734">
        <v>2000000</v>
      </c>
      <c r="F34" s="734"/>
      <c r="G34" s="734"/>
      <c r="H34" s="734">
        <v>10000</v>
      </c>
      <c r="I34" s="1755">
        <f t="shared" si="1"/>
        <v>1990000</v>
      </c>
      <c r="J34" s="734">
        <v>1990000</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3330000</v>
      </c>
      <c r="D49" s="745"/>
      <c r="E49" s="1755">
        <f t="shared" ref="E49:J49" si="2">SUM(E31:E48)</f>
        <v>3199000</v>
      </c>
      <c r="F49" s="1755">
        <f t="shared" si="2"/>
        <v>0</v>
      </c>
      <c r="G49" s="1755">
        <f t="shared" si="2"/>
        <v>0</v>
      </c>
      <c r="H49" s="1755">
        <f t="shared" si="2"/>
        <v>89000</v>
      </c>
      <c r="I49" s="1755">
        <f t="shared" si="2"/>
        <v>3110000</v>
      </c>
      <c r="J49" s="1755">
        <f t="shared" si="2"/>
        <v>3110000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3" colorId="8" zoomScale="110" zoomScaleNormal="110" workbookViewId="0">
      <selection activeCell="G37" sqref="G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29"/>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194298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6"/>
      <c r="G12" s="1757">
        <f>SUM(G5:G11)</f>
        <v>0</v>
      </c>
      <c r="H12" s="1757">
        <f>SUM(H5:H11)</f>
        <v>194298</v>
      </c>
      <c r="I12" s="1757">
        <f>SUM(I5:I11)</f>
        <v>0</v>
      </c>
      <c r="J12" s="1757">
        <f>SUM(J5:J11)</f>
        <v>0</v>
      </c>
      <c r="K12" s="1757">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8"/>
      <c r="G21" s="792"/>
      <c r="H21" s="796"/>
      <c r="I21" s="796"/>
      <c r="J21" s="1759">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0"/>
      <c r="G23" s="1757">
        <f>SUM(G14:G16,G21,G22)</f>
        <v>0</v>
      </c>
      <c r="H23" s="1757">
        <f>SUM(H14:H16,H21,H22)</f>
        <v>0</v>
      </c>
      <c r="I23" s="1757">
        <f>SUM(I14:I16,I21,I22)</f>
        <v>0</v>
      </c>
      <c r="J23" s="1757">
        <f>SUM(J14:J16,J21,J22)</f>
        <v>0</v>
      </c>
      <c r="K23" s="1757">
        <f>SUM(K14:K16,K21,K22)</f>
        <v>0</v>
      </c>
    </row>
    <row r="24" spans="1:11" ht="14.25" thickTop="1" thickBot="1" x14ac:dyDescent="0.25">
      <c r="A24" s="2247" t="s">
        <v>1965</v>
      </c>
      <c r="B24" s="2246"/>
      <c r="C24" s="2246"/>
      <c r="D24" s="2246"/>
      <c r="E24" s="2246"/>
      <c r="F24" s="1761"/>
      <c r="G24" s="1762">
        <f>SUM(G3,G12)-G23</f>
        <v>0</v>
      </c>
      <c r="H24" s="1762">
        <f>SUM(H3,H12)-H23</f>
        <v>194298</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194298</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15011</v>
      </c>
    </row>
    <row r="37" spans="1:11" x14ac:dyDescent="0.2">
      <c r="A37" s="820" t="s">
        <v>896</v>
      </c>
      <c r="B37" s="818"/>
      <c r="C37" s="818"/>
      <c r="D37" s="818"/>
      <c r="E37" s="818"/>
      <c r="F37" s="819"/>
      <c r="G37" s="765"/>
    </row>
    <row r="38" spans="1:11" x14ac:dyDescent="0.2">
      <c r="A38" s="820" t="s">
        <v>993</v>
      </c>
      <c r="B38" s="818"/>
      <c r="C38" s="818"/>
      <c r="D38" s="818"/>
      <c r="E38" s="818"/>
      <c r="F38" s="819"/>
      <c r="G38" s="765">
        <v>36618</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44750</v>
      </c>
      <c r="D5" s="841"/>
      <c r="E5" s="841"/>
      <c r="F5" s="1759">
        <f>(C5+D5)-E5</f>
        <v>44750</v>
      </c>
      <c r="G5" s="837"/>
      <c r="H5" s="842"/>
      <c r="I5" s="842"/>
      <c r="J5" s="842"/>
      <c r="K5" s="793"/>
      <c r="L5" s="1768">
        <f>F5-K5</f>
        <v>44750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2460911</v>
      </c>
      <c r="D8" s="844"/>
      <c r="E8" s="844"/>
      <c r="F8" s="1759">
        <f>(C8+D8)-E8</f>
        <v>2460911</v>
      </c>
      <c r="G8" s="843">
        <v>50</v>
      </c>
      <c r="H8" s="765">
        <v>1964663</v>
      </c>
      <c r="I8" s="765">
        <v>49218</v>
      </c>
      <c r="J8" s="765"/>
      <c r="K8" s="1768">
        <f>(H8+I8)-J8</f>
        <v>2013881</v>
      </c>
      <c r="L8" s="1768">
        <f>F8-K8</f>
        <v>447030</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1779112</v>
      </c>
      <c r="D10" s="846">
        <v>751653</v>
      </c>
      <c r="E10" s="846"/>
      <c r="F10" s="1763">
        <f>(C10+D10)-E10</f>
        <v>2530765</v>
      </c>
      <c r="G10" s="843">
        <v>20</v>
      </c>
      <c r="H10" s="847">
        <v>299035</v>
      </c>
      <c r="I10" s="847">
        <v>88956</v>
      </c>
      <c r="J10" s="847"/>
      <c r="K10" s="1768">
        <f>(H10+I10)-J10</f>
        <v>387991</v>
      </c>
      <c r="L10" s="1768">
        <f>F10-K10</f>
        <v>2142774</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1136938</v>
      </c>
      <c r="D12" s="844">
        <v>207560</v>
      </c>
      <c r="E12" s="844"/>
      <c r="F12" s="1759">
        <f>(C12+D12)-E12</f>
        <v>1344498</v>
      </c>
      <c r="G12" s="843">
        <v>10</v>
      </c>
      <c r="H12" s="765">
        <v>734795</v>
      </c>
      <c r="I12" s="765">
        <v>83085</v>
      </c>
      <c r="J12" s="765"/>
      <c r="K12" s="1768">
        <f>(H12+I12)-J12</f>
        <v>817880</v>
      </c>
      <c r="L12" s="1768">
        <f>F12-K12</f>
        <v>526618</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5421711</v>
      </c>
      <c r="D16" s="1759">
        <f>SUM(D3,D5:D6,D8:D10,D12:D15)</f>
        <v>959213</v>
      </c>
      <c r="E16" s="1759">
        <f>SUM(E3,E5:E6,E8:E10,E12:E15)</f>
        <v>0</v>
      </c>
      <c r="F16" s="1759">
        <f>SUM(F3,F5:F6,F8:F10,F12:F15)</f>
        <v>6380924</v>
      </c>
      <c r="G16" s="843"/>
      <c r="H16" s="1759">
        <f>SUM(H3,H6,H8:H10,H12:H14,)</f>
        <v>2998493</v>
      </c>
      <c r="I16" s="1759">
        <f>SUM(I3,I6,I8:I10,I12:I14,)</f>
        <v>221259</v>
      </c>
      <c r="J16" s="1759">
        <f>SUM(J3,J6,J8:J10,J12:J14,)</f>
        <v>0</v>
      </c>
      <c r="K16" s="1759">
        <f>(H16+I16)-J16</f>
        <v>3219752</v>
      </c>
      <c r="L16" s="1759">
        <f>F16-K16</f>
        <v>3161172</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221259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H202"/>
  <sheetViews>
    <sheetView showGridLines="0" defaultGridColor="0" colorId="8" zoomScale="110" zoomScaleNormal="110" workbookViewId="0">
      <pane ySplit="5" topLeftCell="A12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4831920</v>
      </c>
      <c r="G8" s="865"/>
    </row>
    <row r="9" spans="1:7" x14ac:dyDescent="0.2">
      <c r="A9" s="869" t="s">
        <v>460</v>
      </c>
      <c r="B9" s="870" t="s">
        <v>1877</v>
      </c>
      <c r="C9" s="871"/>
      <c r="D9" s="869" t="s">
        <v>501</v>
      </c>
      <c r="E9" s="868"/>
      <c r="F9" s="1908">
        <f>'Expenditures 15-22'!K151</f>
        <v>313371</v>
      </c>
      <c r="G9" s="872"/>
    </row>
    <row r="10" spans="1:7" x14ac:dyDescent="0.2">
      <c r="A10" s="869" t="s">
        <v>499</v>
      </c>
      <c r="B10" s="870" t="s">
        <v>1878</v>
      </c>
      <c r="C10" s="871"/>
      <c r="D10" s="869" t="s">
        <v>501</v>
      </c>
      <c r="E10" s="868"/>
      <c r="F10" s="1908">
        <f>'Expenditures 15-22'!K174</f>
        <v>267904</v>
      </c>
      <c r="G10" s="872"/>
    </row>
    <row r="11" spans="1:7" x14ac:dyDescent="0.2">
      <c r="A11" s="869" t="s">
        <v>461</v>
      </c>
      <c r="B11" s="870" t="s">
        <v>1879</v>
      </c>
      <c r="C11" s="871"/>
      <c r="D11" s="869" t="s">
        <v>501</v>
      </c>
      <c r="E11" s="868"/>
      <c r="F11" s="1908">
        <f>'Expenditures 15-22'!K210</f>
        <v>656211</v>
      </c>
      <c r="G11" s="872"/>
    </row>
    <row r="12" spans="1:7" x14ac:dyDescent="0.2">
      <c r="A12" s="869" t="s">
        <v>462</v>
      </c>
      <c r="B12" s="870" t="s">
        <v>1880</v>
      </c>
      <c r="C12" s="871"/>
      <c r="D12" s="869" t="s">
        <v>501</v>
      </c>
      <c r="E12" s="868"/>
      <c r="F12" s="1908">
        <f>'Expenditures 15-22'!K295</f>
        <v>117160</v>
      </c>
      <c r="G12" s="872"/>
    </row>
    <row r="13" spans="1:7" x14ac:dyDescent="0.2">
      <c r="A13" s="869" t="s">
        <v>106</v>
      </c>
      <c r="B13" s="870" t="s">
        <v>1881</v>
      </c>
      <c r="C13" s="871"/>
      <c r="D13" s="869" t="s">
        <v>501</v>
      </c>
      <c r="E13" s="868"/>
      <c r="F13" s="1908">
        <f>'Expenditures 15-22'!K342</f>
        <v>0</v>
      </c>
      <c r="G13" s="873"/>
    </row>
    <row r="14" spans="1:7" ht="12" customHeight="1" thickBot="1" x14ac:dyDescent="0.25">
      <c r="A14" s="1769"/>
      <c r="B14" s="1770"/>
      <c r="C14" s="1771"/>
      <c r="D14" s="1772" t="s">
        <v>501</v>
      </c>
      <c r="E14" s="1773" t="s">
        <v>958</v>
      </c>
      <c r="F14" s="1774">
        <f>SUM(F8:F13)</f>
        <v>6186566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2256</v>
      </c>
      <c r="G52" s="865"/>
    </row>
    <row r="53" spans="1:7" x14ac:dyDescent="0.2">
      <c r="A53" s="869" t="s">
        <v>459</v>
      </c>
      <c r="B53" s="869" t="s">
        <v>1475</v>
      </c>
      <c r="C53" s="889">
        <f>'Expenditures 15-22'!B102</f>
        <v>4000</v>
      </c>
      <c r="D53" s="888" t="str">
        <f>'Expenditures 15-22'!A102</f>
        <v>Total Payments to Other Govt Units</v>
      </c>
      <c r="E53" s="868"/>
      <c r="F53" s="1912">
        <f>'Expenditures 15-22'!K102</f>
        <v>420840</v>
      </c>
      <c r="G53" s="865"/>
    </row>
    <row r="54" spans="1:7" x14ac:dyDescent="0.2">
      <c r="A54" s="869" t="s">
        <v>459</v>
      </c>
      <c r="B54" s="869" t="s">
        <v>1476</v>
      </c>
      <c r="C54" s="889" t="s">
        <v>982</v>
      </c>
      <c r="D54" s="885" t="s">
        <v>1095</v>
      </c>
      <c r="E54" s="868"/>
      <c r="F54" s="1912">
        <f>'Expenditures 15-22'!G114</f>
        <v>136083</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71477</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89000</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719656</v>
      </c>
      <c r="G76" s="865"/>
    </row>
    <row r="77" spans="1:8" s="893" customFormat="1" ht="12" customHeight="1" thickTop="1" thickBot="1" x14ac:dyDescent="0.25">
      <c r="A77" s="1778"/>
      <c r="B77" s="1775"/>
      <c r="C77" s="1771"/>
      <c r="D77" s="1776" t="s">
        <v>1900</v>
      </c>
      <c r="E77" s="1773"/>
      <c r="F77" s="1779">
        <f>(F14-F76)</f>
        <v>5466910</v>
      </c>
      <c r="G77" s="869"/>
    </row>
    <row r="78" spans="1:8" s="893" customFormat="1" ht="12" customHeight="1" thickTop="1" x14ac:dyDescent="0.2">
      <c r="A78" s="1780"/>
      <c r="B78" s="1775"/>
      <c r="C78" s="1771"/>
      <c r="D78" s="1776" t="s">
        <v>2062</v>
      </c>
      <c r="E78" s="1773"/>
      <c r="F78" s="898">
        <v>371.1</v>
      </c>
      <c r="G78" s="899"/>
      <c r="H78" s="869"/>
    </row>
    <row r="79" spans="1:8" s="893" customFormat="1" ht="12" customHeight="1" thickBot="1" x14ac:dyDescent="0.25">
      <c r="A79" s="1781"/>
      <c r="B79" s="1775"/>
      <c r="C79" s="1771"/>
      <c r="D79" s="1776" t="s">
        <v>1901</v>
      </c>
      <c r="E79" s="1773" t="s">
        <v>958</v>
      </c>
      <c r="F79" s="1782">
        <f>IF(F78&gt;0,F77/F78," Complete Line 78")</f>
        <v>14731.635677714901</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0</v>
      </c>
      <c r="G94" s="912"/>
    </row>
    <row r="95" spans="1:7" x14ac:dyDescent="0.2">
      <c r="A95" s="908" t="s">
        <v>140</v>
      </c>
      <c r="B95" s="908" t="s">
        <v>175</v>
      </c>
      <c r="C95" s="910">
        <v>1700</v>
      </c>
      <c r="D95" s="918" t="str">
        <f>'Revenues 9-14'!A82</f>
        <v>Total District/School Activity Income</v>
      </c>
      <c r="E95" s="906"/>
      <c r="F95" s="1788">
        <f>SUM('Revenues 9-14'!C82,'Revenues 9-14'!D82)</f>
        <v>4923</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20756</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136366</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7248</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0</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360028</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342432</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188491</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15480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91565</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2641</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22883</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5542</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29288</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184382</v>
      </c>
      <c r="G171" s="927"/>
    </row>
    <row r="172" spans="1:7" x14ac:dyDescent="0.2">
      <c r="A172" s="1917" t="s">
        <v>664</v>
      </c>
      <c r="B172" s="1918" t="s">
        <v>1920</v>
      </c>
      <c r="C172" s="1919">
        <v>3300</v>
      </c>
      <c r="D172" s="1920" t="s">
        <v>1923</v>
      </c>
      <c r="E172" s="906"/>
      <c r="F172" s="1905">
        <v>2488</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1415263</v>
      </c>
    </row>
    <row r="175" spans="1:7" ht="12" customHeight="1" x14ac:dyDescent="0.2">
      <c r="A175" s="1769"/>
      <c r="B175" s="1783"/>
      <c r="C175" s="1784"/>
      <c r="D175" s="1785" t="s">
        <v>2057</v>
      </c>
      <c r="E175" s="1786"/>
      <c r="F175" s="1788">
        <f>'PCTC-OEPP 27-28'!F77-F174</f>
        <v>4051647</v>
      </c>
    </row>
    <row r="176" spans="1:7" ht="12" customHeight="1" x14ac:dyDescent="0.2">
      <c r="A176" s="1769"/>
      <c r="B176" s="1783"/>
      <c r="C176" s="1784"/>
      <c r="D176" s="1785" t="s">
        <v>1817</v>
      </c>
      <c r="E176" s="1786"/>
      <c r="F176" s="1788">
        <f>'Cap Outlay Deprec 26'!I18</f>
        <v>221259</v>
      </c>
    </row>
    <row r="177" spans="1:7" ht="12" customHeight="1" x14ac:dyDescent="0.2">
      <c r="A177" s="1769"/>
      <c r="B177" s="1783"/>
      <c r="C177" s="1784"/>
      <c r="D177" s="1785" t="s">
        <v>2058</v>
      </c>
      <c r="E177" s="1786"/>
      <c r="F177" s="1788">
        <f>F175+F176</f>
        <v>4272906</v>
      </c>
    </row>
    <row r="178" spans="1:7" ht="12" customHeight="1" x14ac:dyDescent="0.2">
      <c r="A178" s="1769"/>
      <c r="B178" s="1789"/>
      <c r="C178" s="1784"/>
      <c r="D178" s="1785" t="str">
        <f>D78</f>
        <v>9 Month ADA from District Average Daily Attendance/Prior General State Aid Inquiry 2018-2019</v>
      </c>
      <c r="E178" s="1786"/>
      <c r="F178" s="1790">
        <f>'PCTC-OEPP 27-28'!F78</f>
        <v>371.1</v>
      </c>
      <c r="G178" s="930"/>
    </row>
    <row r="179" spans="1:7" ht="12" customHeight="1" thickBot="1" x14ac:dyDescent="0.25">
      <c r="A179" s="1769"/>
      <c r="B179" s="1789"/>
      <c r="C179" s="1784"/>
      <c r="D179" s="1785" t="s">
        <v>2059</v>
      </c>
      <c r="E179" s="1786" t="s">
        <v>1545</v>
      </c>
      <c r="F179" s="1791">
        <f>F177/F178</f>
        <v>11514.163298302343</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39"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9" sqref="A19"/>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3" t="s">
        <v>1819</v>
      </c>
      <c r="B6" s="1534"/>
      <c r="C6" s="1534"/>
      <c r="D6" s="1534"/>
      <c r="E6" s="1534"/>
      <c r="F6" s="1534"/>
      <c r="G6" s="1535"/>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6" t="s">
        <v>1820</v>
      </c>
      <c r="B10" s="1537"/>
      <c r="C10" s="1537"/>
      <c r="D10" s="1537"/>
      <c r="E10" s="1537"/>
      <c r="F10" s="1537"/>
      <c r="G10" s="1538"/>
    </row>
    <row r="11" spans="1:7" ht="17.25" customHeight="1" x14ac:dyDescent="0.25">
      <c r="A11" s="2275" t="s">
        <v>1934</v>
      </c>
      <c r="B11" s="2276"/>
      <c r="C11" s="2276"/>
      <c r="D11" s="2276"/>
      <c r="E11" s="2276"/>
      <c r="F11" s="2276"/>
      <c r="G11" s="2277"/>
    </row>
    <row r="12" spans="1:7" ht="15" customHeight="1" x14ac:dyDescent="0.25">
      <c r="A12" s="1536" t="s">
        <v>1825</v>
      </c>
      <c r="B12" s="1537"/>
      <c r="C12" s="1537"/>
      <c r="D12" s="1537"/>
      <c r="E12" s="1537"/>
      <c r="F12" s="1537"/>
      <c r="G12" s="1538"/>
    </row>
    <row r="13" spans="1:7" ht="32.25" customHeight="1" x14ac:dyDescent="0.25">
      <c r="A13" s="2266" t="s">
        <v>1976</v>
      </c>
      <c r="B13" s="2267"/>
      <c r="C13" s="2267"/>
      <c r="D13" s="2267"/>
      <c r="E13" s="2267"/>
      <c r="F13" s="2267"/>
      <c r="G13" s="2268"/>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2100</v>
      </c>
      <c r="B17" s="1933" t="s">
        <v>2099</v>
      </c>
      <c r="C17" s="1937" t="s">
        <v>2098</v>
      </c>
      <c r="D17" s="1843">
        <v>306097</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281097</v>
      </c>
      <c r="H17" s="1646"/>
    </row>
    <row r="18" spans="1:8" x14ac:dyDescent="0.25">
      <c r="A18" s="1936" t="s">
        <v>2101</v>
      </c>
      <c r="B18" s="1933" t="s">
        <v>2102</v>
      </c>
      <c r="C18" s="1937" t="s">
        <v>2103</v>
      </c>
      <c r="D18" s="1843">
        <v>194755</v>
      </c>
      <c r="E18" s="1539">
        <f t="shared" ref="E18:E140" si="2">IF(D18&lt;=25000,D18,IF(D18&gt;25000,25000,0))</f>
        <v>25000</v>
      </c>
      <c r="F18" s="1931">
        <f t="shared" si="1"/>
        <v>25000</v>
      </c>
      <c r="G18" s="1792">
        <f t="shared" ref="G18:G140" si="3">IF(F18=0,0,D18-F18)</f>
        <v>169755</v>
      </c>
    </row>
    <row r="19" spans="1:8" x14ac:dyDescent="0.25">
      <c r="A19" s="1652"/>
      <c r="B19" s="1933"/>
      <c r="C19" s="1655"/>
      <c r="D19" s="1843"/>
      <c r="E19" s="1539">
        <f t="shared" si="2"/>
        <v>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500852</v>
      </c>
      <c r="E141" s="1540">
        <f t="shared" si="0"/>
        <v>25000</v>
      </c>
      <c r="F141" s="1932">
        <f>SUM(F17:F140)</f>
        <v>50000</v>
      </c>
      <c r="G141" s="1794">
        <f>SUM(G17:G140)</f>
        <v>450852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307337</v>
      </c>
      <c r="F10" s="974"/>
      <c r="G10" s="975"/>
      <c r="H10" s="162"/>
      <c r="I10" s="162"/>
    </row>
    <row r="11" spans="1:9" s="668" customFormat="1" ht="22.5" customHeight="1" x14ac:dyDescent="0.2">
      <c r="A11" s="2286" t="s">
        <v>1977</v>
      </c>
      <c r="B11" s="2287"/>
      <c r="C11" s="2287"/>
      <c r="D11" s="2288"/>
      <c r="E11" s="977">
        <v>21983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2979057</v>
      </c>
      <c r="F19" s="1798"/>
      <c r="G19" s="1800">
        <f>'Expenditures 15-22'!K33-SUM('Expenditures 15-22'!G33,'Expenditures 15-22'!I33)+'Expenditures 15-22'!D229</f>
        <v>2979057</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278176</v>
      </c>
      <c r="F21" s="1801"/>
      <c r="G21" s="1804">
        <f>'Expenditures 15-22'!K42-SUM('Expenditures 15-22'!G42,'Expenditures 15-22'!I42)+'Expenditures 15-22'!K120-SUM('Expenditures 15-22'!G120,'Expenditures 15-22'!I120)+'Expenditures 15-22'!K180-SUM('Expenditures 15-22'!G180,'Expenditures 15-22'!I180)+'Expenditures 15-22'!D238</f>
        <v>278176</v>
      </c>
      <c r="H21" s="987"/>
      <c r="I21" s="162"/>
    </row>
    <row r="22" spans="1:9" s="668" customFormat="1" ht="12" customHeight="1" x14ac:dyDescent="0.2">
      <c r="A22" s="994" t="s">
        <v>564</v>
      </c>
      <c r="B22" s="995"/>
      <c r="C22" s="993">
        <v>2200</v>
      </c>
      <c r="D22" s="1801"/>
      <c r="E22" s="1803">
        <f>'Expenditures 15-22'!K47-SUM('Expenditures 15-22'!G47,'Expenditures 15-22'!I47)+'Expenditures 15-22'!D243</f>
        <v>79630</v>
      </c>
      <c r="F22" s="1801"/>
      <c r="G22" s="1804">
        <f>'Expenditures 15-22'!K47-SUM('Expenditures 15-22'!G47,'Expenditures 15-22'!I47)+'Expenditures 15-22'!D243</f>
        <v>79630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234795</v>
      </c>
      <c r="F23" s="1801"/>
      <c r="G23" s="1803">
        <f>'Expenditures 15-22'!K53-SUM('Expenditures 15-22'!G53,'Expenditures 15-22'!I53)+'Expenditures 15-22'!D257+'Expenditures 15-22'!K330-SUM('Expenditures 15-22'!G330,'Expenditures 15-22'!I330)</f>
        <v>234795</v>
      </c>
      <c r="H23" s="987"/>
      <c r="I23" s="162"/>
    </row>
    <row r="24" spans="1:9" s="668" customFormat="1" ht="12" customHeight="1" x14ac:dyDescent="0.2">
      <c r="A24" s="994" t="s">
        <v>566</v>
      </c>
      <c r="B24" s="995"/>
      <c r="C24" s="993">
        <v>2400</v>
      </c>
      <c r="D24" s="1801"/>
      <c r="E24" s="1803">
        <f>'Expenditures 15-22'!K57-SUM('Expenditures 15-22'!G57,'Expenditures 15-22'!I57)+'Expenditures 15-22'!D261</f>
        <v>331172</v>
      </c>
      <c r="F24" s="1801"/>
      <c r="G24" s="1804">
        <f>'Expenditures 15-22'!K57-SUM('Expenditures 15-22'!G57,'Expenditures 15-22'!I57)+'Expenditures 15-22'!D261</f>
        <v>331172</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105989</v>
      </c>
      <c r="E27" s="1803">
        <f>E8</f>
        <v>0</v>
      </c>
      <c r="F27" s="1803">
        <f>'Expenditures 15-22'!K60-SUM('Expenditures 15-22'!G60,'Expenditures 15-22'!I60)+'Expenditures 15-22'!D264-E8</f>
        <v>105989</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261159</v>
      </c>
      <c r="F28" s="1805">
        <f>'Expenditures 15-22'!K61-SUM('Expenditures 15-22'!G61,'Expenditures 15-22'!I61)+'Expenditures 15-22'!K124-SUM('Expenditures 15-22'!G124,'Expenditures 15-22'!I124)+'Expenditures 15-22'!D266-E9</f>
        <v>261159</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656211</v>
      </c>
      <c r="F29" s="1801"/>
      <c r="G29" s="1804">
        <f>'Expenditures 15-22'!K62-SUM('Expenditures 15-22'!G62,'Expenditures 15-22'!I62)+'Expenditures 15-22'!K125-SUM('Expenditures 15-22'!G125,'Expenditures 15-22'!I125)+'Expenditures 15-22'!K182-SUM('Expenditures 15-22'!G182,'Expenditures 15-22'!I182)+'Expenditures 15-22'!D267</f>
        <v>656211</v>
      </c>
      <c r="H29" s="985"/>
    </row>
    <row r="30" spans="1:9" ht="12" customHeight="1" x14ac:dyDescent="0.2">
      <c r="A30" s="994" t="s">
        <v>100</v>
      </c>
      <c r="B30" s="997"/>
      <c r="C30" s="993">
        <v>2560</v>
      </c>
      <c r="D30" s="1801"/>
      <c r="E30" s="1803">
        <f>'Expenditures 15-22'!K63-SUM('Expenditures 15-22'!G63,'Expenditures 15-22'!I63)+'Expenditures 15-22'!D268-E10</f>
        <v>54430</v>
      </c>
      <c r="F30" s="1801"/>
      <c r="G30" s="1803">
        <f>'Expenditures 15-22'!K63-SUM('Expenditures 15-22'!G63,'Expenditures 15-22'!I63)+'Expenditures 15-22'!D268-E10</f>
        <v>54430</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50</v>
      </c>
      <c r="F38" s="1801"/>
      <c r="G38" s="1803">
        <f>'Expenditures 15-22'!K73-SUM('Expenditures 15-22'!G73,'Expenditures 15-22'!I73)+'Expenditures 15-22'!K128-SUM('Expenditures 15-22'!G128,'Expenditures 15-22'!I128)+'Expenditures 15-22'!K183-SUM('Expenditures 15-22'!G183,'Expenditures 15-22'!I183)+'Expenditures 15-22'!D278</f>
        <v>50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2256</v>
      </c>
      <c r="F39" s="1801"/>
      <c r="G39" s="1803">
        <f>'Expenditures 15-22'!K75-SUM('Expenditures 15-22'!G75,'Expenditures 15-22'!I75)+'Expenditures 15-22'!K130-SUM('Expenditures 15-22'!G130,'Expenditures 15-22'!I130)+'Expenditures 15-22'!K185-SUM('Expenditures 15-22'!G185,'Expenditures 15-22'!I185)+'Expenditures 15-22'!D280</f>
        <v>2256</v>
      </c>
    </row>
    <row r="40" spans="1:7" ht="12" customHeight="1" x14ac:dyDescent="0.2">
      <c r="A40" s="990" t="s">
        <v>1823</v>
      </c>
      <c r="B40" s="991"/>
      <c r="C40" s="993"/>
      <c r="D40" s="1801"/>
      <c r="E40" s="1805">
        <f>-'Contracts Paid in CY 29'!G141</f>
        <v>-450852</v>
      </c>
      <c r="F40" s="1801"/>
      <c r="G40" s="1805">
        <f>-'Contracts Paid in CY 29'!G141</f>
        <v>-450852</v>
      </c>
    </row>
    <row r="41" spans="1:7" ht="12" customHeight="1" x14ac:dyDescent="0.2">
      <c r="A41" s="998" t="s">
        <v>156</v>
      </c>
      <c r="B41" s="999"/>
      <c r="C41" s="1000"/>
      <c r="D41" s="1805">
        <f>SUM(D19:D39)</f>
        <v>105989</v>
      </c>
      <c r="E41" s="1805">
        <f>SUM(E19:E40)</f>
        <v>4426084</v>
      </c>
      <c r="F41" s="1805">
        <f>SUM(F19:F39)</f>
        <v>367148</v>
      </c>
      <c r="G41" s="1805">
        <f>SUM(G19:G40)</f>
        <v>4164925</v>
      </c>
    </row>
    <row r="42" spans="1:7" x14ac:dyDescent="0.2">
      <c r="A42" s="987"/>
      <c r="B42" s="162"/>
      <c r="C42" s="1001"/>
      <c r="D42" s="2284" t="s">
        <v>522</v>
      </c>
      <c r="E42" s="2285"/>
      <c r="F42" s="1002" t="s">
        <v>523</v>
      </c>
      <c r="G42" s="1003"/>
    </row>
    <row r="43" spans="1:7" ht="12" customHeight="1" x14ac:dyDescent="0.2">
      <c r="A43" s="987"/>
      <c r="B43" s="162"/>
      <c r="C43" s="1001"/>
      <c r="D43" s="1806" t="s">
        <v>473</v>
      </c>
      <c r="E43" s="1807">
        <f>D41</f>
        <v>105989</v>
      </c>
      <c r="F43" s="1806" t="s">
        <v>473</v>
      </c>
      <c r="G43" s="1807">
        <f>F41</f>
        <v>367148</v>
      </c>
    </row>
    <row r="44" spans="1:7" ht="12" customHeight="1" x14ac:dyDescent="0.2">
      <c r="A44" s="987"/>
      <c r="B44" s="162"/>
      <c r="C44" s="1001"/>
      <c r="D44" s="1806" t="s">
        <v>474</v>
      </c>
      <c r="E44" s="1807">
        <f>E41</f>
        <v>4426084</v>
      </c>
      <c r="F44" s="1806" t="s">
        <v>474</v>
      </c>
      <c r="G44" s="1807">
        <f>G41</f>
        <v>4164925</v>
      </c>
    </row>
    <row r="45" spans="1:7" ht="12" customHeight="1" x14ac:dyDescent="0.2">
      <c r="A45" s="987"/>
      <c r="B45" s="162"/>
      <c r="C45" s="162"/>
      <c r="D45" s="1808" t="s">
        <v>1006</v>
      </c>
      <c r="E45" s="1809">
        <f>(E43/E44)</f>
        <v>2.3946450180340001E-2</v>
      </c>
      <c r="F45" s="1808" t="s">
        <v>1006</v>
      </c>
      <c r="G45" s="1809">
        <f>(G43/G44)</f>
        <v>8.8152367689694297E-2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3" t="s">
        <v>1379</v>
      </c>
      <c r="B1" s="2303"/>
      <c r="C1" s="2303"/>
      <c r="D1" s="2303"/>
      <c r="E1" s="2303"/>
      <c r="F1" s="2303"/>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4" t="s">
        <v>1546</v>
      </c>
      <c r="B5" s="2305"/>
      <c r="C5" s="2306"/>
      <c r="D5" s="2306"/>
      <c r="E5" s="2306"/>
      <c r="F5" s="2306"/>
    </row>
    <row r="6" spans="1:10" ht="12" customHeight="1" x14ac:dyDescent="0.25">
      <c r="A6" s="1849"/>
      <c r="B6" s="1850"/>
      <c r="C6" s="2307" t="str">
        <f>COVER!A17</f>
        <v>Chaney-Monge SD 88</v>
      </c>
      <c r="D6" s="2307"/>
      <c r="E6" s="2307"/>
      <c r="F6" s="1851"/>
    </row>
    <row r="7" spans="1:10" ht="11.25" customHeight="1" thickBot="1" x14ac:dyDescent="0.3">
      <c r="A7" s="1849"/>
      <c r="B7" s="1850"/>
      <c r="C7" s="2308">
        <f>COVER!A13</f>
        <v>56099088002</v>
      </c>
      <c r="D7" s="2308"/>
      <c r="E7" s="2308"/>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t="s">
        <v>2064</v>
      </c>
      <c r="D16" s="1864" t="s">
        <v>2064</v>
      </c>
      <c r="E16" s="1867" t="s">
        <v>2064</v>
      </c>
      <c r="F16" s="1866" t="s">
        <v>2098</v>
      </c>
      <c r="H16" s="1877">
        <f t="shared" si="0"/>
        <v>5</v>
      </c>
      <c r="I16" s="1877">
        <f t="shared" si="1"/>
        <v>5</v>
      </c>
      <c r="J16" s="1877">
        <f t="shared" si="2"/>
        <v>5</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t="s">
        <v>2064</v>
      </c>
      <c r="F26" s="1866" t="s">
        <v>2086</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10</v>
      </c>
      <c r="J34" s="1877">
        <f>SUM(J11:J32)</f>
        <v>10</v>
      </c>
      <c r="K34" s="1877">
        <f>SUM(H34:J34)</f>
        <v>30</v>
      </c>
    </row>
    <row r="35" spans="1:11" ht="12" customHeight="1" x14ac:dyDescent="0.2">
      <c r="A35" s="1870" t="s">
        <v>1392</v>
      </c>
      <c r="B35" s="1871"/>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2"/>
      <c r="B39" s="1872"/>
      <c r="C39" s="1872"/>
      <c r="D39" s="1872"/>
      <c r="E39" s="1872"/>
      <c r="F39" s="1872"/>
    </row>
    <row r="40" spans="1:11" s="1869" customFormat="1" ht="12" customHeight="1" x14ac:dyDescent="0.25">
      <c r="A40" s="1873" t="s">
        <v>1391</v>
      </c>
      <c r="B40" s="1874"/>
      <c r="C40" s="2298"/>
      <c r="D40" s="2298"/>
      <c r="E40" s="2298"/>
      <c r="F40" s="2299"/>
      <c r="H40" s="1878"/>
      <c r="I40" s="1878"/>
      <c r="J40" s="1878"/>
      <c r="K40" s="1878"/>
    </row>
    <row r="41" spans="1:11" s="1869" customFormat="1" ht="12" customHeight="1" x14ac:dyDescent="0.25">
      <c r="A41" s="2300"/>
      <c r="B41" s="2301"/>
      <c r="C41" s="2301"/>
      <c r="D41" s="2301"/>
      <c r="E41" s="2301"/>
      <c r="F41" s="2302"/>
      <c r="H41" s="1878"/>
      <c r="I41" s="1878"/>
      <c r="J41" s="1878"/>
      <c r="K41" s="1878"/>
    </row>
    <row r="42" spans="1:11" s="1869" customFormat="1" ht="12" customHeight="1" x14ac:dyDescent="0.25">
      <c r="A42" s="2300"/>
      <c r="B42" s="2301"/>
      <c r="C42" s="2301"/>
      <c r="D42" s="2301"/>
      <c r="E42" s="2301"/>
      <c r="F42" s="2302"/>
      <c r="H42" s="1878"/>
      <c r="I42" s="1878"/>
      <c r="J42" s="1878"/>
      <c r="K42" s="1878"/>
    </row>
    <row r="43" spans="1:11" s="1869" customFormat="1" ht="15" x14ac:dyDescent="0.25">
      <c r="A43" s="2289"/>
      <c r="B43" s="2290"/>
      <c r="C43" s="2290"/>
      <c r="D43" s="2290"/>
      <c r="E43" s="2290"/>
      <c r="F43" s="2291"/>
      <c r="H43" s="1878"/>
      <c r="I43" s="1878"/>
      <c r="J43" s="1878"/>
      <c r="K43" s="1878"/>
    </row>
    <row r="44" spans="1:11" s="1869" customFormat="1" ht="12" hidden="1" customHeight="1" x14ac:dyDescent="0.25">
      <c r="A44" s="2289"/>
      <c r="B44" s="2290"/>
      <c r="C44" s="2290"/>
      <c r="D44" s="2290"/>
      <c r="E44" s="2290"/>
      <c r="F44" s="2291"/>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16" t="str">
        <f>COVER!A17</f>
        <v>Chaney-Monge SD 88</v>
      </c>
      <c r="J6" s="2317"/>
      <c r="Q6" s="1663"/>
    </row>
    <row r="7" spans="1:17" x14ac:dyDescent="0.2">
      <c r="A7" s="2318" t="s">
        <v>869</v>
      </c>
      <c r="B7" s="2319"/>
      <c r="C7" s="2319"/>
      <c r="D7" s="2319"/>
      <c r="E7" s="2320"/>
      <c r="F7" s="1017"/>
      <c r="G7" s="1009"/>
      <c r="H7" s="1016" t="s">
        <v>372</v>
      </c>
      <c r="I7" s="2321">
        <f>COVER!A13</f>
        <v>56099088002</v>
      </c>
      <c r="J7" s="2321"/>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148164</v>
      </c>
      <c r="F12" s="1039"/>
      <c r="G12" s="1810">
        <f t="shared" ref="G12:G18" si="0">SUM(E12:F12)</f>
        <v>148164</v>
      </c>
      <c r="H12" s="1040">
        <v>155580</v>
      </c>
      <c r="I12" s="1039"/>
      <c r="J12" s="1810">
        <f t="shared" ref="J12:J18" si="1">SUM(H12:I12)</f>
        <v>155580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5" t="s">
        <v>7</v>
      </c>
      <c r="C18" s="2326"/>
      <c r="D18" s="2327"/>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148164</v>
      </c>
      <c r="F19" s="1812">
        <f t="shared" si="2"/>
        <v>0</v>
      </c>
      <c r="G19" s="1812">
        <f t="shared" si="2"/>
        <v>148164</v>
      </c>
      <c r="H19" s="1812">
        <f t="shared" si="2"/>
        <v>155580</v>
      </c>
      <c r="I19" s="1812">
        <f t="shared" si="2"/>
        <v>0</v>
      </c>
      <c r="J19" s="1812">
        <f t="shared" si="2"/>
        <v>155580</v>
      </c>
    </row>
    <row r="20" spans="1:10" ht="13.5" thickTop="1" x14ac:dyDescent="0.2">
      <c r="A20" s="1035">
        <v>9</v>
      </c>
      <c r="B20" s="2328" t="s">
        <v>1981</v>
      </c>
      <c r="C20" s="2328"/>
      <c r="D20" s="2329"/>
      <c r="E20" s="1046"/>
      <c r="F20" s="1046"/>
      <c r="G20" s="1046"/>
      <c r="H20" s="1046"/>
      <c r="I20" s="1046"/>
      <c r="J20" s="1813">
        <f>IF(AND(G19&gt;0,J19&gt;0),(((J19-G19)/G19)),"Enter Budget Data")</f>
        <v>5.0052644367052729E-2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5"/>
  <sheetViews>
    <sheetView showGridLines="0" zoomScale="110" zoomScaleNormal="110" workbookViewId="0">
      <selection activeCell="E26" sqref="E26"/>
    </sheetView>
  </sheetViews>
  <sheetFormatPr defaultColWidth="9.140625" defaultRowHeight="12.75" x14ac:dyDescent="0.2"/>
  <cols>
    <col min="1" max="1" width="3" style="329" customWidth="1"/>
    <col min="2" max="2" width="3.85546875" style="329" customWidth="1"/>
    <col min="3" max="3" width="6.42578125" style="329" bestFit="1" customWidth="1"/>
    <col min="4" max="4" width="23.7109375" style="329" bestFit="1" customWidth="1"/>
    <col min="5" max="5" width="33.140625" style="329" bestFit="1" customWidth="1"/>
    <col min="6" max="6" width="11.5703125" style="329" bestFit="1" customWidth="1"/>
    <col min="7" max="16384" width="9.140625" style="329"/>
  </cols>
  <sheetData>
    <row r="2" spans="1:6" x14ac:dyDescent="0.2">
      <c r="A2" s="389" t="s">
        <v>258</v>
      </c>
    </row>
    <row r="3" spans="1:6" x14ac:dyDescent="0.2">
      <c r="A3" s="329" t="s">
        <v>259</v>
      </c>
    </row>
    <row r="4" spans="1:6" ht="15" x14ac:dyDescent="0.25">
      <c r="A4"/>
      <c r="B4" s="1938" t="s">
        <v>2087</v>
      </c>
      <c r="C4" s="1938" t="s">
        <v>378</v>
      </c>
      <c r="D4" s="1938" t="s">
        <v>1077</v>
      </c>
      <c r="E4" s="1938" t="s">
        <v>481</v>
      </c>
      <c r="F4" s="1939" t="s">
        <v>865</v>
      </c>
    </row>
    <row r="5" spans="1:6" x14ac:dyDescent="0.2">
      <c r="A5" s="1940">
        <v>1</v>
      </c>
      <c r="B5">
        <v>10</v>
      </c>
      <c r="C5">
        <v>1790</v>
      </c>
      <c r="D5" t="s">
        <v>2088</v>
      </c>
      <c r="E5" t="s">
        <v>2089</v>
      </c>
      <c r="F5" s="1941">
        <v>580</v>
      </c>
    </row>
    <row r="6" spans="1:6" x14ac:dyDescent="0.2">
      <c r="A6" s="1940">
        <v>2</v>
      </c>
      <c r="B6">
        <v>10</v>
      </c>
      <c r="C6">
        <v>1890</v>
      </c>
      <c r="D6" t="s">
        <v>2088</v>
      </c>
      <c r="E6" t="s">
        <v>2090</v>
      </c>
      <c r="F6" s="1941">
        <v>20756</v>
      </c>
    </row>
    <row r="7" spans="1:6" x14ac:dyDescent="0.2">
      <c r="A7" s="1940">
        <v>3</v>
      </c>
      <c r="B7">
        <v>11</v>
      </c>
      <c r="C7">
        <v>1999</v>
      </c>
      <c r="D7" t="s">
        <v>2088</v>
      </c>
      <c r="E7" t="s">
        <v>2091</v>
      </c>
      <c r="F7" s="1941">
        <v>41387</v>
      </c>
    </row>
    <row r="8" spans="1:6" x14ac:dyDescent="0.2">
      <c r="A8" s="1940">
        <v>4</v>
      </c>
      <c r="B8">
        <v>11</v>
      </c>
      <c r="C8">
        <v>3999</v>
      </c>
      <c r="D8" t="s">
        <v>2088</v>
      </c>
      <c r="E8" t="s">
        <v>2092</v>
      </c>
      <c r="F8" s="1941">
        <v>750</v>
      </c>
    </row>
    <row r="9" spans="1:6" x14ac:dyDescent="0.2">
      <c r="A9" s="1940">
        <v>5</v>
      </c>
      <c r="B9">
        <v>11</v>
      </c>
      <c r="C9">
        <v>1999</v>
      </c>
      <c r="D9" t="s">
        <v>870</v>
      </c>
      <c r="E9" t="s">
        <v>2093</v>
      </c>
      <c r="F9" s="1941">
        <v>15192</v>
      </c>
    </row>
    <row r="10" spans="1:6" x14ac:dyDescent="0.2">
      <c r="A10" s="1940">
        <v>6</v>
      </c>
      <c r="B10">
        <v>11</v>
      </c>
      <c r="C10">
        <v>1999</v>
      </c>
      <c r="D10" t="s">
        <v>2094</v>
      </c>
      <c r="E10" t="s">
        <v>2091</v>
      </c>
      <c r="F10" s="1941">
        <v>1500</v>
      </c>
    </row>
    <row r="11" spans="1:6" x14ac:dyDescent="0.2">
      <c r="A11" s="1940">
        <v>7</v>
      </c>
      <c r="B11">
        <v>12</v>
      </c>
      <c r="C11">
        <v>3999</v>
      </c>
      <c r="D11" t="s">
        <v>2094</v>
      </c>
      <c r="E11" t="s">
        <v>2095</v>
      </c>
      <c r="F11" s="1941">
        <v>222600</v>
      </c>
    </row>
    <row r="12" spans="1:6" x14ac:dyDescent="0.2">
      <c r="A12" s="1940">
        <v>8</v>
      </c>
      <c r="B12">
        <v>12</v>
      </c>
      <c r="C12">
        <v>1999</v>
      </c>
      <c r="D12" t="s">
        <v>155</v>
      </c>
      <c r="E12" t="s">
        <v>2091</v>
      </c>
      <c r="F12" s="1941">
        <v>28033</v>
      </c>
    </row>
    <row r="13" spans="1:6" x14ac:dyDescent="0.2">
      <c r="A13" s="1940"/>
      <c r="B13"/>
    </row>
    <row r="14" spans="1:6" x14ac:dyDescent="0.2">
      <c r="A14" s="1068"/>
    </row>
    <row r="15" spans="1:6" x14ac:dyDescent="0.2">
      <c r="A15" s="1068"/>
    </row>
    <row r="16" spans="1:6"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Chaney-Monge SD 88</v>
      </c>
    </row>
    <row r="65" spans="2:2" x14ac:dyDescent="0.2">
      <c r="B65" s="1069">
        <f>COVER!A13</f>
        <v>56099088002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21" sqref="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5" t="s">
        <v>1685</v>
      </c>
      <c r="B18" s="233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3"/>
      <c r="H2" s="1073"/>
    </row>
    <row r="3" spans="1:8" ht="57" customHeight="1" x14ac:dyDescent="0.2">
      <c r="A3" s="2349" t="s">
        <v>1686</v>
      </c>
      <c r="B3" s="2350"/>
      <c r="C3" s="2350"/>
      <c r="D3" s="2350"/>
      <c r="E3" s="2350"/>
      <c r="F3" s="2351"/>
      <c r="G3" s="1073"/>
      <c r="H3" s="1073"/>
    </row>
    <row r="4" spans="1:8" ht="14.25" customHeight="1" x14ac:dyDescent="0.2">
      <c r="A4" s="2355" t="s">
        <v>1988</v>
      </c>
      <c r="B4" s="2356"/>
      <c r="C4" s="2356"/>
      <c r="D4" s="2356"/>
      <c r="E4" s="2356"/>
      <c r="F4" s="2357"/>
      <c r="G4" s="1073"/>
      <c r="H4" s="1073"/>
    </row>
    <row r="5" spans="1:8" ht="14.25" customHeight="1" x14ac:dyDescent="0.2">
      <c r="A5" s="2358" t="s">
        <v>1984</v>
      </c>
      <c r="B5" s="2359"/>
      <c r="C5" s="2359"/>
      <c r="D5" s="2359"/>
      <c r="E5" s="2359"/>
      <c r="F5" s="2360"/>
      <c r="G5" s="1073"/>
      <c r="H5" s="1073"/>
    </row>
    <row r="6" spans="1:8" s="1074" customFormat="1" ht="41.25" customHeight="1" x14ac:dyDescent="0.2">
      <c r="A6" s="2352" t="s">
        <v>1691</v>
      </c>
      <c r="B6" s="2353"/>
      <c r="C6" s="2353"/>
      <c r="D6" s="2353"/>
      <c r="E6" s="2353"/>
      <c r="F6" s="2354"/>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5080861</v>
      </c>
      <c r="C8" s="1814">
        <f>'Acct Summary 7-8'!D8</f>
        <v>309062</v>
      </c>
      <c r="D8" s="1814">
        <f>'Acct Summary 7-8'!F8</f>
        <v>509622</v>
      </c>
      <c r="E8" s="1814">
        <f>'Acct Summary 7-8'!I8</f>
        <v>18</v>
      </c>
      <c r="F8" s="1814">
        <f>SUM(B8:E8)</f>
        <v>5899563</v>
      </c>
    </row>
    <row r="9" spans="1:8" s="1078" customFormat="1" ht="14.25" customHeight="1" thickBot="1" x14ac:dyDescent="0.25">
      <c r="A9" s="1077" t="s">
        <v>1369</v>
      </c>
      <c r="B9" s="1815">
        <f>'Acct Summary 7-8'!C17</f>
        <v>4831920</v>
      </c>
      <c r="C9" s="1815">
        <f>'Acct Summary 7-8'!D17</f>
        <v>313371</v>
      </c>
      <c r="D9" s="1815">
        <f>'Acct Summary 7-8'!F17</f>
        <v>656211</v>
      </c>
      <c r="E9" s="1814"/>
      <c r="F9" s="1814">
        <f>SUM(B9:E9)</f>
        <v>5801502</v>
      </c>
    </row>
    <row r="10" spans="1:8" s="1078" customFormat="1" ht="14.25" thickTop="1" thickBot="1" x14ac:dyDescent="0.25">
      <c r="A10" s="1079" t="s">
        <v>1370</v>
      </c>
      <c r="B10" s="1816">
        <f>(B8-B9)</f>
        <v>248941</v>
      </c>
      <c r="C10" s="1816">
        <f>(C8-C9)</f>
        <v>-4309</v>
      </c>
      <c r="D10" s="1816">
        <f>(D8-D9)</f>
        <v>-146589</v>
      </c>
      <c r="E10" s="1815">
        <f>(E8-E9)</f>
        <v>18</v>
      </c>
      <c r="F10" s="1817">
        <f>SUM(F8-F9)</f>
        <v>98061</v>
      </c>
    </row>
    <row r="11" spans="1:8" s="1078" customFormat="1" ht="14.25" thickTop="1" thickBot="1" x14ac:dyDescent="0.25">
      <c r="A11" s="1080" t="s">
        <v>1985</v>
      </c>
      <c r="B11" s="1818">
        <f>'Acct Summary 7-8'!C81</f>
        <v>2319278</v>
      </c>
      <c r="C11" s="1818">
        <f>'Acct Summary 7-8'!D81</f>
        <v>371223</v>
      </c>
      <c r="D11" s="1818">
        <f>'Acct Summary 7-8'!F81</f>
        <v>3456</v>
      </c>
      <c r="E11" s="1818">
        <f>'Acct Summary 7-8'!I81</f>
        <v>32760</v>
      </c>
      <c r="F11" s="1819">
        <f>SUM(B11:E11)</f>
        <v>2726717</v>
      </c>
    </row>
    <row r="12" spans="1:8" ht="16.5" customHeight="1" thickTop="1" x14ac:dyDescent="0.2">
      <c r="A12" s="1081"/>
      <c r="B12" s="1082"/>
      <c r="C12" s="2340" t="str">
        <f>IF(AND(F10&lt;0,F11&gt;=0,ABS(F10*3)&gt;ABS(F11)),A16,IF(AND(F10&lt;0,F11&gt;0,ABS(F10*3)&lt;=ABS(F11)),A17,IF(AND(F10&lt;0,F11&lt;0),A16,IF(F11=0,A19,A18))))</f>
        <v>Balanced - no deficit reduction plan is required.</v>
      </c>
      <c r="D12" s="2341"/>
      <c r="E12" s="2341"/>
      <c r="F12" s="2342"/>
    </row>
    <row r="13" spans="1:8" ht="19.5" customHeight="1" x14ac:dyDescent="0.2">
      <c r="A13" s="1083"/>
      <c r="B13" s="1084"/>
      <c r="C13" s="2340"/>
      <c r="D13" s="2341"/>
      <c r="E13" s="2341"/>
      <c r="F13" s="2342"/>
      <c r="H13" s="1073"/>
    </row>
    <row r="14" spans="1:8" ht="19.5" customHeight="1" x14ac:dyDescent="0.2">
      <c r="A14" s="1083"/>
      <c r="B14" s="1084"/>
      <c r="C14" s="2340"/>
      <c r="D14" s="2341"/>
      <c r="E14" s="2341"/>
      <c r="F14" s="2342"/>
      <c r="H14" s="1073"/>
    </row>
    <row r="15" spans="1:8" ht="17.25" customHeight="1" x14ac:dyDescent="0.2">
      <c r="A15" s="1083"/>
      <c r="B15" s="1084"/>
      <c r="C15" s="2343"/>
      <c r="D15" s="2344"/>
      <c r="E15" s="2344"/>
      <c r="F15" s="2345"/>
      <c r="H15" s="1073"/>
    </row>
    <row r="16" spans="1:8" s="310" customFormat="1" ht="51.75" hidden="1" customHeight="1" x14ac:dyDescent="0.2">
      <c r="A16" s="2339" t="s">
        <v>1687</v>
      </c>
      <c r="B16" s="2339"/>
      <c r="C16" s="2339"/>
      <c r="D16" s="2339"/>
      <c r="E16" s="2339"/>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9" colorId="8" zoomScale="110" zoomScaleNormal="110" workbookViewId="0">
      <selection activeCell="D79" sqref="D7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1" t="s">
        <v>665</v>
      </c>
      <c r="B3" s="2362"/>
      <c r="C3" s="2362"/>
      <c r="D3" s="2363"/>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2" t="s">
        <v>1504</v>
      </c>
      <c r="D7" s="2373"/>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6" t="s">
        <v>314</v>
      </c>
      <c r="D21" s="2377"/>
    </row>
    <row r="22" spans="1:10" ht="12.75" x14ac:dyDescent="0.2">
      <c r="A22" s="1138"/>
      <c r="B22" s="1139">
        <v>2</v>
      </c>
      <c r="C22" s="2374" t="s">
        <v>1524</v>
      </c>
      <c r="D22" s="2375"/>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8" t="s">
        <v>536</v>
      </c>
      <c r="D43" s="2379"/>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0" t="s">
        <v>784</v>
      </c>
      <c r="D56" s="2371"/>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70" t="s">
        <v>1696</v>
      </c>
      <c r="D70" s="2371"/>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56099088002</v>
      </c>
    </row>
    <row r="3" spans="1:2" x14ac:dyDescent="0.2">
      <c r="A3" t="s">
        <v>956</v>
      </c>
      <c r="B3" s="138" t="str">
        <f>COVER!A15</f>
        <v>WILL</v>
      </c>
    </row>
    <row r="4" spans="1:2" x14ac:dyDescent="0.2">
      <c r="A4" t="s">
        <v>1007</v>
      </c>
      <c r="B4" s="138" t="str">
        <f>COVER!A17</f>
        <v>Chaney-Monge SD 88</v>
      </c>
    </row>
    <row r="5" spans="1:2" x14ac:dyDescent="0.2">
      <c r="A5" t="s">
        <v>704</v>
      </c>
      <c r="B5" s="138" t="str">
        <f>COVER!A38</f>
        <v>ANDY SIEGFRIED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066-003328</v>
      </c>
    </row>
    <row r="16" spans="1:2" x14ac:dyDescent="0.2">
      <c r="A16" t="s">
        <v>422</v>
      </c>
      <c r="B16" s="138" t="str">
        <f>COVER!T13</f>
        <v xml:space="preserve">MUELLER &amp; CO., LLP </v>
      </c>
    </row>
    <row r="17" spans="1:2" x14ac:dyDescent="0.2">
      <c r="A17" t="s">
        <v>884</v>
      </c>
      <c r="B17" s="138" t="str">
        <f>COVER!T15</f>
        <v xml:space="preserve">EDWARD MCCORMICK </v>
      </c>
    </row>
    <row r="18" spans="1:2" x14ac:dyDescent="0.2">
      <c r="A18" t="s">
        <v>1150</v>
      </c>
      <c r="B18" s="138" t="str">
        <f>COVER!T17</f>
        <v xml:space="preserve">14300 RAVINIA AVE. </v>
      </c>
    </row>
    <row r="19" spans="1:2" x14ac:dyDescent="0.2">
      <c r="A19" t="s">
        <v>886</v>
      </c>
      <c r="B19" s="138" t="str">
        <f>COVER!T25</f>
        <v>emccormick@muellercpa.com</v>
      </c>
    </row>
    <row r="20" spans="1:2" x14ac:dyDescent="0.2">
      <c r="A20" t="s">
        <v>887</v>
      </c>
      <c r="B20" s="138" t="str">
        <f>COVER!T19</f>
        <v xml:space="preserve">ORLAND PARK </v>
      </c>
    </row>
    <row r="21" spans="1:2" x14ac:dyDescent="0.2">
      <c r="A21" t="s">
        <v>479</v>
      </c>
      <c r="B21" s="138" t="str">
        <f>COVER!X19</f>
        <v>IL</v>
      </c>
    </row>
    <row r="22" spans="1:2" x14ac:dyDescent="0.2">
      <c r="A22" t="s">
        <v>888</v>
      </c>
      <c r="B22" s="138">
        <f>COVER!Z19</f>
        <v>60462</v>
      </c>
    </row>
    <row r="23" spans="1:2" x14ac:dyDescent="0.2">
      <c r="A23" t="s">
        <v>1152</v>
      </c>
      <c r="B23" s="138" t="str">
        <f>COVER!T21</f>
        <v>708-349-6999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2319278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2319278</v>
      </c>
      <c r="D92" s="2" t="str">
        <f t="shared" si="0"/>
        <v>Error?</v>
      </c>
    </row>
    <row r="93" spans="1:4" x14ac:dyDescent="0.2">
      <c r="A93" s="5">
        <v>32</v>
      </c>
      <c r="B93" s="138">
        <f>'Assets-Liab 5-6'!C41</f>
        <v>2319278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371223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371223</v>
      </c>
      <c r="D123" s="2" t="str">
        <f t="shared" si="0"/>
        <v>Error?</v>
      </c>
    </row>
    <row r="124" spans="1:4" x14ac:dyDescent="0.2">
      <c r="A124" s="5">
        <v>63</v>
      </c>
      <c r="B124" s="138">
        <f>'Assets-Liab 5-6'!D41</f>
        <v>371223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139290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139290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3456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3456</v>
      </c>
      <c r="D170" s="2" t="str">
        <f t="shared" si="1"/>
        <v>Error?</v>
      </c>
    </row>
    <row r="171" spans="1:4" x14ac:dyDescent="0.2">
      <c r="A171" s="5">
        <v>110</v>
      </c>
      <c r="B171" s="138">
        <f>'Assets-Liab 5-6'!F41</f>
        <v>3456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87071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87071</v>
      </c>
      <c r="D189" s="2" t="str">
        <f t="shared" si="1"/>
        <v>Error?</v>
      </c>
    </row>
    <row r="190" spans="1:4" x14ac:dyDescent="0.2">
      <c r="A190" s="5">
        <v>129</v>
      </c>
      <c r="B190" s="138">
        <f>'Assets-Liab 5-6'!G41</f>
        <v>87071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2100606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1354</v>
      </c>
      <c r="D212" s="2" t="str">
        <f t="shared" si="2"/>
        <v>Error?</v>
      </c>
    </row>
    <row r="213" spans="1:4" x14ac:dyDescent="0.2">
      <c r="A213" s="12">
        <v>152</v>
      </c>
      <c r="B213" s="138">
        <f>'Assets-Liab 5-6'!H41</f>
        <v>2100606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44750</v>
      </c>
      <c r="D273" s="2" t="str">
        <f t="shared" si="3"/>
        <v>Error?</v>
      </c>
    </row>
    <row r="274" spans="1:4" x14ac:dyDescent="0.2">
      <c r="A274" s="5">
        <v>213</v>
      </c>
      <c r="B274" s="138">
        <f>'Assets-Liab 5-6'!M17</f>
        <v>2460911</v>
      </c>
      <c r="D274" s="2" t="str">
        <f t="shared" si="3"/>
        <v>Error?</v>
      </c>
    </row>
    <row r="275" spans="1:4" x14ac:dyDescent="0.2">
      <c r="A275" s="5">
        <v>214</v>
      </c>
      <c r="B275" s="138">
        <f>'Assets-Liab 5-6'!M18</f>
        <v>2530765</v>
      </c>
      <c r="D275" s="2" t="str">
        <f t="shared" si="3"/>
        <v>Error?</v>
      </c>
    </row>
    <row r="276" spans="1:4" x14ac:dyDescent="0.2">
      <c r="A276" s="5">
        <v>215</v>
      </c>
      <c r="B276" s="138">
        <f>'Assets-Liab 5-6'!M19</f>
        <v>1344498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6380924</v>
      </c>
      <c r="C279" s="2" t="s">
        <v>573</v>
      </c>
      <c r="D279" s="2" t="str">
        <f t="shared" si="3"/>
        <v>Error?</v>
      </c>
    </row>
    <row r="280" spans="1:4" x14ac:dyDescent="0.2">
      <c r="A280" s="5">
        <v>219</v>
      </c>
      <c r="B280" s="138">
        <f>'Assets-Liab 5-6'!M40</f>
        <v>6380924</v>
      </c>
      <c r="D280" s="2" t="str">
        <f t="shared" si="3"/>
        <v>Error?</v>
      </c>
    </row>
    <row r="281" spans="1:4" x14ac:dyDescent="0.2">
      <c r="A281" s="5">
        <v>220</v>
      </c>
      <c r="B281" s="138">
        <f>'Assets-Liab 5-6'!M41</f>
        <v>6380924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3110000</v>
      </c>
      <c r="D283" s="2" t="str">
        <f t="shared" si="3"/>
        <v>Error?</v>
      </c>
    </row>
    <row r="284" spans="1:4" x14ac:dyDescent="0.2">
      <c r="A284" s="5">
        <v>223</v>
      </c>
      <c r="B284" s="138">
        <f>'Assets-Liab 5-6'!N23</f>
        <v>3110000</v>
      </c>
      <c r="C284" s="2" t="s">
        <v>573</v>
      </c>
      <c r="D284" s="2" t="str">
        <f t="shared" si="3"/>
        <v>Error?</v>
      </c>
    </row>
    <row r="285" spans="1:4" x14ac:dyDescent="0.2">
      <c r="A285" s="5">
        <v>224</v>
      </c>
      <c r="B285" s="138">
        <f>'Assets-Liab 5-6'!N36</f>
        <v>3110000</v>
      </c>
      <c r="D285" s="2" t="str">
        <f t="shared" si="3"/>
        <v>Error?</v>
      </c>
    </row>
    <row r="286" spans="1:4" x14ac:dyDescent="0.2">
      <c r="A286" s="10">
        <v>225</v>
      </c>
      <c r="D286" s="2" t="str">
        <f t="shared" si="3"/>
        <v>OK</v>
      </c>
    </row>
    <row r="287" spans="1:4" x14ac:dyDescent="0.2">
      <c r="A287" s="5">
        <v>226</v>
      </c>
      <c r="B287" s="138">
        <f>'Assets-Liab 5-6'!N37</f>
        <v>3110000</v>
      </c>
      <c r="C287" s="2" t="s">
        <v>573</v>
      </c>
      <c r="D287" s="2" t="str">
        <f t="shared" si="3"/>
        <v>Error?</v>
      </c>
    </row>
    <row r="288" spans="1:4" x14ac:dyDescent="0.2">
      <c r="A288" s="5">
        <v>227</v>
      </c>
      <c r="B288" s="138">
        <f>'Assets-Liab 5-6'!N41</f>
        <v>3110000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1320999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54441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1987507</v>
      </c>
      <c r="C720" s="2" t="s">
        <v>573</v>
      </c>
      <c r="D720" s="2" t="str">
        <f t="shared" si="10"/>
        <v>Error?</v>
      </c>
    </row>
    <row r="721" spans="1:4" x14ac:dyDescent="0.2">
      <c r="A721" s="5">
        <v>660</v>
      </c>
      <c r="B721" s="138">
        <f>'Expenditures 15-22'!C36</f>
        <v>75971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31056</v>
      </c>
      <c r="D723" s="2" t="str">
        <f t="shared" si="10"/>
        <v>Error?</v>
      </c>
    </row>
    <row r="724" spans="1:4" x14ac:dyDescent="0.2">
      <c r="A724" s="5">
        <v>663</v>
      </c>
      <c r="B724" s="138">
        <f>'Expenditures 15-22'!C39</f>
        <v>31000</v>
      </c>
      <c r="D724" s="2" t="str">
        <f t="shared" si="10"/>
        <v>Error?</v>
      </c>
    </row>
    <row r="725" spans="1:4" x14ac:dyDescent="0.2">
      <c r="A725" s="5">
        <v>664</v>
      </c>
      <c r="B725" s="138">
        <f>'Expenditures 15-22'!C40</f>
        <v>107143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245170</v>
      </c>
      <c r="C727" s="2" t="s">
        <v>573</v>
      </c>
      <c r="D727" s="2" t="str">
        <f t="shared" si="10"/>
        <v>Error?</v>
      </c>
    </row>
    <row r="728" spans="1:4" x14ac:dyDescent="0.2">
      <c r="A728" s="5">
        <v>667</v>
      </c>
      <c r="B728" s="138">
        <f>'Expenditures 15-22'!C44</f>
        <v>32171</v>
      </c>
      <c r="D728" s="2" t="str">
        <f t="shared" si="10"/>
        <v>Error?</v>
      </c>
    </row>
    <row r="729" spans="1:4" x14ac:dyDescent="0.2">
      <c r="A729" s="5">
        <v>668</v>
      </c>
      <c r="B729" s="138">
        <f>'Expenditures 15-22'!C45</f>
        <v>15875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48046</v>
      </c>
      <c r="C731" s="2" t="s">
        <v>573</v>
      </c>
      <c r="D731" s="2" t="str">
        <f t="shared" si="10"/>
        <v>Error?</v>
      </c>
    </row>
    <row r="732" spans="1:4" x14ac:dyDescent="0.2">
      <c r="A732" s="5">
        <v>671</v>
      </c>
      <c r="B732" s="138">
        <f>'Expenditures 15-22'!C49</f>
        <v>4100</v>
      </c>
      <c r="D732" s="2" t="str">
        <f t="shared" si="10"/>
        <v>Error?</v>
      </c>
    </row>
    <row r="733" spans="1:4" x14ac:dyDescent="0.2">
      <c r="A733" s="5">
        <v>672</v>
      </c>
      <c r="B733" s="138">
        <f>'Expenditures 15-22'!C50</f>
        <v>148057</v>
      </c>
      <c r="D733" s="2" t="str">
        <f t="shared" si="10"/>
        <v>Error?</v>
      </c>
    </row>
    <row r="734" spans="1:4" x14ac:dyDescent="0.2">
      <c r="A734" s="5">
        <v>673</v>
      </c>
      <c r="B734" s="138">
        <f>'Expenditures 15-22'!C53</f>
        <v>152157</v>
      </c>
      <c r="C734" s="2" t="s">
        <v>573</v>
      </c>
      <c r="D734" s="2" t="str">
        <f t="shared" si="10"/>
        <v>Error?</v>
      </c>
    </row>
    <row r="735" spans="1:4" x14ac:dyDescent="0.2">
      <c r="A735" s="5">
        <v>674</v>
      </c>
      <c r="B735" s="138">
        <f>'Expenditures 15-22'!C55</f>
        <v>223343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223343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75213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47300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122513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791229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2778736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188440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264783</v>
      </c>
      <c r="C778" s="2" t="s">
        <v>573</v>
      </c>
      <c r="D778" s="2" t="str">
        <f t="shared" si="11"/>
        <v>Error?</v>
      </c>
    </row>
    <row r="779" spans="1:4" x14ac:dyDescent="0.2">
      <c r="A779" s="5">
        <v>718</v>
      </c>
      <c r="B779" s="138">
        <f>'Expenditures 15-22'!D36</f>
        <v>9323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9323</v>
      </c>
      <c r="C785" s="2" t="s">
        <v>573</v>
      </c>
      <c r="D785" s="2" t="str">
        <f t="shared" si="11"/>
        <v>Error?</v>
      </c>
    </row>
    <row r="786" spans="1:4" x14ac:dyDescent="0.2">
      <c r="A786" s="5">
        <v>725</v>
      </c>
      <c r="B786" s="138">
        <f>'Expenditures 15-22'!D44</f>
        <v>591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591</v>
      </c>
      <c r="C789" s="2" t="s">
        <v>573</v>
      </c>
      <c r="D789" s="2" t="str">
        <f t="shared" si="11"/>
        <v>Error?</v>
      </c>
    </row>
    <row r="790" spans="1:4" x14ac:dyDescent="0.2">
      <c r="A790" s="5">
        <v>729</v>
      </c>
      <c r="B790" s="138">
        <f>'Expenditures 15-22'!D49</f>
        <v>114</v>
      </c>
      <c r="D790" s="2" t="str">
        <f t="shared" si="11"/>
        <v>Error?</v>
      </c>
    </row>
    <row r="791" spans="1:4" x14ac:dyDescent="0.2">
      <c r="A791" s="5">
        <v>730</v>
      </c>
      <c r="B791" s="138">
        <f>'Expenditures 15-22'!D50</f>
        <v>107</v>
      </c>
      <c r="D791" s="2" t="str">
        <f t="shared" si="11"/>
        <v>Error?</v>
      </c>
    </row>
    <row r="792" spans="1:4" x14ac:dyDescent="0.2">
      <c r="A792" s="5">
        <v>731</v>
      </c>
      <c r="B792" s="138">
        <f>'Expenditures 15-22'!D53</f>
        <v>221</v>
      </c>
      <c r="C792" s="2" t="s">
        <v>573</v>
      </c>
      <c r="D792" s="2" t="str">
        <f t="shared" si="11"/>
        <v>Error?</v>
      </c>
    </row>
    <row r="793" spans="1:4" x14ac:dyDescent="0.2">
      <c r="A793" s="5">
        <v>732</v>
      </c>
      <c r="B793" s="138">
        <f>'Expenditures 15-22'!D55</f>
        <v>41655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41655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13096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13096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64886</v>
      </c>
      <c r="C813" s="2" t="s">
        <v>573</v>
      </c>
      <c r="D813" s="2" t="str">
        <f t="shared" si="11"/>
        <v>Error?</v>
      </c>
    </row>
    <row r="814" spans="1:4" x14ac:dyDescent="0.2">
      <c r="A814" s="5">
        <v>753</v>
      </c>
      <c r="B814" s="138">
        <f>'Expenditures 15-22'!D75</f>
        <v>92</v>
      </c>
      <c r="D814" s="2" t="str">
        <f t="shared" si="11"/>
        <v>Error?</v>
      </c>
    </row>
    <row r="815" spans="1:4" x14ac:dyDescent="0.2">
      <c r="A815" s="5">
        <v>754</v>
      </c>
      <c r="B815" s="138">
        <f>'Expenditures 15-22'!D114</f>
        <v>329761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530183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1673</v>
      </c>
      <c r="D839" s="2" t="str">
        <f t="shared" si="12"/>
        <v>Error?</v>
      </c>
    </row>
    <row r="840" spans="1:4" x14ac:dyDescent="0.2">
      <c r="A840" s="5">
        <v>779</v>
      </c>
      <c r="B840" s="138">
        <f>'Expenditures 15-22'!E39</f>
        <v>10332</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12005</v>
      </c>
      <c r="C843" s="2" t="s">
        <v>573</v>
      </c>
      <c r="D843" s="2" t="str">
        <f t="shared" si="12"/>
        <v>Error?</v>
      </c>
    </row>
    <row r="844" spans="1:4" x14ac:dyDescent="0.2">
      <c r="A844" s="5">
        <v>783</v>
      </c>
      <c r="B844" s="138">
        <f>'Expenditures 15-22'!E44</f>
        <v>14905</v>
      </c>
      <c r="D844" s="2" t="str">
        <f t="shared" si="12"/>
        <v>Error?</v>
      </c>
    </row>
    <row r="845" spans="1:4" x14ac:dyDescent="0.2">
      <c r="A845" s="5">
        <v>784</v>
      </c>
      <c r="B845" s="138">
        <f>'Expenditures 15-22'!E45</f>
        <v>10099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25004</v>
      </c>
      <c r="C847" s="2" t="s">
        <v>573</v>
      </c>
      <c r="D847" s="2" t="str">
        <f t="shared" si="12"/>
        <v>Error?</v>
      </c>
    </row>
    <row r="848" spans="1:4" x14ac:dyDescent="0.2">
      <c r="A848" s="5">
        <v>787</v>
      </c>
      <c r="B848" s="138">
        <f>'Expenditures 15-22'!E49</f>
        <v>50768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50768</v>
      </c>
      <c r="C850" s="2" t="s">
        <v>573</v>
      </c>
      <c r="D850" s="2" t="str">
        <f t="shared" si="12"/>
        <v>Error?</v>
      </c>
    </row>
    <row r="851" spans="1:4" x14ac:dyDescent="0.2">
      <c r="A851" s="5">
        <v>790</v>
      </c>
      <c r="B851" s="138">
        <f>'Expenditures 15-22'!E55</f>
        <v>15214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15214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102991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1054014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131012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156221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2248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2248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35582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35582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307337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307556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50</v>
      </c>
      <c r="D928" s="2" t="str">
        <f t="shared" si="13"/>
        <v>Error?</v>
      </c>
    </row>
    <row r="929" spans="1:4" x14ac:dyDescent="0.2">
      <c r="A929" s="5">
        <v>868</v>
      </c>
      <c r="B929" s="138">
        <f>'Expenditures 15-22'!F74</f>
        <v>346652</v>
      </c>
      <c r="C929" s="2" t="s">
        <v>573</v>
      </c>
      <c r="D929" s="2" t="str">
        <f t="shared" si="13"/>
        <v>Error?</v>
      </c>
    </row>
    <row r="930" spans="1:4" x14ac:dyDescent="0.2">
      <c r="A930" s="5">
        <v>869</v>
      </c>
      <c r="B930" s="138">
        <f>'Expenditures 15-22'!F75</f>
        <v>2164</v>
      </c>
      <c r="D930" s="2" t="str">
        <f t="shared" si="13"/>
        <v>Error?</v>
      </c>
    </row>
    <row r="931" spans="1:4" x14ac:dyDescent="0.2">
      <c r="A931" s="5">
        <v>870</v>
      </c>
      <c r="B931" s="138">
        <f>'Expenditures 15-22'!F114</f>
        <v>505037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112240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130013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6070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6070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6070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136083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28289</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28289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28289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28289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1752691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54441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3068707</v>
      </c>
      <c r="C1108" s="2" t="s">
        <v>573</v>
      </c>
      <c r="D1108" s="2" t="str">
        <f t="shared" si="16"/>
        <v>Error?</v>
      </c>
    </row>
    <row r="1109" spans="1:4" x14ac:dyDescent="0.2">
      <c r="A1109" s="5">
        <v>1048</v>
      </c>
      <c r="B1109" s="138">
        <f>'Expenditures 15-22'!K36</f>
        <v>85294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33945</v>
      </c>
      <c r="C1111" s="2" t="s">
        <v>573</v>
      </c>
      <c r="D1111" s="2" t="str">
        <f t="shared" si="16"/>
        <v>Error?</v>
      </c>
    </row>
    <row r="1112" spans="1:4" x14ac:dyDescent="0.2">
      <c r="A1112" s="5">
        <v>1051</v>
      </c>
      <c r="B1112" s="138">
        <f>'Expenditures 15-22'!K39</f>
        <v>41332</v>
      </c>
      <c r="C1112" s="2" t="s">
        <v>573</v>
      </c>
      <c r="D1112" s="2" t="str">
        <f t="shared" si="16"/>
        <v>Error?</v>
      </c>
    </row>
    <row r="1113" spans="1:4" x14ac:dyDescent="0.2">
      <c r="A1113" s="5">
        <v>1052</v>
      </c>
      <c r="B1113" s="138">
        <f>'Expenditures 15-22'!K40</f>
        <v>107143</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267714</v>
      </c>
      <c r="C1115" s="2" t="s">
        <v>573</v>
      </c>
      <c r="D1115" s="2" t="str">
        <f t="shared" si="16"/>
        <v>Error?</v>
      </c>
    </row>
    <row r="1116" spans="1:4" x14ac:dyDescent="0.2">
      <c r="A1116" s="5">
        <v>1055</v>
      </c>
      <c r="B1116" s="138">
        <f>'Expenditures 15-22'!K44</f>
        <v>47667</v>
      </c>
      <c r="C1116" s="2" t="s">
        <v>573</v>
      </c>
      <c r="D1116" s="2" t="str">
        <f t="shared" si="16"/>
        <v>Error?</v>
      </c>
    </row>
    <row r="1117" spans="1:4" x14ac:dyDescent="0.2">
      <c r="A1117" s="5">
        <v>1056</v>
      </c>
      <c r="B1117" s="138">
        <f>'Expenditures 15-22'!K45</f>
        <v>28222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75889</v>
      </c>
      <c r="C1119" s="2" t="s">
        <v>573</v>
      </c>
      <c r="D1119" s="2" t="str">
        <f t="shared" si="16"/>
        <v>Error?</v>
      </c>
    </row>
    <row r="1120" spans="1:4" x14ac:dyDescent="0.2">
      <c r="A1120" s="5">
        <v>1059</v>
      </c>
      <c r="B1120" s="138">
        <f>'Expenditures 15-22'!K49</f>
        <v>83271</v>
      </c>
      <c r="C1120" s="2" t="s">
        <v>573</v>
      </c>
      <c r="D1120" s="2" t="str">
        <f t="shared" si="16"/>
        <v>Error?</v>
      </c>
    </row>
    <row r="1121" spans="1:4" x14ac:dyDescent="0.2">
      <c r="A1121" s="5">
        <v>1060</v>
      </c>
      <c r="B1121" s="138">
        <f>'Expenditures 15-22'!K50</f>
        <v>148164</v>
      </c>
      <c r="C1121" s="2" t="s">
        <v>573</v>
      </c>
      <c r="D1121" s="2" t="str">
        <f t="shared" si="16"/>
        <v>Error?</v>
      </c>
    </row>
    <row r="1122" spans="1:4" x14ac:dyDescent="0.2">
      <c r="A1122" s="5">
        <v>1061</v>
      </c>
      <c r="B1122" s="138">
        <f>'Expenditures 15-22'!K53</f>
        <v>231435</v>
      </c>
      <c r="C1122" s="2" t="s">
        <v>573</v>
      </c>
      <c r="D1122" s="2" t="str">
        <f t="shared" si="16"/>
        <v>Error?</v>
      </c>
    </row>
    <row r="1123" spans="1:4" x14ac:dyDescent="0.2">
      <c r="A1123" s="5">
        <v>1062</v>
      </c>
      <c r="B1123" s="138">
        <f>'Expenditures 15-22'!K55</f>
        <v>315794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315794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88528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360707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449235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50</v>
      </c>
      <c r="C1142" s="2" t="s">
        <v>573</v>
      </c>
      <c r="D1142" s="2" t="str">
        <f t="shared" si="16"/>
        <v>Error?</v>
      </c>
    </row>
    <row r="1143" spans="1:4" x14ac:dyDescent="0.2">
      <c r="A1143" s="5">
        <v>1082</v>
      </c>
      <c r="B1143" s="138">
        <f>'Expenditures 15-22'!K74</f>
        <v>1340117</v>
      </c>
      <c r="C1143" s="2" t="s">
        <v>573</v>
      </c>
      <c r="D1143" s="2" t="str">
        <f t="shared" si="16"/>
        <v>Error?</v>
      </c>
    </row>
    <row r="1144" spans="1:4" x14ac:dyDescent="0.2">
      <c r="A1144" s="5">
        <v>1083</v>
      </c>
      <c r="B1144" s="138">
        <f>'Expenditures 15-22'!K75</f>
        <v>2256</v>
      </c>
      <c r="C1144" s="2" t="s">
        <v>573</v>
      </c>
      <c r="D1144" s="2" t="str">
        <f t="shared" si="16"/>
        <v>Error?</v>
      </c>
    </row>
    <row r="1145" spans="1:4" x14ac:dyDescent="0.2">
      <c r="A1145" s="5">
        <v>1084</v>
      </c>
      <c r="B1145" s="138">
        <f>'Expenditures 15-22'!K102</f>
        <v>420840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4831920</v>
      </c>
      <c r="C1152" s="2" t="s">
        <v>573</v>
      </c>
      <c r="D1152" s="2" t="str">
        <f t="shared" si="17"/>
        <v>Error?</v>
      </c>
    </row>
    <row r="1153" spans="1:4" x14ac:dyDescent="0.2">
      <c r="A1153" s="5">
        <v>1092</v>
      </c>
      <c r="B1153" s="138">
        <f>'Expenditures 15-22'!K115</f>
        <v>248941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85116</v>
      </c>
      <c r="D1221" s="2" t="str">
        <f t="shared" si="18"/>
        <v>Error?</v>
      </c>
    </row>
    <row r="1222" spans="1:4" x14ac:dyDescent="0.2">
      <c r="A1222" s="10">
        <v>1161</v>
      </c>
      <c r="D1222" s="2" t="str">
        <f t="shared" si="18"/>
        <v>OK</v>
      </c>
    </row>
    <row r="1223" spans="1:4" x14ac:dyDescent="0.2">
      <c r="A1223" s="5">
        <v>1162</v>
      </c>
      <c r="B1223" s="138">
        <f>'Expenditures 15-22'!C127</f>
        <v>85116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85116</v>
      </c>
      <c r="C1225" s="2" t="s">
        <v>573</v>
      </c>
      <c r="D1225" s="2" t="str">
        <f t="shared" si="18"/>
        <v>Error?</v>
      </c>
    </row>
    <row r="1226" spans="1:4" x14ac:dyDescent="0.2">
      <c r="A1226" s="5">
        <v>1165</v>
      </c>
      <c r="B1226" s="138">
        <f>'Expenditures 15-22'!C151</f>
        <v>85116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10116</v>
      </c>
      <c r="D1229" s="2" t="str">
        <f t="shared" si="18"/>
        <v>Error?</v>
      </c>
    </row>
    <row r="1230" spans="1:4" x14ac:dyDescent="0.2">
      <c r="A1230" s="10">
        <v>1169</v>
      </c>
      <c r="D1230" s="2" t="str">
        <f t="shared" si="18"/>
        <v>OK</v>
      </c>
    </row>
    <row r="1231" spans="1:4" x14ac:dyDescent="0.2">
      <c r="A1231" s="5">
        <v>1170</v>
      </c>
      <c r="B1231" s="138">
        <f>'Expenditures 15-22'!D127</f>
        <v>10116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10116</v>
      </c>
      <c r="C1233" s="2" t="s">
        <v>573</v>
      </c>
      <c r="D1233" s="2" t="str">
        <f t="shared" si="18"/>
        <v>Error?</v>
      </c>
    </row>
    <row r="1234" spans="1:4" x14ac:dyDescent="0.2">
      <c r="A1234" s="5">
        <v>1173</v>
      </c>
      <c r="B1234" s="138">
        <f>'Expenditures 15-22'!D151</f>
        <v>10116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93346</v>
      </c>
      <c r="D1237" s="2" t="str">
        <f t="shared" si="18"/>
        <v>Error?</v>
      </c>
    </row>
    <row r="1238" spans="1:4" x14ac:dyDescent="0.2">
      <c r="A1238" s="10">
        <v>1177</v>
      </c>
      <c r="D1238" s="2" t="str">
        <f t="shared" si="18"/>
        <v>OK</v>
      </c>
    </row>
    <row r="1239" spans="1:4" x14ac:dyDescent="0.2">
      <c r="A1239" s="5">
        <v>1178</v>
      </c>
      <c r="B1239" s="138">
        <f>'Expenditures 15-22'!E127</f>
        <v>93346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93346</v>
      </c>
      <c r="C1241" s="2" t="s">
        <v>573</v>
      </c>
      <c r="D1241" s="2" t="str">
        <f t="shared" si="18"/>
        <v>Error?</v>
      </c>
    </row>
    <row r="1242" spans="1:4" x14ac:dyDescent="0.2">
      <c r="A1242" s="5">
        <v>1181</v>
      </c>
      <c r="B1242" s="138">
        <f>'Expenditures 15-22'!E151</f>
        <v>93346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53316</v>
      </c>
      <c r="D1245" s="2" t="str">
        <f t="shared" si="18"/>
        <v>Error?</v>
      </c>
    </row>
    <row r="1246" spans="1:4" x14ac:dyDescent="0.2">
      <c r="A1246" s="10">
        <v>1185</v>
      </c>
      <c r="D1246" s="2" t="str">
        <f t="shared" si="18"/>
        <v>OK</v>
      </c>
    </row>
    <row r="1247" spans="1:4" x14ac:dyDescent="0.2">
      <c r="A1247" s="5">
        <v>1186</v>
      </c>
      <c r="B1247" s="138">
        <f>'Expenditures 15-22'!F127</f>
        <v>53316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53316</v>
      </c>
      <c r="C1249" s="2" t="s">
        <v>573</v>
      </c>
      <c r="D1249" s="2" t="str">
        <f t="shared" si="18"/>
        <v>Error?</v>
      </c>
    </row>
    <row r="1250" spans="1:4" x14ac:dyDescent="0.2">
      <c r="A1250" s="5">
        <v>1189</v>
      </c>
      <c r="B1250" s="138">
        <f>'Expenditures 15-22'!F151</f>
        <v>53316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71477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71477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71477</v>
      </c>
      <c r="C1258" s="2" t="s">
        <v>573</v>
      </c>
      <c r="D1258" s="2" t="str">
        <f t="shared" si="18"/>
        <v>Error?</v>
      </c>
    </row>
    <row r="1259" spans="1:4" x14ac:dyDescent="0.2">
      <c r="A1259" s="5">
        <v>1198</v>
      </c>
      <c r="B1259" s="138">
        <f>'Expenditures 15-22'!G151</f>
        <v>71477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313371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313371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313371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313371</v>
      </c>
      <c r="C1288" s="2" t="s">
        <v>573</v>
      </c>
      <c r="D1288" s="2" t="str">
        <f t="shared" si="19"/>
        <v>Error?</v>
      </c>
    </row>
    <row r="1289" spans="1:4" x14ac:dyDescent="0.2">
      <c r="A1289" s="5">
        <v>1228</v>
      </c>
      <c r="B1289" s="138">
        <f>'Expenditures 15-22'!K152</f>
        <v>-4309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178904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89000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267904</v>
      </c>
      <c r="C1317" s="2" t="s">
        <v>573</v>
      </c>
      <c r="D1317" s="2" t="str">
        <f t="shared" si="19"/>
        <v>Error?</v>
      </c>
    </row>
    <row r="1318" spans="1:4" x14ac:dyDescent="0.2">
      <c r="A1318" s="5">
        <v>1257</v>
      </c>
      <c r="B1318" s="138">
        <f>'Expenditures 15-22'!H174</f>
        <v>267904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178904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89000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267904</v>
      </c>
      <c r="C1331" s="2" t="s">
        <v>573</v>
      </c>
      <c r="D1331" s="2" t="str">
        <f t="shared" si="19"/>
        <v>Error?</v>
      </c>
    </row>
    <row r="1332" spans="1:4" x14ac:dyDescent="0.2">
      <c r="A1332" s="5">
        <v>1271</v>
      </c>
      <c r="B1332" s="138">
        <f>'Expenditures 15-22'!K174</f>
        <v>267904</v>
      </c>
      <c r="C1332" s="2" t="s">
        <v>573</v>
      </c>
      <c r="D1332" s="2" t="str">
        <f t="shared" si="19"/>
        <v>Error?</v>
      </c>
    </row>
    <row r="1333" spans="1:4" x14ac:dyDescent="0.2">
      <c r="A1333" s="5">
        <v>1272</v>
      </c>
      <c r="B1333" s="138">
        <f>'Expenditures 15-22'!K175</f>
        <v>6410</v>
      </c>
      <c r="C1333" s="2" t="s">
        <v>573</v>
      </c>
      <c r="D1333" s="2" t="str">
        <f t="shared" si="19"/>
        <v>Error?</v>
      </c>
    </row>
    <row r="1334" spans="1:4" x14ac:dyDescent="0.2">
      <c r="A1334" s="10">
        <v>1273</v>
      </c>
      <c r="D1334" s="2" t="str">
        <f t="shared" si="19"/>
        <v>OK</v>
      </c>
    </row>
    <row r="1335" spans="1:4" x14ac:dyDescent="0.2">
      <c r="A1335" s="5">
        <v>1274</v>
      </c>
      <c r="B1335" s="138">
        <f>'Expenditures 15-22'!C182</f>
        <v>18029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18029</v>
      </c>
      <c r="C1339" s="2" t="s">
        <v>573</v>
      </c>
      <c r="D1339" s="2" t="str">
        <f t="shared" si="19"/>
        <v>Error?</v>
      </c>
    </row>
    <row r="1340" spans="1:4" x14ac:dyDescent="0.2">
      <c r="A1340" s="5">
        <v>1279</v>
      </c>
      <c r="B1340" s="138">
        <f>'Expenditures 15-22'!C210</f>
        <v>18029</v>
      </c>
      <c r="C1340" s="2" t="s">
        <v>573</v>
      </c>
      <c r="D1340" s="2" t="str">
        <f t="shared" si="19"/>
        <v>Error?</v>
      </c>
    </row>
    <row r="1341" spans="1:4" x14ac:dyDescent="0.2">
      <c r="A1341" s="5">
        <v>1280</v>
      </c>
      <c r="B1341" s="138">
        <f>'Expenditures 15-22'!D182</f>
        <v>13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v>
      </c>
      <c r="C1345" s="2" t="s">
        <v>573</v>
      </c>
      <c r="D1345" s="2" t="str">
        <f t="shared" si="20"/>
        <v>Error?</v>
      </c>
    </row>
    <row r="1346" spans="1:4" x14ac:dyDescent="0.2">
      <c r="A1346" s="5">
        <v>1285</v>
      </c>
      <c r="B1346" s="138">
        <f>'Expenditures 15-22'!D210</f>
        <v>13</v>
      </c>
      <c r="C1346" s="2" t="s">
        <v>573</v>
      </c>
      <c r="D1346" s="2" t="str">
        <f t="shared" si="20"/>
        <v>Error?</v>
      </c>
    </row>
    <row r="1347" spans="1:4" x14ac:dyDescent="0.2">
      <c r="A1347" s="5">
        <v>1286</v>
      </c>
      <c r="B1347" s="138">
        <f>'Expenditures 15-22'!E182</f>
        <v>638169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638169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638169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656211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656211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656211</v>
      </c>
      <c r="C1388" s="2" t="s">
        <v>573</v>
      </c>
      <c r="D1388" s="2" t="str">
        <f t="shared" si="20"/>
        <v>Error?</v>
      </c>
    </row>
    <row r="1389" spans="1:4" x14ac:dyDescent="0.2">
      <c r="A1389" s="5">
        <v>1328</v>
      </c>
      <c r="B1389" s="138">
        <f>'Expenditures 15-22'!K211</f>
        <v>-146589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40363</v>
      </c>
      <c r="C1410" s="2" t="s">
        <v>573</v>
      </c>
      <c r="D1410" s="2" t="str">
        <f t="shared" si="21"/>
        <v>Error?</v>
      </c>
    </row>
    <row r="1411" spans="1:4" x14ac:dyDescent="0.2">
      <c r="A1411" s="5">
        <v>1350</v>
      </c>
      <c r="B1411" s="138">
        <f>'Expenditures 15-22'!D232</f>
        <v>1102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7207</v>
      </c>
      <c r="D1413" s="2" t="str">
        <f t="shared" si="21"/>
        <v>Error?</v>
      </c>
    </row>
    <row r="1414" spans="1:4" x14ac:dyDescent="0.2">
      <c r="A1414" s="5">
        <v>1353</v>
      </c>
      <c r="B1414" s="138">
        <f>'Expenditures 15-22'!D235</f>
        <v>599</v>
      </c>
      <c r="D1414" s="2" t="str">
        <f t="shared" si="21"/>
        <v>Error?</v>
      </c>
    </row>
    <row r="1415" spans="1:4" x14ac:dyDescent="0.2">
      <c r="A1415" s="5">
        <v>1354</v>
      </c>
      <c r="B1415" s="138">
        <f>'Expenditures 15-22'!D236</f>
        <v>1554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10462</v>
      </c>
      <c r="C1417" s="2" t="s">
        <v>573</v>
      </c>
      <c r="D1417" s="2" t="str">
        <f t="shared" si="21"/>
        <v>Error?</v>
      </c>
    </row>
    <row r="1418" spans="1:4" x14ac:dyDescent="0.2">
      <c r="A1418" s="5">
        <v>1357</v>
      </c>
      <c r="B1418" s="138">
        <f>'Expenditures 15-22'!D240</f>
        <v>58</v>
      </c>
      <c r="D1418" s="2" t="str">
        <f t="shared" si="21"/>
        <v>Error?</v>
      </c>
    </row>
    <row r="1419" spans="1:4" x14ac:dyDescent="0.2">
      <c r="A1419" s="5">
        <v>1358</v>
      </c>
      <c r="B1419" s="138">
        <f>'Expenditures 15-22'!D241</f>
        <v>3683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3741</v>
      </c>
      <c r="C1421" s="2" t="s">
        <v>573</v>
      </c>
      <c r="D1421" s="2" t="str">
        <f t="shared" si="21"/>
        <v>Error?</v>
      </c>
    </row>
    <row r="1422" spans="1:4" x14ac:dyDescent="0.2">
      <c r="A1422" s="5">
        <v>1361</v>
      </c>
      <c r="B1422" s="138">
        <f>'Expenditures 15-22'!D245</f>
        <v>952</v>
      </c>
      <c r="D1422" s="2" t="str">
        <f t="shared" si="21"/>
        <v>Error?</v>
      </c>
    </row>
    <row r="1423" spans="1:4" x14ac:dyDescent="0.2">
      <c r="A1423" s="5">
        <v>1362</v>
      </c>
      <c r="B1423" s="138">
        <f>'Expenditures 15-22'!D246</f>
        <v>2408</v>
      </c>
      <c r="D1423" s="2" t="str">
        <f t="shared" si="21"/>
        <v>Error?</v>
      </c>
    </row>
    <row r="1424" spans="1:4" x14ac:dyDescent="0.2">
      <c r="A1424" s="5">
        <v>1363</v>
      </c>
      <c r="B1424" s="138">
        <f>'Expenditures 15-22'!D257</f>
        <v>3360</v>
      </c>
      <c r="C1424" s="2" t="s">
        <v>573</v>
      </c>
      <c r="D1424" s="2" t="str">
        <f t="shared" si="21"/>
        <v>Error?</v>
      </c>
    </row>
    <row r="1425" spans="1:4" x14ac:dyDescent="0.2">
      <c r="A1425" s="5">
        <v>1364</v>
      </c>
      <c r="B1425" s="138">
        <f>'Expenditures 15-22'!D259</f>
        <v>15378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15378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17461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19265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7130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43856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76797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117160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789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40363</v>
      </c>
      <c r="C1474" s="2" t="s">
        <v>573</v>
      </c>
      <c r="D1474" s="2" t="str">
        <f t="shared" si="22"/>
        <v>Error?</v>
      </c>
    </row>
    <row r="1475" spans="1:4" x14ac:dyDescent="0.2">
      <c r="A1475" s="5">
        <v>1414</v>
      </c>
      <c r="B1475" s="138">
        <f>'Expenditures 15-22'!K232</f>
        <v>1102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7207</v>
      </c>
      <c r="C1477" s="2" t="s">
        <v>573</v>
      </c>
      <c r="D1477" s="2" t="str">
        <f t="shared" si="22"/>
        <v>Error?</v>
      </c>
    </row>
    <row r="1478" spans="1:4" x14ac:dyDescent="0.2">
      <c r="A1478" s="5">
        <v>1417</v>
      </c>
      <c r="B1478" s="138">
        <f>'Expenditures 15-22'!K235</f>
        <v>599</v>
      </c>
      <c r="C1478" s="2" t="s">
        <v>573</v>
      </c>
      <c r="D1478" s="2" t="str">
        <f t="shared" si="22"/>
        <v>Error?</v>
      </c>
    </row>
    <row r="1479" spans="1:4" x14ac:dyDescent="0.2">
      <c r="A1479" s="5">
        <v>1418</v>
      </c>
      <c r="B1479" s="138">
        <f>'Expenditures 15-22'!K236</f>
        <v>1554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10462</v>
      </c>
      <c r="C1481" s="2" t="s">
        <v>573</v>
      </c>
      <c r="D1481" s="2" t="str">
        <f t="shared" si="22"/>
        <v>Error?</v>
      </c>
    </row>
    <row r="1482" spans="1:4" x14ac:dyDescent="0.2">
      <c r="A1482" s="5">
        <v>1421</v>
      </c>
      <c r="B1482" s="138">
        <f>'Expenditures 15-22'!K240</f>
        <v>58</v>
      </c>
      <c r="C1482" s="2" t="s">
        <v>573</v>
      </c>
      <c r="D1482" s="2" t="str">
        <f t="shared" si="22"/>
        <v>Error?</v>
      </c>
    </row>
    <row r="1483" spans="1:4" x14ac:dyDescent="0.2">
      <c r="A1483" s="5">
        <v>1422</v>
      </c>
      <c r="B1483" s="138">
        <f>'Expenditures 15-22'!K241</f>
        <v>3683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3741</v>
      </c>
      <c r="C1485" s="2" t="s">
        <v>573</v>
      </c>
      <c r="D1485" s="2" t="str">
        <f t="shared" si="22"/>
        <v>Error?</v>
      </c>
    </row>
    <row r="1486" spans="1:4" x14ac:dyDescent="0.2">
      <c r="A1486" s="5">
        <v>1425</v>
      </c>
      <c r="B1486" s="138">
        <f>'Expenditures 15-22'!K245</f>
        <v>952</v>
      </c>
      <c r="C1486" s="2" t="s">
        <v>573</v>
      </c>
      <c r="D1486" s="2" t="str">
        <f t="shared" si="22"/>
        <v>Error?</v>
      </c>
    </row>
    <row r="1487" spans="1:4" x14ac:dyDescent="0.2">
      <c r="A1487" s="5">
        <v>1426</v>
      </c>
      <c r="B1487" s="138">
        <f>'Expenditures 15-22'!K246</f>
        <v>2408</v>
      </c>
      <c r="C1487" s="2" t="s">
        <v>573</v>
      </c>
      <c r="D1487" s="2" t="str">
        <f t="shared" si="22"/>
        <v>Error?</v>
      </c>
    </row>
    <row r="1488" spans="1:4" x14ac:dyDescent="0.2">
      <c r="A1488" s="5">
        <v>1427</v>
      </c>
      <c r="B1488" s="138">
        <f>'Expenditures 15-22'!K257</f>
        <v>3360</v>
      </c>
      <c r="C1488" s="2" t="s">
        <v>573</v>
      </c>
      <c r="D1488" s="2" t="str">
        <f t="shared" si="22"/>
        <v>Error?</v>
      </c>
    </row>
    <row r="1489" spans="1:4" x14ac:dyDescent="0.2">
      <c r="A1489" s="5">
        <v>1428</v>
      </c>
      <c r="B1489" s="138">
        <f>'Expenditures 15-22'!K259</f>
        <v>15378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15378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17461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19265</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7130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43856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76797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117160</v>
      </c>
      <c r="C1517" s="2" t="s">
        <v>573</v>
      </c>
      <c r="D1517" s="2" t="str">
        <f t="shared" si="22"/>
        <v>Error?</v>
      </c>
    </row>
    <row r="1518" spans="1:4" x14ac:dyDescent="0.2">
      <c r="A1518" s="5">
        <v>1457</v>
      </c>
      <c r="B1518" s="138">
        <f>'Expenditures 15-22'!K296</f>
        <v>-3233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751653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751653</v>
      </c>
      <c r="C1547" s="2" t="s">
        <v>573</v>
      </c>
      <c r="D1547" s="2" t="str">
        <f t="shared" si="23"/>
        <v>Error?</v>
      </c>
    </row>
    <row r="1548" spans="1:4" x14ac:dyDescent="0.2">
      <c r="A1548" s="5">
        <v>1487</v>
      </c>
      <c r="B1548" s="138">
        <f>'Expenditures 15-22'!G312</f>
        <v>751653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751653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751653</v>
      </c>
      <c r="C1559" s="2" t="s">
        <v>573</v>
      </c>
      <c r="D1559" s="2" t="str">
        <f t="shared" si="23"/>
        <v>Error?</v>
      </c>
    </row>
    <row r="1560" spans="1:4" x14ac:dyDescent="0.2">
      <c r="A1560" s="5">
        <v>1499</v>
      </c>
      <c r="B1560" s="138">
        <f>'Expenditures 15-22'!K312</f>
        <v>751653</v>
      </c>
      <c r="C1560" s="2" t="s">
        <v>573</v>
      </c>
      <c r="D1560" s="2" t="str">
        <f t="shared" si="23"/>
        <v>Error?</v>
      </c>
    </row>
    <row r="1561" spans="1:4" x14ac:dyDescent="0.2">
      <c r="A1561" s="5">
        <v>1500</v>
      </c>
      <c r="B1561" s="138">
        <f>'Expenditures 15-22'!K313</f>
        <v>-379024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2220337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2319278</v>
      </c>
      <c r="C1630" s="2" t="s">
        <v>573</v>
      </c>
      <c r="D1630" s="2" t="str">
        <f t="shared" si="24"/>
        <v>Error?</v>
      </c>
    </row>
    <row r="1631" spans="1:4" x14ac:dyDescent="0.2">
      <c r="A1631" s="5">
        <v>1570</v>
      </c>
      <c r="B1631" s="138">
        <f>'Acct Summary 7-8'!D79</f>
        <v>375532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371223</v>
      </c>
      <c r="C1644" s="2" t="s">
        <v>573</v>
      </c>
      <c r="D1644" s="2" t="str">
        <f t="shared" si="24"/>
        <v>Error?</v>
      </c>
    </row>
    <row r="1645" spans="1:4" x14ac:dyDescent="0.2">
      <c r="A1645" s="5">
        <v>1584</v>
      </c>
      <c r="B1645" s="138">
        <f>'Acct Summary 7-8'!E79</f>
        <v>132880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139290</v>
      </c>
      <c r="C1658" s="2" t="s">
        <v>573</v>
      </c>
      <c r="D1658" s="2" t="str">
        <f t="shared" si="24"/>
        <v>Error?</v>
      </c>
    </row>
    <row r="1659" spans="1:4" x14ac:dyDescent="0.2">
      <c r="A1659" s="5">
        <v>1598</v>
      </c>
      <c r="B1659" s="138">
        <f>'Acct Summary 7-8'!F79</f>
        <v>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3456</v>
      </c>
      <c r="C1672" s="2" t="s">
        <v>573</v>
      </c>
      <c r="D1672" s="2" t="str">
        <f t="shared" si="25"/>
        <v>Error?</v>
      </c>
    </row>
    <row r="1673" spans="1:4" x14ac:dyDescent="0.2">
      <c r="A1673" s="5">
        <v>1612</v>
      </c>
      <c r="B1673" s="138">
        <f>'Acct Summary 7-8'!G79</f>
        <v>90304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87071</v>
      </c>
      <c r="C1686" s="2" t="s">
        <v>573</v>
      </c>
      <c r="D1686" s="2" t="str">
        <f t="shared" si="25"/>
        <v>Error?</v>
      </c>
    </row>
    <row r="1687" spans="1:4" x14ac:dyDescent="0.2">
      <c r="A1687" s="5">
        <v>1626</v>
      </c>
      <c r="B1687" s="138">
        <f>'Acct Summary 7-8'!H79</f>
        <v>2479630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2100606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1386748</v>
      </c>
      <c r="C1744" s="2" t="s">
        <v>573</v>
      </c>
      <c r="D1744" s="2" t="str">
        <f t="shared" si="26"/>
        <v>Error?</v>
      </c>
    </row>
    <row r="1745" spans="1:5" x14ac:dyDescent="0.2">
      <c r="A1745" s="5">
        <v>1684</v>
      </c>
      <c r="B1745" s="138">
        <f>'Tax Sched 23'!B5</f>
        <v>267135</v>
      </c>
      <c r="C1745" s="2" t="s">
        <v>573</v>
      </c>
      <c r="D1745" s="2" t="str">
        <f t="shared" si="26"/>
        <v>Error?</v>
      </c>
    </row>
    <row r="1746" spans="1:5" x14ac:dyDescent="0.2">
      <c r="A1746" s="5">
        <v>1685</v>
      </c>
      <c r="B1746" s="138">
        <f>'Tax Sched 23'!B6</f>
        <v>271385</v>
      </c>
      <c r="C1746" s="2" t="s">
        <v>573</v>
      </c>
      <c r="D1746" s="2" t="str">
        <f t="shared" si="26"/>
        <v>Error?</v>
      </c>
    </row>
    <row r="1747" spans="1:5" x14ac:dyDescent="0.2">
      <c r="A1747" s="5">
        <v>1686</v>
      </c>
      <c r="B1747" s="138">
        <f>'Tax Sched 23'!B7</f>
        <v>121428</v>
      </c>
      <c r="C1747" s="2" t="s">
        <v>573</v>
      </c>
      <c r="D1747" s="2" t="str">
        <f t="shared" si="26"/>
        <v>Error?</v>
      </c>
    </row>
    <row r="1748" spans="1:5" x14ac:dyDescent="0.2">
      <c r="A1748" s="5">
        <v>1687</v>
      </c>
      <c r="B1748" s="138">
        <f>'Tax Sched 23'!B8</f>
        <v>46689</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194298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2381183</v>
      </c>
      <c r="C1759" s="2" t="s">
        <v>573</v>
      </c>
      <c r="D1759" s="2" t="str">
        <f t="shared" si="26"/>
        <v>Error?</v>
      </c>
    </row>
    <row r="1760" spans="1:5" x14ac:dyDescent="0.2">
      <c r="A1760" s="5">
        <v>1699</v>
      </c>
      <c r="B1760" s="138">
        <f>'Tax Sched 23'!D4</f>
        <v>657099</v>
      </c>
      <c r="C1760" s="2" t="s">
        <v>573</v>
      </c>
      <c r="D1760" s="2" t="str">
        <f t="shared" si="26"/>
        <v>Error?</v>
      </c>
    </row>
    <row r="1761" spans="1:5" x14ac:dyDescent="0.2">
      <c r="A1761" s="5">
        <v>1700</v>
      </c>
      <c r="B1761" s="138">
        <f>'Tax Sched 23'!D5</f>
        <v>126522</v>
      </c>
      <c r="C1761" s="2" t="s">
        <v>573</v>
      </c>
      <c r="D1761" s="2" t="str">
        <f t="shared" si="26"/>
        <v>Error?</v>
      </c>
    </row>
    <row r="1762" spans="1:5" s="8" customFormat="1" x14ac:dyDescent="0.2">
      <c r="A1762" s="5">
        <v>1701</v>
      </c>
      <c r="B1762" s="138">
        <f>'Tax Sched 23'!D6</f>
        <v>129192</v>
      </c>
      <c r="C1762" s="2" t="s">
        <v>573</v>
      </c>
      <c r="D1762" s="2" t="str">
        <f t="shared" si="26"/>
        <v>Error?</v>
      </c>
      <c r="E1762" s="9"/>
    </row>
    <row r="1763" spans="1:5" x14ac:dyDescent="0.2">
      <c r="A1763" s="5">
        <v>1702</v>
      </c>
      <c r="B1763" s="138">
        <f>'Tax Sched 23'!D7</f>
        <v>57513</v>
      </c>
      <c r="C1763" s="2" t="s">
        <v>573</v>
      </c>
      <c r="D1763" s="2" t="str">
        <f t="shared" si="26"/>
        <v>Error?</v>
      </c>
    </row>
    <row r="1764" spans="1:5" x14ac:dyDescent="0.2">
      <c r="A1764" s="5">
        <v>1703</v>
      </c>
      <c r="B1764" s="138">
        <f>'Tax Sched 23'!D8</f>
        <v>21950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92034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1128633</v>
      </c>
      <c r="C1775" s="2" t="s">
        <v>573</v>
      </c>
      <c r="D1775" s="2" t="str">
        <f t="shared" si="26"/>
        <v>Error?</v>
      </c>
    </row>
    <row r="1776" spans="1:5" x14ac:dyDescent="0.2">
      <c r="A1776" s="5">
        <v>1715</v>
      </c>
      <c r="B1776" s="138">
        <f>'Tax Sched 23'!C4</f>
        <v>729649</v>
      </c>
      <c r="D1776" s="2" t="str">
        <f t="shared" si="26"/>
        <v>Error?</v>
      </c>
    </row>
    <row r="1777" spans="1:4" x14ac:dyDescent="0.2">
      <c r="A1777" s="5">
        <v>1716</v>
      </c>
      <c r="B1777" s="138">
        <f>'Tax Sched 23'!C5</f>
        <v>140613</v>
      </c>
      <c r="D1777" s="2" t="str">
        <f t="shared" si="26"/>
        <v>Error?</v>
      </c>
    </row>
    <row r="1778" spans="1:4" x14ac:dyDescent="0.2">
      <c r="A1778" s="5">
        <v>1717</v>
      </c>
      <c r="B1778" s="138">
        <f>'Tax Sched 23'!C6</f>
        <v>142193</v>
      </c>
      <c r="D1778" s="2" t="str">
        <f t="shared" si="26"/>
        <v>Error?</v>
      </c>
    </row>
    <row r="1779" spans="1:4" x14ac:dyDescent="0.2">
      <c r="A1779" s="5">
        <v>1718</v>
      </c>
      <c r="B1779" s="138">
        <f>'Tax Sched 23'!C7</f>
        <v>63915</v>
      </c>
      <c r="D1779" s="2" t="str">
        <f t="shared" si="26"/>
        <v>Error?</v>
      </c>
    </row>
    <row r="1780" spans="1:4" x14ac:dyDescent="0.2">
      <c r="A1780" s="5">
        <v>1719</v>
      </c>
      <c r="B1780" s="138">
        <f>'Tax Sched 23'!C8</f>
        <v>24739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102264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1252550</v>
      </c>
      <c r="C1791" s="2" t="s">
        <v>573</v>
      </c>
      <c r="D1791" s="2" t="str">
        <f t="shared" ref="D1791:D1854" si="27">IF(ISBLANK(B1791),"OK",IF(A1791-B1791=0,"OK","Error?"))</f>
        <v>Error?</v>
      </c>
    </row>
    <row r="1792" spans="1:4" x14ac:dyDescent="0.2">
      <c r="A1792" s="5">
        <v>1731</v>
      </c>
      <c r="B1792" s="138">
        <f>'Tax Sched 23'!F4</f>
        <v>648113</v>
      </c>
      <c r="C1792" s="2" t="s">
        <v>573</v>
      </c>
      <c r="D1792" s="2" t="str">
        <f t="shared" si="27"/>
        <v>Error?</v>
      </c>
    </row>
    <row r="1793" spans="1:4" x14ac:dyDescent="0.2">
      <c r="A1793" s="5">
        <v>1732</v>
      </c>
      <c r="B1793" s="138">
        <f>'Tax Sched 23'!F5</f>
        <v>124901</v>
      </c>
      <c r="C1793" s="2" t="s">
        <v>573</v>
      </c>
      <c r="D1793" s="2" t="str">
        <f t="shared" si="27"/>
        <v>Error?</v>
      </c>
    </row>
    <row r="1794" spans="1:4" x14ac:dyDescent="0.2">
      <c r="A1794" s="5">
        <v>1733</v>
      </c>
      <c r="B1794" s="138">
        <f>'Tax Sched 23'!F6</f>
        <v>126303</v>
      </c>
      <c r="C1794" s="2" t="s">
        <v>573</v>
      </c>
      <c r="D1794" s="2" t="str">
        <f t="shared" si="27"/>
        <v>Error?</v>
      </c>
    </row>
    <row r="1795" spans="1:4" x14ac:dyDescent="0.2">
      <c r="A1795" s="5">
        <v>1734</v>
      </c>
      <c r="B1795" s="138">
        <f>'Tax Sched 23'!F7</f>
        <v>56773</v>
      </c>
      <c r="C1795" s="2" t="s">
        <v>573</v>
      </c>
      <c r="D1795" s="2" t="str">
        <f t="shared" si="27"/>
        <v>Error?</v>
      </c>
    </row>
    <row r="1796" spans="1:4" x14ac:dyDescent="0.2">
      <c r="A1796" s="5">
        <v>1735</v>
      </c>
      <c r="B1796" s="138">
        <f>'Tax Sched 23'!F8</f>
        <v>21974</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90837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1112583</v>
      </c>
      <c r="C1807" s="2" t="s">
        <v>573</v>
      </c>
      <c r="D1807" s="2" t="str">
        <f t="shared" si="27"/>
        <v>Error?</v>
      </c>
    </row>
    <row r="1808" spans="1:4" x14ac:dyDescent="0.2">
      <c r="A1808" s="5">
        <v>1747</v>
      </c>
      <c r="B1808" s="138">
        <f>'Tax Sched 23'!E4</f>
        <v>1377762</v>
      </c>
      <c r="D1808" s="2" t="str">
        <f t="shared" si="27"/>
        <v>Error?</v>
      </c>
    </row>
    <row r="1809" spans="1:4" x14ac:dyDescent="0.2">
      <c r="A1809" s="5">
        <v>1748</v>
      </c>
      <c r="B1809" s="138">
        <f>'Tax Sched 23'!E5</f>
        <v>265514</v>
      </c>
      <c r="D1809" s="2" t="str">
        <f t="shared" si="27"/>
        <v>Error?</v>
      </c>
    </row>
    <row r="1810" spans="1:4" x14ac:dyDescent="0.2">
      <c r="A1810" s="5">
        <v>1749</v>
      </c>
      <c r="B1810" s="138">
        <f>'Tax Sched 23'!E6</f>
        <v>268496</v>
      </c>
      <c r="D1810" s="2" t="str">
        <f t="shared" si="27"/>
        <v>Error?</v>
      </c>
    </row>
    <row r="1811" spans="1:4" x14ac:dyDescent="0.2">
      <c r="A1811" s="5">
        <v>1750</v>
      </c>
      <c r="B1811" s="138">
        <f>'Tax Sched 23'!E7</f>
        <v>120688</v>
      </c>
      <c r="D1811" s="2" t="str">
        <f t="shared" si="27"/>
        <v>Error?</v>
      </c>
    </row>
    <row r="1812" spans="1:4" x14ac:dyDescent="0.2">
      <c r="A1812" s="5">
        <v>1751</v>
      </c>
      <c r="B1812" s="138">
        <f>'Tax Sched 23'!E8</f>
        <v>46713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193101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2365133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3199000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194298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194298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194298</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44750</v>
      </c>
      <c r="D2008" s="2" t="str">
        <f t="shared" si="30"/>
        <v>Error?</v>
      </c>
    </row>
    <row r="2009" spans="1:4" x14ac:dyDescent="0.2">
      <c r="A2009" s="5">
        <v>1948</v>
      </c>
      <c r="B2009" s="138">
        <f>'Cap Outlay Deprec 26'!C8</f>
        <v>2460911</v>
      </c>
      <c r="D2009" s="2" t="str">
        <f t="shared" si="30"/>
        <v>Error?</v>
      </c>
    </row>
    <row r="2010" spans="1:4" x14ac:dyDescent="0.2">
      <c r="A2010" s="5">
        <v>1949</v>
      </c>
      <c r="B2010" s="138">
        <f>'Cap Outlay Deprec 26'!C10</f>
        <v>1779112</v>
      </c>
      <c r="D2010" s="2" t="str">
        <f t="shared" si="30"/>
        <v>Error?</v>
      </c>
    </row>
    <row r="2011" spans="1:4" x14ac:dyDescent="0.2">
      <c r="A2011" s="5">
        <v>1950</v>
      </c>
      <c r="B2011" s="138">
        <f>'Cap Outlay Deprec 26'!C12</f>
        <v>1136938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5421711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751653</v>
      </c>
      <c r="D2016" s="2" t="str">
        <f t="shared" si="30"/>
        <v>Error?</v>
      </c>
    </row>
    <row r="2017" spans="1:4" x14ac:dyDescent="0.2">
      <c r="A2017" s="5">
        <v>1956</v>
      </c>
      <c r="B2017" s="138">
        <f>'Cap Outlay Deprec 26'!D12</f>
        <v>207560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959213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44750</v>
      </c>
      <c r="C2026" s="2" t="s">
        <v>573</v>
      </c>
      <c r="D2026" s="2" t="str">
        <f t="shared" si="30"/>
        <v>Error?</v>
      </c>
    </row>
    <row r="2027" spans="1:4" x14ac:dyDescent="0.2">
      <c r="A2027" s="5">
        <v>1966</v>
      </c>
      <c r="B2027" s="138">
        <f>'Cap Outlay Deprec 26'!F8</f>
        <v>2460911</v>
      </c>
      <c r="C2027" s="2" t="s">
        <v>573</v>
      </c>
      <c r="D2027" s="2" t="str">
        <f t="shared" si="30"/>
        <v>Error?</v>
      </c>
    </row>
    <row r="2028" spans="1:4" x14ac:dyDescent="0.2">
      <c r="A2028" s="5">
        <v>1967</v>
      </c>
      <c r="B2028" s="138">
        <f>'Cap Outlay Deprec 26'!F10</f>
        <v>2530765</v>
      </c>
      <c r="C2028" s="2" t="s">
        <v>573</v>
      </c>
      <c r="D2028" s="2" t="str">
        <f t="shared" si="30"/>
        <v>Error?</v>
      </c>
    </row>
    <row r="2029" spans="1:4" x14ac:dyDescent="0.2">
      <c r="A2029" s="5">
        <v>1968</v>
      </c>
      <c r="B2029" s="138">
        <f>'Cap Outlay Deprec 26'!F12</f>
        <v>1344498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6380924</v>
      </c>
      <c r="C2031" s="2" t="s">
        <v>573</v>
      </c>
      <c r="D2031" s="2" t="str">
        <f t="shared" si="30"/>
        <v>Error?</v>
      </c>
    </row>
    <row r="2032" spans="1:4" x14ac:dyDescent="0.2">
      <c r="A2032" s="10">
        <v>1971</v>
      </c>
      <c r="D2032" s="2" t="str">
        <f t="shared" si="30"/>
        <v>OK</v>
      </c>
    </row>
    <row r="2033" spans="1:4" x14ac:dyDescent="0.2">
      <c r="A2033" s="5">
        <v>1972</v>
      </c>
      <c r="B2033" s="138">
        <f>'Cap Outlay Deprec 26'!H8</f>
        <v>1964663</v>
      </c>
      <c r="D2033" s="2" t="str">
        <f t="shared" si="30"/>
        <v>Error?</v>
      </c>
    </row>
    <row r="2034" spans="1:4" x14ac:dyDescent="0.2">
      <c r="A2034" s="5">
        <v>1973</v>
      </c>
      <c r="B2034" s="138">
        <f>'Cap Outlay Deprec 26'!H10</f>
        <v>299035</v>
      </c>
      <c r="D2034" s="2" t="str">
        <f t="shared" si="30"/>
        <v>Error?</v>
      </c>
    </row>
    <row r="2035" spans="1:4" x14ac:dyDescent="0.2">
      <c r="A2035" s="5">
        <v>1974</v>
      </c>
      <c r="B2035" s="138">
        <f>'Cap Outlay Deprec 26'!H12</f>
        <v>734795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2998493</v>
      </c>
      <c r="C2037" s="2" t="s">
        <v>573</v>
      </c>
      <c r="D2037" s="2" t="str">
        <f t="shared" si="30"/>
        <v>Error?</v>
      </c>
    </row>
    <row r="2038" spans="1:4" x14ac:dyDescent="0.2">
      <c r="A2038" s="10">
        <v>1977</v>
      </c>
      <c r="D2038" s="2" t="str">
        <f t="shared" si="30"/>
        <v>OK</v>
      </c>
    </row>
    <row r="2039" spans="1:4" x14ac:dyDescent="0.2">
      <c r="A2039" s="5">
        <v>1978</v>
      </c>
      <c r="B2039" s="138">
        <f>'Cap Outlay Deprec 26'!I8</f>
        <v>49218</v>
      </c>
      <c r="D2039" s="2" t="str">
        <f t="shared" si="30"/>
        <v>Error?</v>
      </c>
    </row>
    <row r="2040" spans="1:4" x14ac:dyDescent="0.2">
      <c r="A2040" s="5">
        <v>1979</v>
      </c>
      <c r="B2040" s="138">
        <f>'Cap Outlay Deprec 26'!I10</f>
        <v>88956</v>
      </c>
      <c r="D2040" s="2" t="str">
        <f t="shared" si="30"/>
        <v>Error?</v>
      </c>
    </row>
    <row r="2041" spans="1:4" x14ac:dyDescent="0.2">
      <c r="A2041" s="5">
        <v>1980</v>
      </c>
      <c r="B2041" s="138">
        <f>'Cap Outlay Deprec 26'!I12</f>
        <v>83085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221259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2013881</v>
      </c>
      <c r="C2051" s="2" t="s">
        <v>573</v>
      </c>
      <c r="D2051" s="2" t="str">
        <f t="shared" si="31"/>
        <v>Error?</v>
      </c>
    </row>
    <row r="2052" spans="1:4" x14ac:dyDescent="0.2">
      <c r="A2052" s="5">
        <v>1991</v>
      </c>
      <c r="B2052" s="138">
        <f>'Cap Outlay Deprec 26'!K10</f>
        <v>387991</v>
      </c>
      <c r="C2052" s="2" t="s">
        <v>573</v>
      </c>
      <c r="D2052" s="2" t="str">
        <f t="shared" si="31"/>
        <v>Error?</v>
      </c>
    </row>
    <row r="2053" spans="1:4" x14ac:dyDescent="0.2">
      <c r="A2053" s="5">
        <v>1992</v>
      </c>
      <c r="B2053" s="138">
        <f>'Cap Outlay Deprec 26'!K12</f>
        <v>817880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3219752</v>
      </c>
      <c r="C2055" s="2" t="s">
        <v>573</v>
      </c>
      <c r="D2055" s="2" t="str">
        <f t="shared" si="31"/>
        <v>Error?</v>
      </c>
    </row>
    <row r="2056" spans="1:4" x14ac:dyDescent="0.2">
      <c r="A2056" s="5">
        <v>1995</v>
      </c>
      <c r="B2056" s="138">
        <f>'Cap Outlay Deprec 26'!L5</f>
        <v>44750</v>
      </c>
      <c r="C2056" s="2" t="s">
        <v>573</v>
      </c>
      <c r="D2056" s="2" t="str">
        <f t="shared" si="31"/>
        <v>Error?</v>
      </c>
    </row>
    <row r="2057" spans="1:4" x14ac:dyDescent="0.2">
      <c r="A2057" s="5">
        <v>1996</v>
      </c>
      <c r="B2057" s="138">
        <f>'Cap Outlay Deprec 26'!L8</f>
        <v>447030</v>
      </c>
      <c r="C2057" s="2" t="s">
        <v>573</v>
      </c>
      <c r="D2057" s="2" t="str">
        <f t="shared" si="31"/>
        <v>Error?</v>
      </c>
    </row>
    <row r="2058" spans="1:4" x14ac:dyDescent="0.2">
      <c r="A2058" s="5">
        <v>1997</v>
      </c>
      <c r="B2058" s="138">
        <f>'Cap Outlay Deprec 26'!L10</f>
        <v>2142774</v>
      </c>
      <c r="C2058" s="2" t="s">
        <v>573</v>
      </c>
      <c r="D2058" s="2" t="str">
        <f t="shared" si="31"/>
        <v>Error?</v>
      </c>
    </row>
    <row r="2059" spans="1:4" x14ac:dyDescent="0.2">
      <c r="A2059" s="5">
        <v>1998</v>
      </c>
      <c r="B2059" s="138">
        <f>'Cap Outlay Deprec 26'!L12</f>
        <v>526618</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3161172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420840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139290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2099252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1741585</v>
      </c>
      <c r="C2551" s="2" t="s">
        <v>573</v>
      </c>
      <c r="D2551" s="2" t="str">
        <f t="shared" si="38"/>
        <v>Error?</v>
      </c>
    </row>
    <row r="2552" spans="1:4" x14ac:dyDescent="0.2">
      <c r="A2552" s="10">
        <v>2491</v>
      </c>
      <c r="D2552" s="2" t="str">
        <f t="shared" si="38"/>
        <v>OK</v>
      </c>
    </row>
    <row r="2553" spans="1:4" x14ac:dyDescent="0.2">
      <c r="A2553" s="5">
        <v>2492</v>
      </c>
      <c r="B2553" s="138">
        <f>'Acct Summary 7-8'!C6</f>
        <v>2640954</v>
      </c>
      <c r="C2553" s="2" t="s">
        <v>573</v>
      </c>
      <c r="D2553" s="2" t="str">
        <f t="shared" si="38"/>
        <v>Error?</v>
      </c>
    </row>
    <row r="2554" spans="1:4" x14ac:dyDescent="0.2">
      <c r="A2554" s="5">
        <v>2493</v>
      </c>
      <c r="B2554" s="138">
        <f>'Acct Summary 7-8'!C7</f>
        <v>698322</v>
      </c>
      <c r="C2554" s="2" t="s">
        <v>573</v>
      </c>
      <c r="D2554" s="2" t="str">
        <f t="shared" si="38"/>
        <v>Error?</v>
      </c>
    </row>
    <row r="2555" spans="1:4" x14ac:dyDescent="0.2">
      <c r="A2555" s="5">
        <v>2494</v>
      </c>
      <c r="B2555" s="138">
        <f>'Acct Summary 7-8'!C8</f>
        <v>5080861</v>
      </c>
      <c r="C2555" s="2" t="s">
        <v>573</v>
      </c>
      <c r="D2555" s="2" t="str">
        <f t="shared" si="38"/>
        <v>Error?</v>
      </c>
    </row>
    <row r="2556" spans="1:4" x14ac:dyDescent="0.2">
      <c r="A2556" s="5">
        <v>2495</v>
      </c>
      <c r="B2556" s="138">
        <f>'Acct Summary 7-8'!C12</f>
        <v>3068707</v>
      </c>
      <c r="C2556" s="2" t="s">
        <v>573</v>
      </c>
      <c r="D2556" s="2" t="str">
        <f t="shared" si="38"/>
        <v>Error?</v>
      </c>
    </row>
    <row r="2557" spans="1:4" x14ac:dyDescent="0.2">
      <c r="A2557" s="5">
        <v>2496</v>
      </c>
      <c r="B2557" s="138">
        <f>'Acct Summary 7-8'!C13</f>
        <v>1340117</v>
      </c>
      <c r="C2557" s="2" t="s">
        <v>573</v>
      </c>
      <c r="D2557" s="2" t="str">
        <f t="shared" si="38"/>
        <v>Error?</v>
      </c>
    </row>
    <row r="2558" spans="1:4" x14ac:dyDescent="0.2">
      <c r="A2558" s="5">
        <v>2497</v>
      </c>
      <c r="B2558" s="138">
        <f>'Acct Summary 7-8'!C14</f>
        <v>2256</v>
      </c>
      <c r="C2558" s="2" t="s">
        <v>573</v>
      </c>
      <c r="D2558" s="2" t="str">
        <f t="shared" si="38"/>
        <v>Error?</v>
      </c>
    </row>
    <row r="2559" spans="1:4" x14ac:dyDescent="0.2">
      <c r="A2559" s="5">
        <v>2498</v>
      </c>
      <c r="B2559" s="138">
        <f>'Acct Summary 7-8'!C15</f>
        <v>420840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4831920</v>
      </c>
      <c r="C2561" s="2" t="s">
        <v>573</v>
      </c>
      <c r="D2561" s="2" t="str">
        <f t="shared" si="39"/>
        <v>Error?</v>
      </c>
    </row>
    <row r="2562" spans="1:4" x14ac:dyDescent="0.2">
      <c r="A2562" s="5">
        <v>2501</v>
      </c>
      <c r="B2562" s="138">
        <f>'Acct Summary 7-8'!C20</f>
        <v>248941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309062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309062</v>
      </c>
      <c r="C2568" s="2" t="s">
        <v>573</v>
      </c>
      <c r="D2568" s="2" t="str">
        <f t="shared" si="39"/>
        <v>Error?</v>
      </c>
    </row>
    <row r="2569" spans="1:4" x14ac:dyDescent="0.2">
      <c r="A2569" s="5">
        <v>2508</v>
      </c>
      <c r="B2569" s="138">
        <f>'Acct Summary 7-8'!D13</f>
        <v>313371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313371</v>
      </c>
      <c r="C2573" s="2" t="s">
        <v>573</v>
      </c>
      <c r="D2573" s="2" t="str">
        <f t="shared" si="39"/>
        <v>Error?</v>
      </c>
    </row>
    <row r="2574" spans="1:4" x14ac:dyDescent="0.2">
      <c r="A2574" s="5">
        <v>2513</v>
      </c>
      <c r="B2574" s="138">
        <f>'Acct Summary 7-8'!D20</f>
        <v>-4309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149594</v>
      </c>
      <c r="C2591" s="2" t="s">
        <v>573</v>
      </c>
      <c r="D2591" s="2" t="str">
        <f t="shared" si="39"/>
        <v>Error?</v>
      </c>
    </row>
    <row r="2592" spans="1:4" x14ac:dyDescent="0.2">
      <c r="A2592" s="10">
        <v>2531</v>
      </c>
      <c r="D2592" s="2" t="str">
        <f t="shared" si="39"/>
        <v>OK</v>
      </c>
    </row>
    <row r="2593" spans="1:4" x14ac:dyDescent="0.2">
      <c r="A2593" s="5">
        <v>2532</v>
      </c>
      <c r="B2593" s="138">
        <f>'Acct Summary 7-8'!F6</f>
        <v>360028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509622</v>
      </c>
      <c r="C2595" s="2" t="s">
        <v>573</v>
      </c>
      <c r="D2595" s="2" t="str">
        <f t="shared" si="39"/>
        <v>Error?</v>
      </c>
    </row>
    <row r="2596" spans="1:4" x14ac:dyDescent="0.2">
      <c r="A2596" s="5">
        <v>2535</v>
      </c>
      <c r="B2596" s="138">
        <f>'Acct Summary 7-8'!F13</f>
        <v>656211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656211</v>
      </c>
      <c r="C2600" s="2" t="s">
        <v>573</v>
      </c>
      <c r="D2600" s="2" t="str">
        <f t="shared" si="39"/>
        <v>Error?</v>
      </c>
    </row>
    <row r="2601" spans="1:4" x14ac:dyDescent="0.2">
      <c r="A2601" s="5">
        <v>2540</v>
      </c>
      <c r="B2601" s="138">
        <f>'Acct Summary 7-8'!F20</f>
        <v>-146589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113927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113927</v>
      </c>
      <c r="C2606" s="2" t="s">
        <v>573</v>
      </c>
      <c r="D2606" s="2" t="str">
        <f t="shared" si="39"/>
        <v>Error?</v>
      </c>
    </row>
    <row r="2607" spans="1:4" x14ac:dyDescent="0.2">
      <c r="A2607" s="5">
        <v>2546</v>
      </c>
      <c r="B2607" s="138">
        <f>'Acct Summary 7-8'!G12</f>
        <v>40363</v>
      </c>
      <c r="C2607" s="2" t="s">
        <v>573</v>
      </c>
      <c r="D2607" s="2" t="str">
        <f t="shared" si="39"/>
        <v>Error?</v>
      </c>
    </row>
    <row r="2608" spans="1:4" x14ac:dyDescent="0.2">
      <c r="A2608" s="5">
        <v>2547</v>
      </c>
      <c r="B2608" s="138">
        <f>'Acct Summary 7-8'!G13</f>
        <v>76797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117160</v>
      </c>
      <c r="C2612" s="2" t="s">
        <v>573</v>
      </c>
      <c r="D2612" s="2" t="str">
        <f t="shared" si="39"/>
        <v>Error?</v>
      </c>
    </row>
    <row r="2613" spans="1:4" x14ac:dyDescent="0.2">
      <c r="A2613" s="5">
        <v>2552</v>
      </c>
      <c r="B2613" s="138">
        <f>'Acct Summary 7-8'!G20</f>
        <v>-3233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274314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274314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267904</v>
      </c>
      <c r="C2634" s="2" t="s">
        <v>573</v>
      </c>
      <c r="D2634" s="2" t="str">
        <f t="shared" si="40"/>
        <v>Error?</v>
      </c>
    </row>
    <row r="2635" spans="1:4" x14ac:dyDescent="0.2">
      <c r="A2635" s="5">
        <v>2574</v>
      </c>
      <c r="B2635" s="138">
        <f>'Acct Summary 7-8'!E17</f>
        <v>267904</v>
      </c>
      <c r="C2635" s="2" t="s">
        <v>573</v>
      </c>
      <c r="D2635" s="2" t="str">
        <f t="shared" si="40"/>
        <v>Error?</v>
      </c>
    </row>
    <row r="2636" spans="1:4" x14ac:dyDescent="0.2">
      <c r="A2636" s="5">
        <v>2575</v>
      </c>
      <c r="B2636" s="138">
        <f>'Acct Summary 7-8'!E20</f>
        <v>6410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31187</v>
      </c>
      <c r="C2655" s="2" t="s">
        <v>573</v>
      </c>
      <c r="D2655" s="2" t="str">
        <f t="shared" si="40"/>
        <v>Error?</v>
      </c>
    </row>
    <row r="2656" spans="1:4" x14ac:dyDescent="0.2">
      <c r="A2656" s="5">
        <v>2595</v>
      </c>
      <c r="B2656" s="138">
        <f>'Acct Summary 7-8'!H6</f>
        <v>341442</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372629</v>
      </c>
      <c r="C2658" s="2" t="s">
        <v>573</v>
      </c>
      <c r="D2658" s="2" t="str">
        <f t="shared" si="40"/>
        <v>Error?</v>
      </c>
    </row>
    <row r="2659" spans="1:4" x14ac:dyDescent="0.2">
      <c r="A2659" s="5">
        <v>2598</v>
      </c>
      <c r="B2659" s="138">
        <f>'Acct Summary 7-8'!H13</f>
        <v>751653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751653</v>
      </c>
      <c r="C2661" s="2" t="s">
        <v>573</v>
      </c>
      <c r="D2661" s="2" t="str">
        <f t="shared" si="40"/>
        <v>Error?</v>
      </c>
    </row>
    <row r="2662" spans="1:4" x14ac:dyDescent="0.2">
      <c r="A2662" s="5">
        <v>2601</v>
      </c>
      <c r="B2662" s="138">
        <f>'Acct Summary 7-8'!H20</f>
        <v>-379024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420840</v>
      </c>
      <c r="C2789" s="2" t="s">
        <v>573</v>
      </c>
      <c r="D2789" s="2" t="str">
        <f t="shared" si="42"/>
        <v>Error?</v>
      </c>
    </row>
    <row r="2790" spans="1:4" x14ac:dyDescent="0.2">
      <c r="A2790" s="5">
        <v>2729</v>
      </c>
      <c r="B2790" s="138">
        <f>'Expenditures 15-22'!E102</f>
        <v>420840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32760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5726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32760</v>
      </c>
      <c r="D2912" s="2" t="str">
        <f t="shared" si="44"/>
        <v>Error?</v>
      </c>
    </row>
    <row r="2913" spans="1:4" x14ac:dyDescent="0.2">
      <c r="A2913" s="5">
        <v>2852</v>
      </c>
      <c r="B2913" s="138">
        <f>'Assets-Liab 5-6'!I41</f>
        <v>32760</v>
      </c>
      <c r="C2913" s="2" t="s">
        <v>573</v>
      </c>
      <c r="D2913" s="2" t="str">
        <f t="shared" si="44"/>
        <v>Error?</v>
      </c>
    </row>
    <row r="2914" spans="1:4" x14ac:dyDescent="0.2">
      <c r="A2914" s="5">
        <v>2853</v>
      </c>
      <c r="B2914" s="138">
        <f>'Assets-Liab 5-6'!L33</f>
        <v>5726</v>
      </c>
      <c r="D2914" s="2" t="str">
        <f t="shared" si="44"/>
        <v>Error?</v>
      </c>
    </row>
    <row r="2915" spans="1:4" x14ac:dyDescent="0.2">
      <c r="A2915" s="10">
        <v>2854</v>
      </c>
      <c r="D2915" s="2" t="str">
        <f t="shared" si="44"/>
        <v>OK</v>
      </c>
    </row>
    <row r="2916" spans="1:4" x14ac:dyDescent="0.2">
      <c r="A2916" s="5">
        <v>2855</v>
      </c>
      <c r="B2916" s="138">
        <f>'Assets-Liab 5-6'!L34</f>
        <v>5726</v>
      </c>
      <c r="C2916" s="2" t="s">
        <v>573</v>
      </c>
      <c r="D2916" s="2" t="str">
        <f t="shared" si="44"/>
        <v>Error?</v>
      </c>
    </row>
    <row r="2917" spans="1:4" x14ac:dyDescent="0.2">
      <c r="A2917" s="5">
        <v>2856</v>
      </c>
      <c r="B2917" s="138">
        <f>'Assets-Liab 5-6'!L41</f>
        <v>5726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420840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420840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231930</v>
      </c>
      <c r="D3055" s="2" t="str">
        <f t="shared" si="46"/>
        <v>Error?</v>
      </c>
    </row>
    <row r="3056" spans="1:4" x14ac:dyDescent="0.2">
      <c r="A3056" s="5">
        <v>2995</v>
      </c>
      <c r="B3056" s="138">
        <f>'Expenditures 15-22'!D10</f>
        <v>15990</v>
      </c>
      <c r="D3056" s="2" t="str">
        <f t="shared" si="46"/>
        <v>Error?</v>
      </c>
    </row>
    <row r="3057" spans="1:4" x14ac:dyDescent="0.2">
      <c r="A3057" s="5">
        <v>2996</v>
      </c>
      <c r="B3057" s="138">
        <f>'Expenditures 15-22'!E10</f>
        <v>11102</v>
      </c>
      <c r="D3057" s="2" t="str">
        <f t="shared" si="46"/>
        <v>Error?</v>
      </c>
    </row>
    <row r="3058" spans="1:4" x14ac:dyDescent="0.2">
      <c r="A3058" s="5">
        <v>2997</v>
      </c>
      <c r="B3058" s="138">
        <f>'Expenditures 15-22'!F10</f>
        <v>17086</v>
      </c>
      <c r="D3058" s="2" t="str">
        <f t="shared" si="46"/>
        <v>Error?</v>
      </c>
    </row>
    <row r="3059" spans="1:4" x14ac:dyDescent="0.2">
      <c r="A3059" s="5">
        <v>2998</v>
      </c>
      <c r="B3059" s="138">
        <f>'Expenditures 15-22'!G10</f>
        <v>17773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293881</v>
      </c>
      <c r="C3062" s="2" t="s">
        <v>573</v>
      </c>
      <c r="D3062" s="2" t="str">
        <f t="shared" si="46"/>
        <v>Error?</v>
      </c>
    </row>
    <row r="3063" spans="1:4" x14ac:dyDescent="0.2">
      <c r="A3063" s="10">
        <v>3002</v>
      </c>
      <c r="D3063" s="2" t="str">
        <f t="shared" si="46"/>
        <v>OK</v>
      </c>
    </row>
    <row r="3064" spans="1:4" x14ac:dyDescent="0.2">
      <c r="A3064" s="5">
        <v>3003</v>
      </c>
      <c r="B3064" s="138">
        <f>'Expenditures 15-22'!D219</f>
        <v>1727</v>
      </c>
      <c r="D3064" s="2" t="str">
        <f t="shared" si="46"/>
        <v>Error?</v>
      </c>
    </row>
    <row r="3065" spans="1:4" x14ac:dyDescent="0.2">
      <c r="A3065" s="5">
        <v>3004</v>
      </c>
      <c r="B3065" s="138">
        <f>'Expenditures 15-22'!K219</f>
        <v>1727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v>
      </c>
      <c r="C3225" s="2" t="s">
        <v>573</v>
      </c>
      <c r="D3225" s="2" t="str">
        <f t="shared" si="49"/>
        <v>Error?</v>
      </c>
    </row>
    <row r="3226" spans="1:4" x14ac:dyDescent="0.2">
      <c r="A3226" s="5">
        <v>3165</v>
      </c>
      <c r="B3226" s="138">
        <f>'Acct Summary 7-8'!I8</f>
        <v>18</v>
      </c>
      <c r="C3226" s="2" t="s">
        <v>573</v>
      </c>
      <c r="D3226" s="2" t="str">
        <f t="shared" si="49"/>
        <v>Error?</v>
      </c>
    </row>
    <row r="3227" spans="1:4" x14ac:dyDescent="0.2">
      <c r="A3227" s="5">
        <v>3166</v>
      </c>
      <c r="B3227" s="138">
        <f>'Acct Summary 7-8'!I20</f>
        <v>18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150000</v>
      </c>
      <c r="C3231" s="2" t="s">
        <v>573</v>
      </c>
      <c r="D3231" s="2" t="str">
        <f t="shared" si="49"/>
        <v>Error?</v>
      </c>
    </row>
    <row r="3232" spans="1:4" x14ac:dyDescent="0.2">
      <c r="A3232" s="5">
        <v>3171</v>
      </c>
      <c r="B3232" s="138">
        <f>'Acct Summary 7-8'!C77</f>
        <v>-150000</v>
      </c>
      <c r="C3232" s="2" t="s">
        <v>573</v>
      </c>
      <c r="D3232" s="2" t="str">
        <f t="shared" si="49"/>
        <v>Error?</v>
      </c>
    </row>
    <row r="3233" spans="1:4" x14ac:dyDescent="0.2">
      <c r="A3233" s="5">
        <v>3172</v>
      </c>
      <c r="B3233" s="138">
        <f>'Acct Summary 7-8'!C78</f>
        <v>98941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-4309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150000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150000</v>
      </c>
      <c r="C3255" s="2" t="s">
        <v>573</v>
      </c>
      <c r="D3255" s="2" t="str">
        <f t="shared" si="49"/>
        <v>Error?</v>
      </c>
    </row>
    <row r="3256" spans="1:4" x14ac:dyDescent="0.2">
      <c r="A3256" s="5">
        <v>3195</v>
      </c>
      <c r="B3256" s="138">
        <f>'Acct Summary 7-8'!F78</f>
        <v>3411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-3233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6410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-379024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18</v>
      </c>
      <c r="C3320" s="2" t="s">
        <v>573</v>
      </c>
      <c r="D3320" s="2" t="str">
        <f t="shared" si="50"/>
        <v>Error?</v>
      </c>
    </row>
    <row r="3321" spans="1:4" x14ac:dyDescent="0.2">
      <c r="A3321" s="5">
        <v>3260</v>
      </c>
      <c r="B3321" s="138">
        <f>'Acct Summary 7-8'!I79</f>
        <v>32742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32760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380137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60353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519081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8123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967694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23663</v>
      </c>
      <c r="D3387" s="2" t="str">
        <f t="shared" si="51"/>
        <v>Error?</v>
      </c>
    </row>
    <row r="3388" spans="1:4" x14ac:dyDescent="0.2">
      <c r="A3388" s="5">
        <v>3327</v>
      </c>
      <c r="B3388" s="138">
        <f>'Expenditures 15-22'!D217</f>
        <v>14184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23663</v>
      </c>
      <c r="C3390" s="2" t="s">
        <v>573</v>
      </c>
      <c r="D3390" s="2" t="str">
        <f t="shared" si="51"/>
        <v>Error?</v>
      </c>
    </row>
    <row r="3391" spans="1:4" x14ac:dyDescent="0.2">
      <c r="A3391" s="5">
        <v>3330</v>
      </c>
      <c r="B3391" s="138">
        <f>'Expenditures 15-22'!K217</f>
        <v>14184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2319278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371223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139290</v>
      </c>
      <c r="D3417" s="2" t="str">
        <f t="shared" si="52"/>
        <v>Error?</v>
      </c>
    </row>
    <row r="3418" spans="1:4" x14ac:dyDescent="0.2">
      <c r="A3418" s="10">
        <v>3357</v>
      </c>
      <c r="D3418" s="2" t="str">
        <f t="shared" si="52"/>
        <v>OK</v>
      </c>
    </row>
    <row r="3419" spans="1:4" x14ac:dyDescent="0.2">
      <c r="A3419" s="5">
        <v>3358</v>
      </c>
      <c r="B3419" s="138">
        <f>'Assets-Liab 5-6'!F4</f>
        <v>3456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87071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2100606</v>
      </c>
      <c r="D3425" s="2" t="str">
        <f t="shared" si="52"/>
        <v>Error?</v>
      </c>
    </row>
    <row r="3426" spans="1:4" x14ac:dyDescent="0.2">
      <c r="A3426" s="10">
        <v>3365</v>
      </c>
      <c r="D3426" s="2" t="str">
        <f t="shared" si="52"/>
        <v>OK</v>
      </c>
    </row>
    <row r="3427" spans="1:4" x14ac:dyDescent="0.2">
      <c r="A3427" s="5">
        <v>3366</v>
      </c>
      <c r="B3427" s="138">
        <f>'Assets-Liab 5-6'!I4</f>
        <v>32760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5726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44910</v>
      </c>
      <c r="C3446" s="2" t="s">
        <v>573</v>
      </c>
      <c r="D3446" s="2" t="str">
        <f t="shared" si="52"/>
        <v>Error?</v>
      </c>
    </row>
    <row r="3447" spans="1:4" x14ac:dyDescent="0.2">
      <c r="A3447" s="5">
        <v>3386</v>
      </c>
      <c r="B3447" s="138">
        <f>'Tax Sched 23'!D16</f>
        <v>21299</v>
      </c>
      <c r="C3447" s="2" t="s">
        <v>573</v>
      </c>
      <c r="D3447" s="2" t="str">
        <f t="shared" si="52"/>
        <v>Error?</v>
      </c>
    </row>
    <row r="3448" spans="1:4" x14ac:dyDescent="0.2">
      <c r="A3448" s="5">
        <v>3387</v>
      </c>
      <c r="B3448" s="138">
        <f>'Tax Sched 23'!C16</f>
        <v>23611</v>
      </c>
      <c r="D3448" s="2" t="str">
        <f t="shared" si="52"/>
        <v>Error?</v>
      </c>
    </row>
    <row r="3449" spans="1:4" x14ac:dyDescent="0.2">
      <c r="A3449" s="5">
        <v>3388</v>
      </c>
      <c r="B3449" s="138">
        <f>'Tax Sched 23'!F16</f>
        <v>20973</v>
      </c>
      <c r="C3449" s="2" t="s">
        <v>573</v>
      </c>
      <c r="D3449" s="2" t="str">
        <f t="shared" si="52"/>
        <v>Error?</v>
      </c>
    </row>
    <row r="3450" spans="1:4" x14ac:dyDescent="0.2">
      <c r="A3450" s="5">
        <v>3389</v>
      </c>
      <c r="B3450" s="138">
        <f>'Tax Sched 23'!E16</f>
        <v>44584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48590</v>
      </c>
      <c r="C3725" s="2" t="s">
        <v>573</v>
      </c>
      <c r="D3725" s="2" t="str">
        <f t="shared" si="57"/>
        <v>Error?</v>
      </c>
    </row>
    <row r="3726" spans="1:4" x14ac:dyDescent="0.2">
      <c r="A3726" s="5">
        <v>3665</v>
      </c>
      <c r="B3726" s="138">
        <f>'Tax Sched 23'!D13</f>
        <v>23024</v>
      </c>
      <c r="C3726" s="2" t="s">
        <v>573</v>
      </c>
      <c r="D3726" s="2" t="str">
        <f t="shared" si="57"/>
        <v>Error?</v>
      </c>
    </row>
    <row r="3727" spans="1:4" x14ac:dyDescent="0.2">
      <c r="A3727" s="5">
        <v>3666</v>
      </c>
      <c r="B3727" s="138">
        <f>'Tax Sched 23'!C13</f>
        <v>25566</v>
      </c>
      <c r="D3727" s="2" t="str">
        <f t="shared" si="57"/>
        <v>Error?</v>
      </c>
    </row>
    <row r="3728" spans="1:4" x14ac:dyDescent="0.2">
      <c r="A3728" s="5">
        <v>3667</v>
      </c>
      <c r="B3728" s="138">
        <f>'Tax Sched 23'!F13</f>
        <v>22709</v>
      </c>
      <c r="C3728" s="2" t="s">
        <v>573</v>
      </c>
      <c r="D3728" s="2" t="str">
        <f t="shared" si="57"/>
        <v>Error?</v>
      </c>
    </row>
    <row r="3729" spans="1:4" x14ac:dyDescent="0.2">
      <c r="A3729" s="5">
        <v>3668</v>
      </c>
      <c r="B3729" s="138">
        <f>'Tax Sched 23'!E13</f>
        <v>48275</v>
      </c>
      <c r="D3729" s="2" t="str">
        <f t="shared" si="57"/>
        <v>Error?</v>
      </c>
    </row>
    <row r="3730" spans="1:4" x14ac:dyDescent="0.2">
      <c r="A3730" s="5">
        <v>3669</v>
      </c>
      <c r="B3730" s="138">
        <f>'ICR Computation 30'!E10</f>
        <v>307337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1514105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6594966</v>
      </c>
      <c r="C4122" s="2" t="s">
        <v>573</v>
      </c>
      <c r="D4122" s="2" t="str">
        <f t="shared" si="63"/>
        <v>Error?</v>
      </c>
    </row>
    <row r="4123" spans="1:4" x14ac:dyDescent="0.2">
      <c r="A4123" s="5">
        <v>4062</v>
      </c>
      <c r="B4123" s="138">
        <f>'Acct Summary 7-8'!D10</f>
        <v>309062</v>
      </c>
      <c r="C4123" s="2" t="s">
        <v>573</v>
      </c>
      <c r="D4123" s="2" t="str">
        <f t="shared" si="63"/>
        <v>Error?</v>
      </c>
    </row>
    <row r="4124" spans="1:4" x14ac:dyDescent="0.2">
      <c r="A4124" s="5">
        <v>4063</v>
      </c>
      <c r="B4124" s="138">
        <f>'Acct Summary 7-8'!E10</f>
        <v>274314</v>
      </c>
      <c r="C4124" s="2" t="s">
        <v>573</v>
      </c>
      <c r="D4124" s="2" t="str">
        <f t="shared" si="63"/>
        <v>Error?</v>
      </c>
    </row>
    <row r="4125" spans="1:4" x14ac:dyDescent="0.2">
      <c r="A4125" s="5">
        <v>4064</v>
      </c>
      <c r="B4125" s="138">
        <f>'Acct Summary 7-8'!F10</f>
        <v>509622</v>
      </c>
      <c r="C4125" s="2" t="s">
        <v>573</v>
      </c>
      <c r="D4125" s="2" t="str">
        <f t="shared" si="63"/>
        <v>Error?</v>
      </c>
    </row>
    <row r="4126" spans="1:4" x14ac:dyDescent="0.2">
      <c r="A4126" s="5">
        <v>4065</v>
      </c>
      <c r="B4126" s="138">
        <f>'Acct Summary 7-8'!G10</f>
        <v>113927</v>
      </c>
      <c r="C4126" s="2" t="s">
        <v>573</v>
      </c>
      <c r="D4126" s="2" t="str">
        <f t="shared" si="63"/>
        <v>Error?</v>
      </c>
    </row>
    <row r="4127" spans="1:4" x14ac:dyDescent="0.2">
      <c r="A4127" s="5">
        <v>4066</v>
      </c>
      <c r="B4127" s="138">
        <f>'Acct Summary 7-8'!H10</f>
        <v>372629</v>
      </c>
      <c r="C4127" s="2" t="s">
        <v>573</v>
      </c>
      <c r="D4127" s="2" t="str">
        <f t="shared" si="63"/>
        <v>Error?</v>
      </c>
    </row>
    <row r="4128" spans="1:4" x14ac:dyDescent="0.2">
      <c r="A4128" s="5">
        <v>4067</v>
      </c>
      <c r="B4128" s="138">
        <f>'Acct Summary 7-8'!I10</f>
        <v>18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1514105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6346025</v>
      </c>
      <c r="C4136" s="2" t="s">
        <v>573</v>
      </c>
      <c r="D4136" s="2" t="str">
        <f t="shared" si="63"/>
        <v>Error?</v>
      </c>
    </row>
    <row r="4137" spans="1:4" x14ac:dyDescent="0.2">
      <c r="A4137" s="5">
        <v>4076</v>
      </c>
      <c r="B4137" s="138">
        <f>'Acct Summary 7-8'!D19</f>
        <v>313371</v>
      </c>
      <c r="C4137" s="2" t="s">
        <v>573</v>
      </c>
      <c r="D4137" s="2" t="str">
        <f t="shared" si="63"/>
        <v>Error?</v>
      </c>
    </row>
    <row r="4138" spans="1:4" x14ac:dyDescent="0.2">
      <c r="A4138" s="5">
        <v>4077</v>
      </c>
      <c r="B4138" s="138">
        <f>'Acct Summary 7-8'!E19</f>
        <v>267904</v>
      </c>
      <c r="C4138" s="2" t="s">
        <v>573</v>
      </c>
      <c r="D4138" s="2" t="str">
        <f t="shared" si="63"/>
        <v>Error?</v>
      </c>
    </row>
    <row r="4139" spans="1:4" x14ac:dyDescent="0.2">
      <c r="A4139" s="5">
        <v>4078</v>
      </c>
      <c r="B4139" s="138">
        <f>'Acct Summary 7-8'!F19</f>
        <v>656211</v>
      </c>
      <c r="C4139" s="2" t="s">
        <v>573</v>
      </c>
      <c r="D4139" s="2" t="str">
        <f t="shared" si="63"/>
        <v>Error?</v>
      </c>
    </row>
    <row r="4140" spans="1:4" x14ac:dyDescent="0.2">
      <c r="A4140" s="5">
        <v>4079</v>
      </c>
      <c r="B4140" s="138">
        <f>'Acct Summary 7-8'!G19</f>
        <v>117160</v>
      </c>
      <c r="C4140" s="2" t="s">
        <v>573</v>
      </c>
      <c r="D4140" s="2" t="str">
        <f t="shared" si="63"/>
        <v>Error?</v>
      </c>
    </row>
    <row r="4141" spans="1:4" x14ac:dyDescent="0.2">
      <c r="A4141" s="5">
        <v>4080</v>
      </c>
      <c r="B4141" s="138">
        <f>'Acct Summary 7-8'!H19</f>
        <v>751653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3110000</v>
      </c>
      <c r="C4171" s="2" t="s">
        <v>573</v>
      </c>
      <c r="D4171" s="2" t="str">
        <f t="shared" si="64"/>
        <v>Error?</v>
      </c>
    </row>
    <row r="4172" spans="1:4" x14ac:dyDescent="0.2">
      <c r="A4172" s="5">
        <v>4111</v>
      </c>
      <c r="B4172" s="138">
        <f>'Short-Term Long-Term Debt 24'!J49</f>
        <v>3110000</v>
      </c>
      <c r="C4172" s="2" t="s">
        <v>573</v>
      </c>
      <c r="D4172" s="2" t="str">
        <f t="shared" si="64"/>
        <v>Error?</v>
      </c>
    </row>
    <row r="4173" spans="1:4" x14ac:dyDescent="0.2">
      <c r="A4173" s="5">
        <v>4112</v>
      </c>
      <c r="B4173" s="138">
        <f>'Short-Term Long-Term Debt 24'!H49</f>
        <v>89000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1940.7</v>
      </c>
      <c r="C4265" s="2" t="s">
        <v>573</v>
      </c>
      <c r="D4265" s="2" t="str">
        <f t="shared" si="65"/>
        <v>Error?</v>
      </c>
      <c r="E4265" s="128"/>
    </row>
    <row r="4266" spans="1:5" x14ac:dyDescent="0.2">
      <c r="A4266" s="12">
        <v>4205</v>
      </c>
      <c r="B4266" s="138">
        <f>('FP Info 3'!F10)*100000</f>
        <v>3740.0000000000005</v>
      </c>
      <c r="C4266" s="2" t="s">
        <v>573</v>
      </c>
      <c r="D4266" s="2" t="str">
        <f t="shared" si="65"/>
        <v>Error?</v>
      </c>
      <c r="E4266" s="128"/>
    </row>
    <row r="4267" spans="1:5" x14ac:dyDescent="0.2">
      <c r="A4267" s="12">
        <v>4206</v>
      </c>
      <c r="B4267" s="138">
        <f>('FP Info 3'!H10)*100000</f>
        <v>170</v>
      </c>
      <c r="C4267" s="2" t="s">
        <v>573</v>
      </c>
      <c r="D4267" s="2" t="str">
        <f t="shared" si="65"/>
        <v>Error?</v>
      </c>
      <c r="E4267" s="128"/>
    </row>
    <row r="4268" spans="1:5" x14ac:dyDescent="0.2">
      <c r="A4268" s="12">
        <v>4207</v>
      </c>
      <c r="B4268" s="138">
        <f>('FP Info 3'!J10)*100000</f>
        <v>5851</v>
      </c>
      <c r="C4268" s="2" t="s">
        <v>573</v>
      </c>
      <c r="D4268" s="2" t="str">
        <f t="shared" si="65"/>
        <v>Error?</v>
      </c>
    </row>
    <row r="4269" spans="1:5" x14ac:dyDescent="0.2">
      <c r="A4269" s="12">
        <v>4208</v>
      </c>
      <c r="B4269" s="138">
        <f>'FP Info 3'!J16</f>
        <v>2726717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15011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36618</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5542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29288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15480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22883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222600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70993076</v>
      </c>
      <c r="D4995" s="2" t="str">
        <f t="shared" si="77"/>
        <v>Error?</v>
      </c>
    </row>
    <row r="4996" spans="1:4" x14ac:dyDescent="0.2">
      <c r="A4996" s="12">
        <v>4935</v>
      </c>
      <c r="B4996" s="138">
        <f>'FP Info 3'!H31</f>
        <v>4898522.2439999999</v>
      </c>
      <c r="D4996" s="2" t="str">
        <f t="shared" si="77"/>
        <v>Error?</v>
      </c>
    </row>
    <row r="4997" spans="1:4" x14ac:dyDescent="0.2">
      <c r="A4997" s="12">
        <v>4936</v>
      </c>
      <c r="B4997" s="138">
        <f>'FP Info 3'!H37</f>
        <v>3110000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150000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48590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1386748</v>
      </c>
      <c r="D5061" s="2" t="str">
        <f t="shared" si="78"/>
        <v>Error?</v>
      </c>
    </row>
    <row r="5062" spans="1:4" x14ac:dyDescent="0.2">
      <c r="A5062" s="10">
        <v>5001</v>
      </c>
      <c r="D5062" s="2" t="str">
        <f t="shared" si="78"/>
        <v>OK</v>
      </c>
    </row>
    <row r="5063" spans="1:4" x14ac:dyDescent="0.2">
      <c r="A5063" s="5">
        <v>5002</v>
      </c>
      <c r="B5063" s="138">
        <f>'Revenues 9-14'!C7</f>
        <v>194298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1629636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20201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20201</v>
      </c>
      <c r="C5071" s="2" t="s">
        <v>573</v>
      </c>
      <c r="D5071" s="2" t="str">
        <f t="shared" si="78"/>
        <v>Error?</v>
      </c>
    </row>
    <row r="5072" spans="1:4" x14ac:dyDescent="0.2">
      <c r="A5072" s="5">
        <v>5011</v>
      </c>
      <c r="B5072" s="138">
        <f>'Revenues 9-14'!C20</f>
        <v>989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989</v>
      </c>
      <c r="C5087" s="2" t="s">
        <v>573</v>
      </c>
      <c r="D5087" s="2" t="str">
        <f t="shared" si="78"/>
        <v>Error?</v>
      </c>
    </row>
    <row r="5088" spans="1:4" x14ac:dyDescent="0.2">
      <c r="A5088" s="5">
        <v>5027</v>
      </c>
      <c r="B5088" s="138">
        <f>'Revenues 9-14'!C65</f>
        <v>23693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23693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4343</v>
      </c>
      <c r="D5100" s="2" t="str">
        <f t="shared" si="78"/>
        <v>Error?</v>
      </c>
    </row>
    <row r="5101" spans="1:4" x14ac:dyDescent="0.2">
      <c r="A5101" s="5">
        <v>5040</v>
      </c>
      <c r="B5101" s="138">
        <f>'Revenues 9-14'!C81</f>
        <v>580</v>
      </c>
      <c r="D5101" s="2" t="str">
        <f t="shared" si="78"/>
        <v>Error?</v>
      </c>
    </row>
    <row r="5102" spans="1:4" x14ac:dyDescent="0.2">
      <c r="A5102" s="5">
        <v>5041</v>
      </c>
      <c r="B5102" s="138">
        <f>'Revenues 9-14'!C82</f>
        <v>4923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20756</v>
      </c>
      <c r="D5111" s="2" t="str">
        <f t="shared" si="78"/>
        <v>Error?</v>
      </c>
    </row>
    <row r="5112" spans="1:4" x14ac:dyDescent="0.2">
      <c r="A5112" s="5">
        <v>5051</v>
      </c>
      <c r="B5112" s="138">
        <f>'Revenues 9-14'!C93</f>
        <v>20756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41387</v>
      </c>
      <c r="D5119" s="2" t="str">
        <f t="shared" ref="D5119:D5182" si="79">IF(ISBLANK(B5119),"OK",IF(A5119-B5119=0,"OK","Error?"))</f>
        <v>Error?</v>
      </c>
    </row>
    <row r="5120" spans="1:4" x14ac:dyDescent="0.2">
      <c r="A5120" s="5">
        <v>5059</v>
      </c>
      <c r="B5120" s="138">
        <f>'Revenues 9-14'!C108</f>
        <v>41387</v>
      </c>
      <c r="C5120" s="2" t="s">
        <v>573</v>
      </c>
      <c r="D5120" s="2" t="str">
        <f t="shared" si="79"/>
        <v>Error?</v>
      </c>
    </row>
    <row r="5121" spans="1:4" x14ac:dyDescent="0.2">
      <c r="A5121" s="5">
        <v>5060</v>
      </c>
      <c r="B5121" s="138">
        <f>'Revenues 9-14'!C109</f>
        <v>1741585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2496590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2496590</v>
      </c>
      <c r="C5132" s="2" t="s">
        <v>573</v>
      </c>
      <c r="D5132" s="2" t="str">
        <f t="shared" si="79"/>
        <v>Error?</v>
      </c>
    </row>
    <row r="5133" spans="1:4" x14ac:dyDescent="0.2">
      <c r="A5133" s="5">
        <v>5072</v>
      </c>
      <c r="B5133" s="138">
        <f>'Revenues 9-14'!C125</f>
        <v>136366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136366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7248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144364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2640954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138059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342432</v>
      </c>
      <c r="C5246" s="2" t="s">
        <v>573</v>
      </c>
      <c r="D5246" s="2" t="str">
        <f t="shared" si="80"/>
        <v>Error?</v>
      </c>
    </row>
    <row r="5247" spans="1:4" x14ac:dyDescent="0.2">
      <c r="A5247" s="5">
        <v>5186</v>
      </c>
      <c r="B5247" s="138">
        <f>'Revenues 9-14'!C200</f>
        <v>188491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15480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188491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91565</v>
      </c>
      <c r="D5278" s="2" t="str">
        <f t="shared" si="81"/>
        <v>Error?</v>
      </c>
    </row>
    <row r="5279" spans="1:4" x14ac:dyDescent="0.2">
      <c r="A5279" s="5">
        <v>5218</v>
      </c>
      <c r="B5279" s="138">
        <f>'Revenues 9-14'!C214</f>
        <v>2641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94206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698322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698322</v>
      </c>
      <c r="C5326" s="2" t="s">
        <v>573</v>
      </c>
      <c r="D5326" s="2" t="str">
        <f t="shared" si="82"/>
        <v>Error?</v>
      </c>
    </row>
    <row r="5327" spans="1:5" x14ac:dyDescent="0.2">
      <c r="A5327" s="5">
        <v>5266</v>
      </c>
      <c r="B5327" s="138">
        <f>'Revenues 9-14'!C268</f>
        <v>5080861</v>
      </c>
      <c r="C5327" s="2" t="s">
        <v>573</v>
      </c>
      <c r="D5327" s="2" t="str">
        <f t="shared" si="82"/>
        <v>Error?</v>
      </c>
    </row>
    <row r="5328" spans="1:5" x14ac:dyDescent="0.2">
      <c r="A5328" s="5">
        <v>5267</v>
      </c>
      <c r="B5328" s="138">
        <f>'Revenues 9-14'!D5</f>
        <v>267135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267135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19355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19355</v>
      </c>
      <c r="C5339" s="2" t="s">
        <v>573</v>
      </c>
      <c r="D5339" s="2" t="str">
        <f t="shared" si="82"/>
        <v>Error?</v>
      </c>
    </row>
    <row r="5340" spans="1:4" x14ac:dyDescent="0.2">
      <c r="A5340" s="5">
        <v>5279</v>
      </c>
      <c r="B5340" s="138">
        <f>'Revenues 9-14'!D65</f>
        <v>7380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7380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15192</v>
      </c>
      <c r="D5354" s="2" t="str">
        <f t="shared" si="82"/>
        <v>Error?</v>
      </c>
    </row>
    <row r="5355" spans="1:4" x14ac:dyDescent="0.2">
      <c r="A5355" s="5">
        <v>5294</v>
      </c>
      <c r="B5355" s="138">
        <f>'Revenues 9-14'!D108</f>
        <v>15192</v>
      </c>
      <c r="C5355" s="2" t="s">
        <v>573</v>
      </c>
      <c r="D5355" s="2" t="str">
        <f t="shared" si="82"/>
        <v>Error?</v>
      </c>
    </row>
    <row r="5356" spans="1:4" x14ac:dyDescent="0.2">
      <c r="A5356" s="5">
        <v>5295</v>
      </c>
      <c r="B5356" s="138">
        <f>'Revenues 9-14'!D109</f>
        <v>309062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309062</v>
      </c>
      <c r="C5508" s="2" t="s">
        <v>573</v>
      </c>
      <c r="D5508" s="2" t="str">
        <f t="shared" si="85"/>
        <v>Error?</v>
      </c>
    </row>
    <row r="5509" spans="1:4" x14ac:dyDescent="0.2">
      <c r="A5509" s="5">
        <v>5448</v>
      </c>
      <c r="B5509" s="138">
        <f>'Revenues 9-14'!E5</f>
        <v>271385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271385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2929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2929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274314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274314</v>
      </c>
      <c r="C5552" s="2" t="s">
        <v>573</v>
      </c>
      <c r="D5552" s="2" t="str">
        <f t="shared" si="85"/>
        <v>Error?</v>
      </c>
    </row>
    <row r="5553" spans="1:4" x14ac:dyDescent="0.2">
      <c r="A5553" s="5">
        <v>5492</v>
      </c>
      <c r="B5553" s="138">
        <f>'Revenues 9-14'!F5</f>
        <v>121428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121428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28033</v>
      </c>
      <c r="D5586" s="2" t="str">
        <f t="shared" si="86"/>
        <v>Error?</v>
      </c>
    </row>
    <row r="5587" spans="1:4" x14ac:dyDescent="0.2">
      <c r="A5587" s="5">
        <v>5526</v>
      </c>
      <c r="B5587" s="138">
        <f>'Revenues 9-14'!F108</f>
        <v>28033</v>
      </c>
      <c r="C5587" s="2" t="s">
        <v>573</v>
      </c>
      <c r="D5587" s="2" t="str">
        <f t="shared" si="86"/>
        <v>Error?</v>
      </c>
    </row>
    <row r="5588" spans="1:4" x14ac:dyDescent="0.2">
      <c r="A5588" s="5">
        <v>5527</v>
      </c>
      <c r="B5588" s="138">
        <f>'Revenues 9-14'!F109</f>
        <v>149594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108917</v>
      </c>
      <c r="D5615" s="2" t="str">
        <f t="shared" si="86"/>
        <v>Error?</v>
      </c>
    </row>
    <row r="5616" spans="1:4" x14ac:dyDescent="0.2">
      <c r="A5616" s="10">
        <v>5555</v>
      </c>
      <c r="D5616" s="2" t="str">
        <f t="shared" si="86"/>
        <v>OK</v>
      </c>
    </row>
    <row r="5617" spans="1:5" x14ac:dyDescent="0.2">
      <c r="A5617" s="5">
        <v>5556</v>
      </c>
      <c r="B5617" s="138">
        <f>'Revenues 9-14'!F153</f>
        <v>251111</v>
      </c>
      <c r="D5617" s="2" t="str">
        <f t="shared" si="86"/>
        <v>Error?</v>
      </c>
    </row>
    <row r="5618" spans="1:5" x14ac:dyDescent="0.2">
      <c r="A5618" s="5">
        <v>5557</v>
      </c>
      <c r="B5618" s="138">
        <f>'Revenues 9-14'!F155</f>
        <v>360028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360028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360028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509622</v>
      </c>
      <c r="C5720" s="2" t="s">
        <v>573</v>
      </c>
      <c r="D5720" s="2" t="str">
        <f t="shared" si="88"/>
        <v>Error?</v>
      </c>
    </row>
    <row r="5721" spans="1:4" x14ac:dyDescent="0.2">
      <c r="A5721" s="5">
        <v>5660</v>
      </c>
      <c r="B5721" s="138">
        <f>'Revenues 9-14'!G5</f>
        <v>46689</v>
      </c>
      <c r="D5721" s="2" t="str">
        <f t="shared" si="88"/>
        <v>Error?</v>
      </c>
    </row>
    <row r="5722" spans="1:4" x14ac:dyDescent="0.2">
      <c r="A5722" s="5">
        <v>5661</v>
      </c>
      <c r="B5722" s="138">
        <f>'Revenues 9-14'!G7</f>
        <v>0</v>
      </c>
      <c r="D5722" s="2" t="str">
        <f t="shared" si="88"/>
        <v>Error?</v>
      </c>
    </row>
    <row r="5723" spans="1:4" x14ac:dyDescent="0.2">
      <c r="A5723" s="5">
        <v>5662</v>
      </c>
      <c r="B5723" s="138">
        <f>'Revenues 9-14'!G8</f>
        <v>44910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91599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19356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19356</v>
      </c>
      <c r="C5730" s="2" t="s">
        <v>573</v>
      </c>
      <c r="D5730" s="2" t="str">
        <f t="shared" si="88"/>
        <v>Error?</v>
      </c>
    </row>
    <row r="5731" spans="1:4" x14ac:dyDescent="0.2">
      <c r="A5731" s="5">
        <v>5670</v>
      </c>
      <c r="B5731" s="138">
        <f>'Revenues 9-14'!G65</f>
        <v>2972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2972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113927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29687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29687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1500</v>
      </c>
      <c r="D5885" s="2" t="str">
        <f t="shared" si="90"/>
        <v>Error?</v>
      </c>
    </row>
    <row r="5886" spans="1:4" x14ac:dyDescent="0.2">
      <c r="A5886" s="5">
        <v>5825</v>
      </c>
      <c r="B5886" s="138">
        <f>'Revenues 9-14'!H108</f>
        <v>1500</v>
      </c>
      <c r="C5886" s="2" t="s">
        <v>573</v>
      </c>
      <c r="D5886" s="2" t="str">
        <f t="shared" si="90"/>
        <v>Error?</v>
      </c>
    </row>
    <row r="5887" spans="1:4" x14ac:dyDescent="0.2">
      <c r="A5887" s="5">
        <v>5826</v>
      </c>
      <c r="B5887" s="138">
        <f>'Revenues 9-14'!H117</f>
        <v>118842</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118842</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222600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341442</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372629</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113927</v>
      </c>
      <c r="C6024" s="2" t="s">
        <v>573</v>
      </c>
      <c r="D6024" s="2" t="str">
        <f t="shared" si="93"/>
        <v>Error?</v>
      </c>
    </row>
    <row r="6025" spans="1:5" x14ac:dyDescent="0.2">
      <c r="A6025" s="5">
        <v>5964</v>
      </c>
      <c r="B6025" s="138">
        <f>'Revenues 9-14'!H109</f>
        <v>31187</v>
      </c>
      <c r="C6025" s="2" t="s">
        <v>573</v>
      </c>
      <c r="D6025" s="2" t="str">
        <f t="shared" si="93"/>
        <v>Error?</v>
      </c>
    </row>
    <row r="6026" spans="1:5" x14ac:dyDescent="0.2">
      <c r="A6026" s="5">
        <v>5965</v>
      </c>
      <c r="B6026" s="138">
        <f>'Revenues 9-14'!I109</f>
        <v>18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21983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371.1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98941</v>
      </c>
      <c r="D6267" s="2" t="str">
        <f t="shared" si="96"/>
        <v>Error?</v>
      </c>
      <c r="E6267" s="2" t="s">
        <v>190</v>
      </c>
    </row>
    <row r="6268" spans="1:5" x14ac:dyDescent="0.2">
      <c r="A6268">
        <v>6207</v>
      </c>
      <c r="B6268" s="138">
        <f>'Acct Summary 7-8'!D82</f>
        <v>-4309</v>
      </c>
      <c r="D6268" s="2" t="str">
        <f t="shared" si="96"/>
        <v>Error?</v>
      </c>
      <c r="E6268" s="2" t="s">
        <v>190</v>
      </c>
    </row>
    <row r="6269" spans="1:5" x14ac:dyDescent="0.2">
      <c r="A6269">
        <v>6208</v>
      </c>
      <c r="B6269" s="138">
        <f>'Acct Summary 7-8'!E82</f>
        <v>6410</v>
      </c>
      <c r="D6269" s="2" t="str">
        <f t="shared" si="96"/>
        <v>Error?</v>
      </c>
      <c r="E6269" s="2" t="s">
        <v>190</v>
      </c>
    </row>
    <row r="6270" spans="1:5" x14ac:dyDescent="0.2">
      <c r="A6270">
        <v>6209</v>
      </c>
      <c r="B6270" s="138">
        <f>'Acct Summary 7-8'!F82</f>
        <v>3411</v>
      </c>
      <c r="D6270" s="2" t="str">
        <f t="shared" si="96"/>
        <v>Error?</v>
      </c>
      <c r="E6270" s="2" t="s">
        <v>190</v>
      </c>
    </row>
    <row r="6271" spans="1:5" x14ac:dyDescent="0.2">
      <c r="A6271">
        <v>6210</v>
      </c>
      <c r="B6271" s="138">
        <f>'Acct Summary 7-8'!G82</f>
        <v>-3233</v>
      </c>
      <c r="D6271" s="2" t="str">
        <f t="shared" ref="D6271:D6334" si="97">IF(ISBLANK(B6271),"OK",IF(A6271-B6271=0,"OK","Error?"))</f>
        <v>Error?</v>
      </c>
      <c r="E6271" s="2" t="s">
        <v>190</v>
      </c>
    </row>
    <row r="6272" spans="1:5" x14ac:dyDescent="0.2">
      <c r="A6272">
        <v>6211</v>
      </c>
      <c r="B6272" s="138">
        <f>'Acct Summary 7-8'!H82</f>
        <v>-379024</v>
      </c>
      <c r="D6272" s="2" t="str">
        <f t="shared" si="97"/>
        <v>Error?</v>
      </c>
      <c r="E6272" s="2" t="s">
        <v>190</v>
      </c>
    </row>
    <row r="6273" spans="1:5" x14ac:dyDescent="0.2">
      <c r="A6273">
        <v>6212</v>
      </c>
      <c r="B6273" s="138">
        <f>'Acct Summary 7-8'!I82</f>
        <v>18</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4.2660258925406959E-2</v>
      </c>
      <c r="D6276" s="2" t="str">
        <f t="shared" si="97"/>
        <v>Error?</v>
      </c>
      <c r="E6276" s="2" t="s">
        <v>190</v>
      </c>
    </row>
    <row r="6277" spans="1:5" x14ac:dyDescent="0.2">
      <c r="A6277">
        <v>6216</v>
      </c>
      <c r="B6277" s="138">
        <f>'Acct Summary 7-8'!D83</f>
        <v>-1.1607578194239042E-2</v>
      </c>
      <c r="D6277" s="2" t="str">
        <f t="shared" si="97"/>
        <v>Error?</v>
      </c>
      <c r="E6277" s="2" t="s">
        <v>190</v>
      </c>
    </row>
    <row r="6278" spans="1:5" x14ac:dyDescent="0.2">
      <c r="A6278">
        <v>6217</v>
      </c>
      <c r="B6278" s="138">
        <f>'Acct Summary 7-8'!E83</f>
        <v>4.6019096848302105E-2</v>
      </c>
      <c r="D6278" s="2" t="str">
        <f t="shared" si="97"/>
        <v>Error?</v>
      </c>
      <c r="E6278" s="2" t="s">
        <v>190</v>
      </c>
    </row>
    <row r="6279" spans="1:5" x14ac:dyDescent="0.2">
      <c r="A6279">
        <v>6218</v>
      </c>
      <c r="B6279" s="138">
        <f>'Acct Summary 7-8'!F83</f>
        <v>0.98697916666666663</v>
      </c>
      <c r="D6279" s="2" t="str">
        <f t="shared" si="97"/>
        <v>Error?</v>
      </c>
      <c r="E6279" s="2" t="s">
        <v>190</v>
      </c>
    </row>
    <row r="6280" spans="1:5" x14ac:dyDescent="0.2">
      <c r="A6280">
        <v>6219</v>
      </c>
      <c r="B6280" s="138">
        <f>'Acct Summary 7-8'!G83</f>
        <v>-3.7130617542005952E-2</v>
      </c>
      <c r="D6280" s="2" t="str">
        <f t="shared" si="97"/>
        <v>Error?</v>
      </c>
      <c r="E6280" s="2" t="s">
        <v>190</v>
      </c>
    </row>
    <row r="6281" spans="1:5" x14ac:dyDescent="0.2">
      <c r="A6281">
        <v>6220</v>
      </c>
      <c r="B6281" s="138">
        <f>'Acct Summary 7-8'!H83</f>
        <v>-0.1804355505030453</v>
      </c>
      <c r="D6281" s="2" t="str">
        <f t="shared" si="97"/>
        <v>Error?</v>
      </c>
      <c r="E6281" s="2" t="s">
        <v>190</v>
      </c>
    </row>
    <row r="6282" spans="1:5" x14ac:dyDescent="0.2">
      <c r="A6282">
        <v>6221</v>
      </c>
      <c r="B6282" s="138">
        <f>'Acct Summary 7-8'!I83</f>
        <v>5.4945054945054945E-4</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204373</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221259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194298</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500852</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450852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3" t="str">
        <f>COVER!A17</f>
        <v>Chaney-Monge SD 88</v>
      </c>
      <c r="B7" s="2384"/>
      <c r="C7" s="2384"/>
      <c r="D7" s="2421"/>
      <c r="E7" s="2422">
        <f>COVER!A13</f>
        <v>56099088002</v>
      </c>
      <c r="F7" s="2423"/>
      <c r="G7" s="2390" t="str">
        <f>COVER!T23</f>
        <v>066-003328</v>
      </c>
      <c r="H7" s="2391"/>
      <c r="I7" s="2391"/>
      <c r="J7" s="2391"/>
      <c r="K7" s="2391"/>
      <c r="L7" s="2392"/>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3"/>
      <c r="B9" s="2394"/>
      <c r="C9" s="2394"/>
      <c r="D9" s="2394"/>
      <c r="E9" s="2394"/>
      <c r="F9" s="2395"/>
      <c r="G9" s="2396" t="str">
        <f>COVER!T13</f>
        <v xml:space="preserve">MUELLER &amp; CO., LLP </v>
      </c>
      <c r="H9" s="2397"/>
      <c r="I9" s="2397"/>
      <c r="J9" s="2397"/>
      <c r="K9" s="2397"/>
      <c r="L9" s="2398"/>
    </row>
    <row r="10" spans="1:29" ht="13.5" customHeight="1" x14ac:dyDescent="0.2">
      <c r="A10" s="2380" t="str">
        <f>COVER!A38</f>
        <v>ANDY SIEGFRIED</v>
      </c>
      <c r="B10" s="2381"/>
      <c r="C10" s="2381"/>
      <c r="D10" s="2381"/>
      <c r="E10" s="2381"/>
      <c r="F10" s="2382"/>
      <c r="G10" s="2396" t="str">
        <f>COVER!T17</f>
        <v xml:space="preserve">14300 RAVINIA AVE. </v>
      </c>
      <c r="H10" s="2409"/>
      <c r="I10" s="2409"/>
      <c r="J10" s="2409"/>
      <c r="K10" s="2409"/>
      <c r="L10" s="2410"/>
    </row>
    <row r="11" spans="1:29" ht="13.5" customHeight="1" x14ac:dyDescent="0.2">
      <c r="A11" s="1183" t="s">
        <v>1519</v>
      </c>
      <c r="B11" s="1184"/>
      <c r="C11" s="1185"/>
      <c r="D11" s="1190"/>
      <c r="E11" s="1185"/>
      <c r="F11" s="1189"/>
      <c r="G11" s="2396" t="str">
        <f>COVER!T19</f>
        <v xml:space="preserve">ORLAND PARK </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emccormick@muellercpa.com</v>
      </c>
      <c r="J13" s="2418"/>
      <c r="K13" s="2418"/>
      <c r="L13" s="2419"/>
    </row>
    <row r="14" spans="1:29" ht="13.5" customHeight="1" x14ac:dyDescent="0.2">
      <c r="A14" s="2396" t="str">
        <f>COVER!A19</f>
        <v>400 Elise Avenue</v>
      </c>
      <c r="B14" s="2409"/>
      <c r="C14" s="2409"/>
      <c r="D14" s="2409"/>
      <c r="E14" s="2409"/>
      <c r="F14" s="2410"/>
      <c r="G14" s="1194" t="s">
        <v>1185</v>
      </c>
      <c r="H14" s="1192"/>
      <c r="I14" s="1192"/>
      <c r="J14" s="1192"/>
      <c r="K14" s="1192"/>
      <c r="L14" s="1193"/>
    </row>
    <row r="15" spans="1:29" ht="13.5" customHeight="1" x14ac:dyDescent="0.2">
      <c r="A15" s="2396" t="str">
        <f>COVER!A21</f>
        <v>Crest Hill</v>
      </c>
      <c r="B15" s="2409"/>
      <c r="C15" s="2409"/>
      <c r="D15" s="2409"/>
      <c r="E15" s="2409"/>
      <c r="F15" s="2410"/>
      <c r="G15" s="2406" t="str">
        <f>COVER!T15</f>
        <v xml:space="preserve">EDWARD MCCORMICK </v>
      </c>
      <c r="H15" s="2407"/>
      <c r="I15" s="2407"/>
      <c r="J15" s="2407"/>
      <c r="K15" s="2407"/>
      <c r="L15" s="2408"/>
    </row>
    <row r="16" spans="1:29" ht="12.2" customHeight="1" x14ac:dyDescent="0.2">
      <c r="A16" s="2386">
        <f>COVER!A25</f>
        <v>60453</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4" t="s">
        <v>1184</v>
      </c>
      <c r="H17" s="1192"/>
      <c r="I17" s="1192"/>
      <c r="J17" s="1192"/>
      <c r="K17" s="1196" t="s">
        <v>1183</v>
      </c>
      <c r="L17" s="1189"/>
      <c r="M17" s="1182"/>
    </row>
    <row r="18" spans="1:13" ht="12.2" customHeight="1" x14ac:dyDescent="0.2">
      <c r="A18" s="2380"/>
      <c r="B18" s="2381"/>
      <c r="C18" s="2381"/>
      <c r="D18" s="2381"/>
      <c r="E18" s="2381"/>
      <c r="F18" s="2382"/>
      <c r="G18" s="2383" t="str">
        <f>COVER!T21</f>
        <v>708-349-6999</v>
      </c>
      <c r="H18" s="2384"/>
      <c r="I18" s="2384"/>
      <c r="J18" s="2384"/>
      <c r="K18" s="2383" t="str">
        <f>COVER!X21</f>
        <v>708-349-6639</v>
      </c>
      <c r="L18" s="238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4" t="str">
        <f>'Single Audit Cover'!A7</f>
        <v>Chaney-Monge SD 88</v>
      </c>
      <c r="B1" s="2420"/>
      <c r="C1" s="2420"/>
      <c r="D1" s="2420"/>
    </row>
    <row r="2" spans="1:11" s="1211" customFormat="1" ht="12.75" x14ac:dyDescent="0.2">
      <c r="A2" s="2425">
        <f>'Single Audit Cover'!E7</f>
        <v>56099088002</v>
      </c>
      <c r="B2" s="2426"/>
      <c r="C2" s="2426"/>
      <c r="D2" s="2426"/>
    </row>
    <row r="3" spans="1:11" s="1211" customFormat="1" ht="12.75" x14ac:dyDescent="0.2">
      <c r="A3" s="2424" t="s">
        <v>1513</v>
      </c>
      <c r="B3" s="2420"/>
      <c r="C3" s="2420"/>
      <c r="D3" s="2420"/>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31" zoomScale="110" zoomScaleNormal="110" zoomScaleSheetLayoutView="100" workbookViewId="0">
      <selection activeCell="D25" sqref="D25"/>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8" t="str">
        <f>'Single Audit Cover'!A7</f>
        <v>Chaney-Monge SD 88</v>
      </c>
      <c r="B1" s="2428"/>
      <c r="C1" s="2428"/>
      <c r="D1" s="2428"/>
      <c r="E1" s="2428"/>
    </row>
    <row r="2" spans="1:5" x14ac:dyDescent="0.2">
      <c r="A2" s="2429">
        <f>'Single Audit Cover'!E7</f>
        <v>56099088002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6" t="s">
        <v>1243</v>
      </c>
    </row>
    <row r="10" spans="1:5" x14ac:dyDescent="0.2">
      <c r="A10" s="1257" t="s">
        <v>1242</v>
      </c>
      <c r="B10" s="1258" t="s">
        <v>1241</v>
      </c>
      <c r="C10" s="1258"/>
      <c r="D10" s="1259">
        <f>SUM('Acct Summary 7-8'!C7:K7)</f>
        <v>698322</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21983</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-29288</v>
      </c>
    </row>
    <row r="19" spans="1:4" ht="13.5" thickBot="1" x14ac:dyDescent="0.25">
      <c r="A19" s="1261" t="s">
        <v>1235</v>
      </c>
      <c r="D19" s="1262">
        <f>SUM(D10:D17)</f>
        <v>691017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0" t="s">
        <v>2096</v>
      </c>
      <c r="B24" s="2430"/>
      <c r="D24" s="1264">
        <v>-21983</v>
      </c>
    </row>
    <row r="25" spans="1:4" x14ac:dyDescent="0.2">
      <c r="A25" s="2427" t="s">
        <v>2097</v>
      </c>
      <c r="B25" s="2427"/>
      <c r="D25" s="1264">
        <v>29288</v>
      </c>
    </row>
    <row r="26" spans="1:4" x14ac:dyDescent="0.2">
      <c r="A26" s="2427"/>
      <c r="B26" s="2427"/>
      <c r="D26" s="1264"/>
    </row>
    <row r="27" spans="1:4" x14ac:dyDescent="0.2">
      <c r="A27" s="2427"/>
      <c r="B27" s="2427"/>
      <c r="D27" s="1264"/>
    </row>
    <row r="28" spans="1:4" x14ac:dyDescent="0.2">
      <c r="A28" s="2427"/>
      <c r="B28" s="2427"/>
      <c r="D28" s="1264"/>
    </row>
    <row r="29" spans="1:4" x14ac:dyDescent="0.2">
      <c r="A29" s="2427"/>
      <c r="B29" s="2427"/>
      <c r="D29" s="1264"/>
    </row>
    <row r="30" spans="1:4" x14ac:dyDescent="0.2">
      <c r="A30" s="2427"/>
      <c r="B30" s="2427"/>
      <c r="D30" s="1264"/>
    </row>
    <row r="32" spans="1:4" x14ac:dyDescent="0.2">
      <c r="A32" s="1256" t="s">
        <v>1233</v>
      </c>
      <c r="D32" s="1259">
        <f>SUM(D19:D30)</f>
        <v>698322</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27"/>
      <c r="B40" s="2427"/>
      <c r="D40" s="1264"/>
    </row>
    <row r="41" spans="1:4" x14ac:dyDescent="0.2">
      <c r="A41" s="2427"/>
      <c r="B41" s="2427"/>
      <c r="D41" s="1267"/>
    </row>
    <row r="42" spans="1:4" x14ac:dyDescent="0.2">
      <c r="A42" s="2427"/>
      <c r="B42" s="2427"/>
      <c r="D42" s="1267"/>
    </row>
    <row r="43" spans="1:4" x14ac:dyDescent="0.2">
      <c r="A43" s="2427"/>
      <c r="B43" s="2427"/>
      <c r="D43" s="1267"/>
    </row>
    <row r="44" spans="1:4" x14ac:dyDescent="0.2">
      <c r="A44" s="2427"/>
      <c r="B44" s="2427"/>
      <c r="D44" s="1267"/>
    </row>
    <row r="45" spans="1:4" x14ac:dyDescent="0.2">
      <c r="A45" s="2427"/>
      <c r="B45" s="2427"/>
      <c r="D45" s="1267"/>
    </row>
    <row r="47" spans="1:4" x14ac:dyDescent="0.2">
      <c r="B47" s="1268" t="s">
        <v>1227</v>
      </c>
      <c r="C47" s="1268"/>
      <c r="D47" s="1269">
        <f>SUM(D35:D45)</f>
        <v>0</v>
      </c>
    </row>
    <row r="49" spans="2:4" x14ac:dyDescent="0.2">
      <c r="B49" s="1268" t="s">
        <v>1226</v>
      </c>
      <c r="C49" s="1268"/>
      <c r="D49" s="1269">
        <f>D32-D47</f>
        <v>698322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89" t="str">
        <f>'Single Audit Cover'!A7</f>
        <v>Chaney-Monge SD 88</v>
      </c>
      <c r="C1" s="2432"/>
      <c r="D1" s="2432"/>
      <c r="E1" s="2432"/>
      <c r="F1" s="2432"/>
      <c r="G1" s="2432"/>
      <c r="H1" s="2432"/>
      <c r="I1" s="2432"/>
      <c r="J1" s="2432"/>
      <c r="K1" s="2432"/>
      <c r="L1" s="2432"/>
      <c r="M1" s="2432"/>
    </row>
    <row r="2" spans="2:14" ht="15" x14ac:dyDescent="0.2">
      <c r="B2" s="2433">
        <f>'Single Audit Cover'!E7</f>
        <v>56099088002</v>
      </c>
      <c r="C2" s="2433"/>
      <c r="D2" s="2433"/>
      <c r="E2" s="2433"/>
      <c r="F2" s="2433"/>
      <c r="G2" s="2433"/>
      <c r="H2" s="2433"/>
      <c r="I2" s="2433"/>
      <c r="J2" s="2433"/>
      <c r="K2" s="2433"/>
      <c r="L2" s="2433"/>
      <c r="M2" s="2433"/>
      <c r="N2" s="1298"/>
    </row>
    <row r="3" spans="2:14" ht="15" x14ac:dyDescent="0.2">
      <c r="B3" s="2434" t="s">
        <v>1219</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Chaney-Monge SD 88</v>
      </c>
      <c r="B1" s="2437"/>
      <c r="C1" s="2437"/>
      <c r="D1" s="2437"/>
      <c r="E1" s="2437"/>
      <c r="F1" s="2437"/>
    </row>
    <row r="2" spans="1:7" ht="13.5" customHeight="1" x14ac:dyDescent="0.2">
      <c r="A2" s="2433">
        <f>'Single Audit Cover'!E7</f>
        <v>56099088002</v>
      </c>
      <c r="B2" s="2433"/>
      <c r="C2" s="2433"/>
      <c r="D2" s="2433"/>
      <c r="E2" s="2433"/>
      <c r="F2" s="2433"/>
      <c r="G2" s="1271"/>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2" t="s">
        <v>1728</v>
      </c>
      <c r="C6" s="317"/>
      <c r="D6" s="317"/>
    </row>
    <row r="7" spans="1:7" ht="60.95" customHeight="1" x14ac:dyDescent="0.2">
      <c r="A7" s="2436" t="s">
        <v>1729</v>
      </c>
      <c r="B7" s="2436"/>
      <c r="C7" s="2436"/>
      <c r="D7" s="2436"/>
      <c r="E7" s="2436"/>
      <c r="F7" s="243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6" t="s">
        <v>1731</v>
      </c>
      <c r="B13" s="2436"/>
      <c r="C13" s="2436"/>
      <c r="D13" s="2436"/>
      <c r="E13" s="2436"/>
      <c r="F13" s="2436"/>
    </row>
    <row r="14" spans="1:7" ht="9.75" customHeight="1" x14ac:dyDescent="0.2">
      <c r="C14" s="1256"/>
      <c r="D14" s="1256"/>
    </row>
    <row r="15" spans="1:7" ht="13.5" customHeight="1" x14ac:dyDescent="0.2">
      <c r="C15" s="1845" t="s">
        <v>1270</v>
      </c>
      <c r="D15" s="2441" t="s">
        <v>1269</v>
      </c>
      <c r="E15" s="2441"/>
      <c r="F15" s="2441"/>
    </row>
    <row r="16" spans="1:7" ht="13.5" customHeight="1" x14ac:dyDescent="0.2">
      <c r="A16" s="1278"/>
      <c r="B16" s="1272" t="s">
        <v>1268</v>
      </c>
      <c r="C16" s="1845" t="s">
        <v>1267</v>
      </c>
      <c r="D16" s="2442" t="s">
        <v>1588</v>
      </c>
      <c r="E16" s="2442"/>
      <c r="F16" s="2442"/>
    </row>
    <row r="17" spans="1:6" ht="20.45" customHeight="1" x14ac:dyDescent="0.2">
      <c r="A17" s="1279"/>
      <c r="B17" s="1280"/>
      <c r="C17" s="1281"/>
      <c r="D17" s="2440"/>
      <c r="E17" s="2440"/>
      <c r="F17" s="2440"/>
    </row>
    <row r="18" spans="1:6" ht="20.65" customHeight="1" x14ac:dyDescent="0.2">
      <c r="A18" s="1279"/>
      <c r="B18" s="1280"/>
      <c r="C18" s="1281"/>
      <c r="D18" s="2440"/>
      <c r="E18" s="2440"/>
      <c r="F18" s="2440"/>
    </row>
    <row r="19" spans="1:6" ht="20.65" customHeight="1" x14ac:dyDescent="0.2">
      <c r="A19" s="1279"/>
      <c r="B19" s="1280"/>
      <c r="C19" s="1281"/>
      <c r="D19" s="2440"/>
      <c r="E19" s="2440"/>
      <c r="F19" s="2440"/>
    </row>
    <row r="20" spans="1:6" ht="20.65" customHeight="1" x14ac:dyDescent="0.2">
      <c r="A20" s="1279"/>
      <c r="B20" s="1280"/>
      <c r="C20" s="1281"/>
      <c r="D20" s="2440"/>
      <c r="E20" s="2440"/>
      <c r="F20" s="2440"/>
    </row>
    <row r="21" spans="1:6" ht="20.65" customHeight="1" x14ac:dyDescent="0.2">
      <c r="A21" s="1279"/>
      <c r="B21" s="1280"/>
      <c r="C21" s="1281"/>
      <c r="D21" s="2440"/>
      <c r="E21" s="2440"/>
      <c r="F21" s="2440"/>
    </row>
    <row r="22" spans="1:6" ht="20.65" customHeight="1" x14ac:dyDescent="0.2">
      <c r="A22" s="1279"/>
      <c r="B22" s="1280"/>
      <c r="C22" s="1281"/>
      <c r="D22" s="2440"/>
      <c r="E22" s="2440"/>
      <c r="F22" s="2440"/>
    </row>
    <row r="23" spans="1:6" ht="20.65" customHeight="1" x14ac:dyDescent="0.2">
      <c r="A23" s="1279"/>
      <c r="B23" s="1280"/>
      <c r="C23" s="1281"/>
      <c r="D23" s="2440"/>
      <c r="E23" s="2440"/>
      <c r="F23" s="2440"/>
    </row>
    <row r="24" spans="1:6" ht="20.65" customHeight="1" x14ac:dyDescent="0.2">
      <c r="A24" s="1279"/>
      <c r="B24" s="1280"/>
      <c r="C24" s="1281"/>
      <c r="D24" s="2440"/>
      <c r="E24" s="2440"/>
      <c r="F24" s="2440"/>
    </row>
    <row r="25" spans="1:6" ht="20.65" customHeight="1" x14ac:dyDescent="0.2">
      <c r="A25" s="1279"/>
      <c r="B25" s="1280"/>
      <c r="C25" s="1281"/>
      <c r="D25" s="2440"/>
      <c r="E25" s="2440"/>
      <c r="F25" s="2440"/>
    </row>
    <row r="26" spans="1:6" ht="20.65" customHeight="1" x14ac:dyDescent="0.2">
      <c r="A26" s="1279"/>
      <c r="B26" s="1280"/>
      <c r="C26" s="1281"/>
      <c r="D26" s="2440"/>
      <c r="E26" s="2440"/>
      <c r="F26" s="2440"/>
    </row>
    <row r="27" spans="1:6" ht="20.65" customHeight="1" x14ac:dyDescent="0.2">
      <c r="A27" s="1279"/>
      <c r="B27" s="1280"/>
      <c r="C27" s="1281"/>
      <c r="D27" s="2440"/>
      <c r="E27" s="2440"/>
      <c r="F27" s="2440"/>
    </row>
    <row r="28" spans="1:6" ht="20.65" customHeight="1" x14ac:dyDescent="0.2">
      <c r="A28" s="1279"/>
      <c r="B28" s="1280"/>
      <c r="C28" s="1281"/>
      <c r="D28" s="2440"/>
      <c r="E28" s="2440"/>
      <c r="F28" s="2440"/>
    </row>
    <row r="29" spans="1:6" ht="20.65" customHeight="1" x14ac:dyDescent="0.2">
      <c r="A29" s="1279"/>
      <c r="B29" s="1280"/>
      <c r="C29" s="1281"/>
      <c r="D29" s="2440"/>
      <c r="E29" s="2440"/>
      <c r="F29" s="2440"/>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44" t="s">
        <v>1732</v>
      </c>
      <c r="B32" s="2444"/>
      <c r="C32" s="2444"/>
      <c r="D32" s="2444"/>
      <c r="E32" s="2444"/>
      <c r="F32" s="2444"/>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45">
        <f>+C33+C34</f>
        <v>0</v>
      </c>
      <c r="F34" s="2446"/>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7" t="s">
        <v>1590</v>
      </c>
      <c r="C49" s="2447"/>
      <c r="D49" s="2447"/>
      <c r="E49" s="1395"/>
    </row>
    <row r="50" spans="1:5" s="1296" customFormat="1" ht="3.75" customHeight="1" x14ac:dyDescent="0.2">
      <c r="A50" s="1295"/>
      <c r="B50" s="1844"/>
      <c r="C50" s="1844"/>
      <c r="D50" s="1844"/>
      <c r="E50" s="1395"/>
    </row>
    <row r="51" spans="1:5" s="1296" customFormat="1" ht="20.25" customHeight="1" x14ac:dyDescent="0.2">
      <c r="A51" s="1297">
        <v>6</v>
      </c>
      <c r="B51" s="2443" t="s">
        <v>1551</v>
      </c>
      <c r="C51" s="2443"/>
      <c r="D51" s="2443"/>
    </row>
    <row r="52" spans="1:5" ht="14.25" customHeight="1" x14ac:dyDescent="0.2">
      <c r="A52" s="1297"/>
      <c r="B52" s="2443"/>
      <c r="C52" s="2443"/>
      <c r="D52" s="244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5"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t="s">
        <v>2081</v>
      </c>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2082</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Chaney-Monge SD 88</v>
      </c>
      <c r="C1" s="2453"/>
      <c r="D1" s="2453"/>
      <c r="E1" s="2453"/>
      <c r="F1" s="2453"/>
      <c r="G1" s="2453"/>
      <c r="H1" s="2453"/>
      <c r="I1" s="2453"/>
      <c r="J1" s="1405"/>
    </row>
    <row r="2" spans="2:10" s="317" customFormat="1" ht="12.75" customHeight="1" x14ac:dyDescent="0.2">
      <c r="B2" s="2454">
        <f>'Single Audit Cover'!E7</f>
        <v>56099088002</v>
      </c>
      <c r="C2" s="2455"/>
      <c r="D2" s="2455"/>
      <c r="E2" s="2455"/>
      <c r="F2" s="2455"/>
      <c r="G2" s="2455"/>
      <c r="H2" s="2455"/>
      <c r="I2" s="2455"/>
      <c r="J2" s="1405"/>
    </row>
    <row r="3" spans="2:10" s="317" customFormat="1" ht="12.75" customHeight="1" x14ac:dyDescent="0.2">
      <c r="B3" s="2456" t="s">
        <v>1285</v>
      </c>
      <c r="C3" s="2457"/>
      <c r="D3" s="2457"/>
      <c r="E3" s="2457"/>
      <c r="F3" s="2457"/>
      <c r="G3" s="2457"/>
      <c r="H3" s="2457"/>
      <c r="I3" s="2457"/>
      <c r="J3" s="1406"/>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56" t="s">
        <v>1284</v>
      </c>
      <c r="C7" s="2457"/>
      <c r="D7" s="2457"/>
      <c r="E7" s="2457"/>
      <c r="F7" s="2457"/>
      <c r="G7" s="2457"/>
      <c r="H7" s="2457"/>
      <c r="I7" s="2457"/>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58"/>
      <c r="D11" s="2458"/>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59"/>
      <c r="E29" s="2459"/>
      <c r="F29" s="2459"/>
      <c r="G29" s="2459"/>
      <c r="H29" s="2459"/>
      <c r="I29" s="2459"/>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0" t="s">
        <v>1751</v>
      </c>
      <c r="D37" s="2461"/>
      <c r="E37" s="2461"/>
      <c r="F37" s="2462"/>
      <c r="G37" s="2460" t="s">
        <v>1592</v>
      </c>
      <c r="H37" s="2461"/>
      <c r="I37" s="2462"/>
    </row>
    <row r="38" spans="2:9" ht="16.5" customHeight="1" x14ac:dyDescent="0.2">
      <c r="B38" s="1427"/>
      <c r="C38" s="2448"/>
      <c r="D38" s="2449"/>
      <c r="E38" s="2449"/>
      <c r="F38" s="2450"/>
      <c r="G38" s="2463"/>
      <c r="H38" s="2464"/>
      <c r="I38" s="2465"/>
    </row>
    <row r="39" spans="2:9" ht="16.5" customHeight="1" x14ac:dyDescent="0.2">
      <c r="B39" s="1427"/>
      <c r="C39" s="2448"/>
      <c r="D39" s="2449"/>
      <c r="E39" s="2449"/>
      <c r="F39" s="2450"/>
      <c r="G39" s="2451"/>
      <c r="H39" s="2451"/>
      <c r="I39" s="2451"/>
    </row>
    <row r="40" spans="2:9" ht="16.5" customHeight="1" x14ac:dyDescent="0.2">
      <c r="B40" s="1427"/>
      <c r="C40" s="2448"/>
      <c r="D40" s="2449"/>
      <c r="E40" s="2449"/>
      <c r="F40" s="2450"/>
      <c r="G40" s="2451"/>
      <c r="H40" s="2451"/>
      <c r="I40" s="2451"/>
    </row>
    <row r="41" spans="2:9" ht="16.5" customHeight="1" x14ac:dyDescent="0.2">
      <c r="B41" s="1427"/>
      <c r="C41" s="2448"/>
      <c r="D41" s="2449"/>
      <c r="E41" s="2449"/>
      <c r="F41" s="2450"/>
      <c r="G41" s="2451"/>
      <c r="H41" s="2451"/>
      <c r="I41" s="2451"/>
    </row>
    <row r="42" spans="2:9" ht="16.5" customHeight="1" x14ac:dyDescent="0.2">
      <c r="B42" s="1427"/>
      <c r="C42" s="2448"/>
      <c r="D42" s="2449"/>
      <c r="E42" s="2449"/>
      <c r="F42" s="2450"/>
      <c r="G42" s="2451"/>
      <c r="H42" s="2451"/>
      <c r="I42" s="2451"/>
    </row>
    <row r="43" spans="2:9" ht="16.5" customHeight="1" x14ac:dyDescent="0.2">
      <c r="B43" s="1427"/>
      <c r="C43" s="2466" t="s">
        <v>1593</v>
      </c>
      <c r="D43" s="2467"/>
      <c r="E43" s="2467"/>
      <c r="F43" s="2468"/>
      <c r="G43" s="2469">
        <f>SUM(G38:I42)</f>
        <v>0</v>
      </c>
      <c r="H43" s="2469"/>
      <c r="I43" s="2469"/>
    </row>
    <row r="44" spans="2:9" ht="12.75" customHeight="1" x14ac:dyDescent="0.2"/>
    <row r="45" spans="2:9" ht="12.75" customHeight="1" x14ac:dyDescent="0.2">
      <c r="B45" s="1418" t="s">
        <v>1841</v>
      </c>
      <c r="D45" s="2470">
        <v>0</v>
      </c>
      <c r="E45" s="2471"/>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2"/>
      <c r="F49" s="2472"/>
      <c r="G49" s="2472"/>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B14" sqref="B14:K14"/>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Chaney-Monge SD 88</v>
      </c>
      <c r="C1" s="2452"/>
      <c r="D1" s="2452"/>
      <c r="E1" s="2452"/>
      <c r="F1" s="2452"/>
      <c r="G1" s="2452"/>
      <c r="H1" s="2452"/>
      <c r="I1" s="2452"/>
      <c r="J1" s="2452"/>
      <c r="K1" s="2452"/>
      <c r="L1" s="1370"/>
      <c r="M1" s="1370"/>
    </row>
    <row r="2" spans="1:13" ht="12" customHeight="1" x14ac:dyDescent="0.2">
      <c r="B2" s="2454">
        <f>'Single Audit Cover'!E7</f>
        <v>56099088002</v>
      </c>
      <c r="C2" s="2454"/>
      <c r="D2" s="2454"/>
      <c r="E2" s="2454"/>
      <c r="F2" s="2454"/>
      <c r="G2" s="2454"/>
      <c r="H2" s="2454"/>
      <c r="I2" s="2454"/>
      <c r="J2" s="2454"/>
      <c r="K2" s="2454"/>
      <c r="L2" s="1371"/>
      <c r="M2" s="1372"/>
    </row>
    <row r="3" spans="1:13" ht="10.35" customHeight="1" x14ac:dyDescent="0.2">
      <c r="B3" s="2475" t="s">
        <v>1285</v>
      </c>
      <c r="C3" s="2475"/>
      <c r="D3" s="2475"/>
      <c r="E3" s="2475"/>
      <c r="F3" s="2475"/>
      <c r="G3" s="2475"/>
      <c r="H3" s="2475"/>
      <c r="I3" s="2475"/>
      <c r="J3" s="2475"/>
      <c r="K3" s="2475"/>
      <c r="L3" s="1373"/>
      <c r="M3" s="1373"/>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6" t="s">
        <v>1296</v>
      </c>
      <c r="C7" s="2476"/>
      <c r="D7" s="2477"/>
      <c r="E7" s="2477"/>
      <c r="F7" s="2477"/>
      <c r="G7" s="2477"/>
      <c r="H7" s="2477"/>
      <c r="I7" s="2477"/>
      <c r="J7" s="2477"/>
      <c r="K7" s="2477"/>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4"/>
      <c r="C14" s="2474"/>
      <c r="D14" s="2474"/>
      <c r="E14" s="2474"/>
      <c r="F14" s="2474"/>
      <c r="G14" s="2474"/>
      <c r="H14" s="2474"/>
      <c r="I14" s="2474"/>
      <c r="J14" s="2474"/>
      <c r="K14" s="2474"/>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4"/>
      <c r="C17" s="2474"/>
      <c r="D17" s="2474"/>
      <c r="E17" s="2474"/>
      <c r="F17" s="2474"/>
      <c r="G17" s="2474"/>
      <c r="H17" s="2474"/>
      <c r="I17" s="2474"/>
      <c r="J17" s="2474"/>
      <c r="K17" s="2474"/>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8"/>
      <c r="C20" s="2478"/>
      <c r="D20" s="2474"/>
      <c r="E20" s="2474"/>
      <c r="F20" s="2474"/>
      <c r="G20" s="2474"/>
      <c r="H20" s="2474"/>
      <c r="I20" s="2474"/>
      <c r="J20" s="2474"/>
      <c r="K20" s="2474"/>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4"/>
      <c r="C23" s="2474"/>
      <c r="D23" s="2474"/>
      <c r="E23" s="2474"/>
      <c r="F23" s="2474"/>
      <c r="G23" s="2474"/>
      <c r="H23" s="2474"/>
      <c r="I23" s="2474"/>
      <c r="J23" s="2474"/>
      <c r="K23" s="2474"/>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4"/>
      <c r="C26" s="2474"/>
      <c r="D26" s="2474"/>
      <c r="E26" s="2474"/>
      <c r="F26" s="2474"/>
      <c r="G26" s="2474"/>
      <c r="H26" s="2474"/>
      <c r="I26" s="2474"/>
      <c r="J26" s="2474"/>
      <c r="K26" s="2474"/>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3"/>
      <c r="C29" s="2473"/>
      <c r="D29" s="2474"/>
      <c r="E29" s="2474"/>
      <c r="F29" s="2474"/>
      <c r="G29" s="2474"/>
      <c r="H29" s="2474"/>
      <c r="I29" s="2474"/>
      <c r="J29" s="2474"/>
      <c r="K29" s="2474"/>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3"/>
      <c r="C32" s="2473"/>
      <c r="D32" s="2474"/>
      <c r="E32" s="2474"/>
      <c r="F32" s="2474"/>
      <c r="G32" s="2474"/>
      <c r="H32" s="2474"/>
      <c r="I32" s="2474"/>
      <c r="J32" s="2474"/>
      <c r="K32" s="2474"/>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B26" sqref="B26:K26"/>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Chaney-Monge SD 88</v>
      </c>
      <c r="C1" s="2479"/>
      <c r="D1" s="2479"/>
      <c r="E1" s="2479"/>
      <c r="F1" s="2479"/>
      <c r="G1" s="2479"/>
      <c r="H1" s="2479"/>
      <c r="I1" s="2479"/>
      <c r="J1" s="2479"/>
      <c r="K1" s="2479"/>
      <c r="L1" s="1448"/>
    </row>
    <row r="2" spans="1:12" ht="12.75" customHeight="1" x14ac:dyDescent="0.2">
      <c r="B2" s="2480">
        <f>'Single Audit Cover'!E7</f>
        <v>56099088002</v>
      </c>
      <c r="C2" s="2480"/>
      <c r="D2" s="2480"/>
      <c r="E2" s="2480"/>
      <c r="F2" s="2480"/>
      <c r="G2" s="2480"/>
      <c r="H2" s="2480"/>
      <c r="I2" s="2480"/>
      <c r="J2" s="2480"/>
      <c r="K2" s="2480"/>
      <c r="L2" s="1449"/>
    </row>
    <row r="3" spans="1:12" ht="12.75" customHeight="1" x14ac:dyDescent="0.2">
      <c r="B3" s="2475" t="s">
        <v>1285</v>
      </c>
      <c r="C3" s="2475"/>
      <c r="D3" s="2475"/>
      <c r="E3" s="2475"/>
      <c r="F3" s="2475"/>
      <c r="G3" s="2475"/>
      <c r="H3" s="2475"/>
      <c r="I3" s="2475"/>
      <c r="J3" s="2475"/>
      <c r="K3" s="2475"/>
      <c r="L3" s="1373"/>
    </row>
    <row r="4" spans="1:12" ht="12.75" customHeight="1" x14ac:dyDescent="0.2">
      <c r="B4" s="2475" t="str">
        <f>'Single Audit Cover'!A4</f>
        <v>Year Ending June 30, 2019</v>
      </c>
      <c r="C4" s="2475"/>
      <c r="D4" s="2475"/>
      <c r="E4" s="2475"/>
      <c r="F4" s="2475"/>
      <c r="G4" s="2475"/>
      <c r="H4" s="2475"/>
      <c r="I4" s="2475"/>
      <c r="J4" s="2475"/>
      <c r="K4" s="2475"/>
      <c r="L4" s="1373"/>
    </row>
    <row r="5" spans="1:12" ht="5.25" customHeight="1" x14ac:dyDescent="0.2">
      <c r="B5" s="1256" t="s">
        <v>1169</v>
      </c>
      <c r="C5" s="1256"/>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59"/>
      <c r="G12" s="2459"/>
      <c r="H12" s="2459"/>
      <c r="I12" s="2459"/>
      <c r="J12" s="2459"/>
      <c r="K12" s="2459"/>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2"/>
      <c r="E14" s="2482"/>
      <c r="F14" s="2482"/>
      <c r="H14" s="1458" t="s">
        <v>1303</v>
      </c>
      <c r="I14" s="2483"/>
      <c r="J14" s="2483"/>
      <c r="K14" s="2483"/>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3"/>
      <c r="E16" s="2483"/>
      <c r="F16" s="2483"/>
      <c r="G16" s="2483"/>
      <c r="H16" s="2483"/>
      <c r="I16" s="2483"/>
      <c r="J16" s="2483"/>
      <c r="K16" s="2483"/>
      <c r="L16" s="322"/>
    </row>
    <row r="17" spans="2:12" ht="13.5" customHeight="1" x14ac:dyDescent="0.2">
      <c r="B17" s="1383" t="s">
        <v>1301</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4"/>
      <c r="C20" s="2474"/>
      <c r="D20" s="2474"/>
      <c r="E20" s="2474"/>
      <c r="F20" s="2474"/>
      <c r="G20" s="2474"/>
      <c r="H20" s="2474"/>
      <c r="I20" s="2474"/>
      <c r="J20" s="2474"/>
      <c r="K20" s="2474"/>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F73"/>
  <sheetViews>
    <sheetView showGridLines="0" topLeftCell="A22" zoomScale="110" zoomScaleNormal="110" workbookViewId="0">
      <selection activeCell="C5" sqref="C5"/>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8" customFormat="1" ht="12.75" customHeight="1" x14ac:dyDescent="0.2">
      <c r="B1" s="2452" t="str">
        <f>'Single Audit Cover'!A7</f>
        <v>Chaney-Monge SD 88</v>
      </c>
      <c r="C1" s="2452"/>
      <c r="D1" s="2452"/>
      <c r="E1" s="2452"/>
      <c r="F1" s="1468"/>
    </row>
    <row r="2" spans="2:6" s="1278" customFormat="1" ht="12.75" customHeight="1" x14ac:dyDescent="0.2">
      <c r="B2" s="2454">
        <f>'Single Audit Cover'!E7</f>
        <v>56099088002</v>
      </c>
      <c r="C2" s="2454"/>
      <c r="D2" s="2454"/>
      <c r="E2" s="2454"/>
      <c r="F2" s="1469"/>
    </row>
    <row r="3" spans="2:6" ht="12.75" customHeight="1" x14ac:dyDescent="0.2">
      <c r="B3" s="2475" t="s">
        <v>1766</v>
      </c>
      <c r="C3" s="2475"/>
      <c r="D3" s="2475"/>
      <c r="E3" s="2475"/>
      <c r="F3" s="1270"/>
    </row>
    <row r="4" spans="2:6" s="1278" customFormat="1" ht="12.75" customHeight="1" x14ac:dyDescent="0.2">
      <c r="B4" s="2485" t="str">
        <f>'Single Audit Cover'!A4</f>
        <v>Year Ending June 30, 2019</v>
      </c>
      <c r="C4" s="2485"/>
      <c r="D4" s="2485"/>
      <c r="E4" s="2485"/>
      <c r="F4" s="1470"/>
    </row>
    <row r="5" spans="2:6" s="1278" customFormat="1" ht="40.15" customHeight="1" x14ac:dyDescent="0.2">
      <c r="B5" s="1471" t="s">
        <v>1767</v>
      </c>
      <c r="C5" s="328"/>
      <c r="D5" s="328"/>
      <c r="E5" s="328"/>
      <c r="F5" s="328"/>
    </row>
    <row r="6" spans="2:6" s="1278" customFormat="1" ht="13.5" customHeight="1" x14ac:dyDescent="0.2">
      <c r="B6" s="1472" t="s">
        <v>1315</v>
      </c>
      <c r="C6" s="1472" t="s">
        <v>1314</v>
      </c>
      <c r="D6" s="1472"/>
      <c r="E6" s="1472" t="s">
        <v>1768</v>
      </c>
    </row>
    <row r="7" spans="2:6" ht="13.5" customHeight="1" x14ac:dyDescent="0.2">
      <c r="B7" s="1473"/>
      <c r="C7" s="324"/>
      <c r="D7" s="324"/>
      <c r="E7" s="324"/>
      <c r="F7" s="324"/>
    </row>
    <row r="8" spans="2:6" ht="13.5" customHeight="1" x14ac:dyDescent="0.2">
      <c r="B8" s="1473"/>
      <c r="C8" s="324"/>
      <c r="D8" s="324"/>
      <c r="E8" s="324"/>
      <c r="F8" s="324"/>
    </row>
    <row r="9" spans="2:6" ht="13.5" customHeight="1" x14ac:dyDescent="0.2">
      <c r="B9" s="1474"/>
      <c r="C9" s="323"/>
      <c r="D9" s="323"/>
      <c r="E9" s="323"/>
      <c r="F9" s="323"/>
    </row>
    <row r="10" spans="2:6" ht="13.5" customHeight="1" x14ac:dyDescent="0.2">
      <c r="B10" s="1473"/>
      <c r="C10" s="323"/>
      <c r="D10" s="323"/>
      <c r="E10" s="323"/>
      <c r="F10" s="323"/>
    </row>
    <row r="11" spans="2:6" ht="13.5" customHeight="1" x14ac:dyDescent="0.2">
      <c r="B11" s="1473"/>
      <c r="C11" s="323"/>
      <c r="D11" s="323"/>
      <c r="E11" s="323"/>
      <c r="F11" s="323"/>
    </row>
    <row r="12" spans="2:6" ht="13.5" customHeight="1" x14ac:dyDescent="0.2">
      <c r="B12" s="1473"/>
      <c r="C12" s="323"/>
      <c r="D12" s="323"/>
      <c r="E12" s="323"/>
      <c r="F12" s="323"/>
    </row>
    <row r="13" spans="2:6" ht="13.5" customHeight="1" x14ac:dyDescent="0.2">
      <c r="B13" s="1473"/>
      <c r="C13" s="323"/>
      <c r="D13" s="323"/>
      <c r="E13" s="323"/>
      <c r="F13" s="323"/>
    </row>
    <row r="14" spans="2:6" ht="13.5" customHeight="1" x14ac:dyDescent="0.2">
      <c r="B14" s="1473"/>
      <c r="C14" s="323"/>
      <c r="D14" s="323"/>
      <c r="E14" s="323"/>
      <c r="F14" s="323"/>
    </row>
    <row r="15" spans="2:6" ht="13.5" customHeight="1" x14ac:dyDescent="0.2">
      <c r="B15" s="1473"/>
      <c r="C15" s="323"/>
      <c r="D15" s="323"/>
      <c r="E15" s="323"/>
      <c r="F15" s="323"/>
    </row>
    <row r="16" spans="2:6" ht="13.5" customHeight="1" x14ac:dyDescent="0.2">
      <c r="B16" s="1473"/>
      <c r="C16" s="323"/>
      <c r="D16" s="323"/>
      <c r="E16" s="323"/>
      <c r="F16" s="323"/>
    </row>
    <row r="17" spans="2:6" ht="13.5" customHeight="1" x14ac:dyDescent="0.2">
      <c r="B17" s="1473"/>
      <c r="C17" s="323"/>
      <c r="D17" s="323"/>
      <c r="E17" s="323"/>
      <c r="F17" s="323"/>
    </row>
    <row r="18" spans="2:6" ht="13.5" customHeight="1" x14ac:dyDescent="0.2">
      <c r="B18" s="1473"/>
      <c r="C18" s="323"/>
      <c r="D18" s="323"/>
      <c r="E18" s="323"/>
      <c r="F18" s="323"/>
    </row>
    <row r="19" spans="2:6" ht="13.5" customHeight="1" x14ac:dyDescent="0.2">
      <c r="B19" s="1473"/>
      <c r="C19" s="323"/>
      <c r="D19" s="323"/>
      <c r="E19" s="323"/>
      <c r="F19" s="323"/>
    </row>
    <row r="20" spans="2:6" ht="13.5" customHeight="1" x14ac:dyDescent="0.2">
      <c r="B20" s="1473"/>
      <c r="C20" s="323"/>
      <c r="D20" s="323"/>
      <c r="E20" s="323"/>
      <c r="F20" s="323"/>
    </row>
    <row r="21" spans="2:6" ht="13.5" customHeight="1" x14ac:dyDescent="0.2">
      <c r="B21" s="1473"/>
      <c r="C21" s="323"/>
      <c r="D21" s="323"/>
      <c r="E21" s="323"/>
      <c r="F21" s="323"/>
    </row>
    <row r="22" spans="2:6" ht="13.5" customHeight="1" x14ac:dyDescent="0.2">
      <c r="B22" s="1473"/>
      <c r="C22" s="323"/>
      <c r="D22" s="323"/>
      <c r="E22" s="323"/>
      <c r="F22" s="323"/>
    </row>
    <row r="23" spans="2:6" ht="13.5" customHeight="1" x14ac:dyDescent="0.2">
      <c r="B23" s="1473"/>
      <c r="C23" s="323"/>
      <c r="D23" s="323"/>
      <c r="E23" s="323"/>
      <c r="F23" s="323"/>
    </row>
    <row r="24" spans="2:6" ht="13.5" customHeight="1" x14ac:dyDescent="0.2">
      <c r="B24" s="1473"/>
      <c r="C24" s="323"/>
      <c r="D24" s="323"/>
      <c r="E24" s="323"/>
      <c r="F24" s="323"/>
    </row>
    <row r="25" spans="2:6" ht="13.5" customHeight="1" x14ac:dyDescent="0.2">
      <c r="B25" s="1473"/>
      <c r="C25" s="323"/>
      <c r="D25" s="323"/>
      <c r="E25" s="323"/>
      <c r="F25" s="323"/>
    </row>
    <row r="26" spans="2:6" ht="13.5" customHeight="1" x14ac:dyDescent="0.2">
      <c r="B26" s="1473"/>
      <c r="C26" s="323"/>
      <c r="D26" s="323"/>
      <c r="E26" s="323"/>
      <c r="F26" s="323"/>
    </row>
    <row r="27" spans="2:6" ht="13.5" customHeight="1" x14ac:dyDescent="0.2">
      <c r="B27" s="1473"/>
      <c r="C27" s="323"/>
      <c r="D27" s="323"/>
      <c r="E27" s="323"/>
      <c r="F27" s="323"/>
    </row>
    <row r="28" spans="2:6" ht="13.5" customHeight="1" x14ac:dyDescent="0.2">
      <c r="B28" s="1473"/>
      <c r="C28" s="323"/>
      <c r="D28" s="323"/>
      <c r="E28" s="323"/>
      <c r="F28" s="323"/>
    </row>
    <row r="29" spans="2:6" ht="13.5" customHeight="1" x14ac:dyDescent="0.2">
      <c r="B29" s="1473"/>
      <c r="C29" s="323"/>
      <c r="D29" s="323"/>
      <c r="E29" s="323"/>
      <c r="F29" s="323"/>
    </row>
    <row r="30" spans="2:6" ht="13.5" customHeight="1" x14ac:dyDescent="0.2">
      <c r="B30" s="1473"/>
      <c r="C30" s="323"/>
      <c r="D30" s="323"/>
      <c r="E30" s="323"/>
      <c r="F30" s="323"/>
    </row>
    <row r="31" spans="2:6" ht="13.5" customHeight="1" x14ac:dyDescent="0.2">
      <c r="B31" s="1473"/>
      <c r="C31" s="323"/>
      <c r="D31" s="323"/>
      <c r="E31" s="323"/>
      <c r="F31" s="323"/>
    </row>
    <row r="32" spans="2:6" ht="13.5" customHeight="1" x14ac:dyDescent="0.2">
      <c r="B32" s="1475"/>
      <c r="C32" s="323"/>
      <c r="D32" s="323"/>
      <c r="E32" s="323"/>
      <c r="F32" s="323"/>
    </row>
    <row r="33" spans="2:6" ht="13.5" customHeight="1" x14ac:dyDescent="0.2">
      <c r="B33" s="1476"/>
      <c r="C33" s="323"/>
      <c r="D33" s="323"/>
      <c r="E33" s="323"/>
      <c r="F33" s="323"/>
    </row>
    <row r="34" spans="2:6" ht="13.5" customHeight="1" x14ac:dyDescent="0.2">
      <c r="B34" s="1477"/>
      <c r="C34" s="323"/>
      <c r="D34" s="323"/>
      <c r="E34" s="323"/>
      <c r="F34" s="323"/>
    </row>
    <row r="35" spans="2:6" ht="13.5" customHeight="1" x14ac:dyDescent="0.2">
      <c r="B35" s="1476"/>
      <c r="C35" s="323"/>
      <c r="D35" s="323"/>
      <c r="E35" s="323"/>
      <c r="F35" s="323"/>
    </row>
    <row r="36" spans="2:6" ht="13.5" customHeight="1" x14ac:dyDescent="0.2">
      <c r="B36" s="1477"/>
      <c r="C36" s="323"/>
      <c r="D36" s="323"/>
      <c r="E36" s="323"/>
      <c r="F36" s="323"/>
    </row>
    <row r="37" spans="2:6" ht="13.5" customHeight="1" x14ac:dyDescent="0.2">
      <c r="B37" s="1477"/>
      <c r="C37" s="323"/>
      <c r="D37" s="323"/>
      <c r="E37" s="323"/>
      <c r="F37" s="323"/>
    </row>
    <row r="38" spans="2:6" ht="13.5" customHeight="1" x14ac:dyDescent="0.2">
      <c r="B38" s="1476"/>
      <c r="C38" s="323"/>
      <c r="D38" s="323"/>
      <c r="E38" s="323"/>
      <c r="F38" s="323"/>
    </row>
    <row r="39" spans="2:6" ht="13.5" customHeight="1" x14ac:dyDescent="0.2">
      <c r="B39" s="1477"/>
      <c r="C39" s="323"/>
      <c r="D39" s="323"/>
      <c r="E39" s="323"/>
      <c r="F39" s="323"/>
    </row>
    <row r="40" spans="2:6" ht="13.5" customHeight="1" x14ac:dyDescent="0.2">
      <c r="B40" s="1476"/>
      <c r="C40" s="323"/>
      <c r="D40" s="323"/>
      <c r="E40" s="323"/>
      <c r="F40" s="323"/>
    </row>
    <row r="41" spans="2:6" ht="13.5" customHeight="1" x14ac:dyDescent="0.2">
      <c r="B41" s="1478"/>
      <c r="C41" s="323"/>
      <c r="D41" s="323"/>
      <c r="E41" s="323"/>
      <c r="F41" s="323"/>
    </row>
    <row r="42" spans="2:6" ht="13.5" customHeight="1" x14ac:dyDescent="0.2">
      <c r="B42" s="1479"/>
      <c r="C42" s="323"/>
      <c r="D42" s="323"/>
      <c r="E42" s="323"/>
      <c r="F42" s="323"/>
    </row>
    <row r="43" spans="2:6" ht="12.75" customHeight="1" x14ac:dyDescent="0.2">
      <c r="B43" s="1480"/>
      <c r="C43" s="1481"/>
      <c r="D43" s="1481"/>
      <c r="E43" s="1481"/>
      <c r="F43" s="323"/>
    </row>
    <row r="44" spans="2:6" ht="12.2" customHeight="1" x14ac:dyDescent="0.2">
      <c r="B44" s="1253" t="s">
        <v>1313</v>
      </c>
      <c r="C44" s="322"/>
      <c r="D44" s="322"/>
    </row>
    <row r="45" spans="2:6" ht="12.2" customHeight="1" x14ac:dyDescent="0.2">
      <c r="B45" s="1482" t="s">
        <v>1769</v>
      </c>
    </row>
    <row r="46" spans="2:6" ht="12.2" customHeight="1" x14ac:dyDescent="0.2">
      <c r="B46" s="1482" t="s">
        <v>1770</v>
      </c>
    </row>
    <row r="47" spans="2:6" ht="12.2" customHeight="1" x14ac:dyDescent="0.2">
      <c r="B47" s="1483" t="s">
        <v>1312</v>
      </c>
    </row>
    <row r="48" spans="2:6" ht="12.2" customHeight="1" x14ac:dyDescent="0.2">
      <c r="B48" s="1483" t="s">
        <v>1311</v>
      </c>
    </row>
    <row r="49" spans="2:6" ht="12.2" customHeight="1" x14ac:dyDescent="0.2">
      <c r="B49" s="1483" t="s">
        <v>1310</v>
      </c>
    </row>
    <row r="50" spans="2:6" ht="12.2" customHeight="1" x14ac:dyDescent="0.2">
      <c r="B50" s="1483" t="s">
        <v>1309</v>
      </c>
    </row>
    <row r="53" spans="2:6" ht="12.75" customHeight="1" x14ac:dyDescent="0.2"/>
    <row r="54" spans="2:6" ht="12.75" customHeight="1" x14ac:dyDescent="0.2">
      <c r="B54" s="1263"/>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29" sqref="H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70993076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1.9407000000000001E-2</v>
      </c>
      <c r="E10" s="356" t="s">
        <v>1005</v>
      </c>
      <c r="F10" s="355">
        <v>3.7400000000000003E-2</v>
      </c>
      <c r="G10" s="356" t="s">
        <v>1005</v>
      </c>
      <c r="H10" s="355">
        <v>1.6999999999999999E-3</v>
      </c>
      <c r="I10" s="356" t="s">
        <v>1006</v>
      </c>
      <c r="J10" s="1731">
        <f>ROUND(D10+F10+H10,5)</f>
        <v>5.851E-2</v>
      </c>
      <c r="K10" s="222"/>
      <c r="L10" s="355">
        <v>0</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5899563</v>
      </c>
      <c r="E16" s="356"/>
      <c r="F16" s="1732">
        <f>SUM('Acct Summary 7-8'!C17,'Acct Summary 7-8'!D17,'Acct Summary 7-8'!F17)</f>
        <v>5801502</v>
      </c>
      <c r="G16" s="356"/>
      <c r="H16" s="1732">
        <f>SUM(D16-F16)</f>
        <v>98061</v>
      </c>
      <c r="I16" s="222"/>
      <c r="J16" s="1732">
        <f>SUM('Acct Summary 7-8'!C81,'Acct Summary 7-8'!D81,'Acct Summary 7-8'!F81,'Acct Summary 7-8'!I81)</f>
        <v>2726717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4">
        <f>IF(B31="X",(J7*0.069),IF(B32="X",(J7*0.138),"Enter x in a.or b."))</f>
        <v>4898522.2439999999</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3110000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Chaney-Monge SD 88</v>
      </c>
      <c r="E7" s="391"/>
      <c r="G7" s="252"/>
      <c r="H7" s="387"/>
      <c r="I7" s="387"/>
      <c r="J7" s="387"/>
      <c r="K7" s="387"/>
      <c r="L7" s="329"/>
      <c r="M7" s="329"/>
      <c r="N7" s="329"/>
      <c r="O7" s="329"/>
      <c r="P7" s="329"/>
    </row>
    <row r="8" spans="1:18" ht="12.75" x14ac:dyDescent="0.2">
      <c r="A8" s="329"/>
      <c r="B8" s="329"/>
      <c r="C8" s="389" t="s">
        <v>1125</v>
      </c>
      <c r="D8" s="392">
        <f>COVER!A13</f>
        <v>56099088002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2726717</v>
      </c>
      <c r="I12" s="404"/>
      <c r="J12" s="404"/>
      <c r="K12" s="405">
        <f>TRUNC((H12/H13*100000),5)/100000</f>
        <v>0.46218965700000003</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5899563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5801502</v>
      </c>
      <c r="I17" s="404"/>
      <c r="J17" s="416"/>
      <c r="K17" s="405">
        <f>TRUNC((H17/H18*100000),5)/100000</f>
        <v>0.98337826029999997</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5899563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2726717</v>
      </c>
      <c r="I24" s="422"/>
      <c r="J24" s="422"/>
      <c r="K24" s="423">
        <f>TRUNC(((H24/H25*100000)/100000),2)</f>
        <v>169.2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16115.28333</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3530734.1452500001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3110000</v>
      </c>
      <c r="I32" s="420"/>
      <c r="J32" s="420"/>
      <c r="K32" s="423">
        <f>TRUNC(100-((((H32/H33*100))*100)/100),2)</f>
        <v>36.51</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4898522.2439999999</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4" activePane="bottomLeft" state="frozen"/>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8"/>
      <c r="D3" s="1559"/>
      <c r="E3" s="1559"/>
      <c r="F3" s="1559"/>
      <c r="G3" s="1559"/>
      <c r="H3" s="1559"/>
      <c r="I3" s="1559"/>
      <c r="J3" s="1559"/>
      <c r="K3" s="1559"/>
      <c r="L3" s="1559"/>
      <c r="M3" s="1560"/>
      <c r="N3" s="1561"/>
    </row>
    <row r="4" spans="1:14" ht="13.5" customHeight="1" x14ac:dyDescent="0.2">
      <c r="A4" s="463" t="s">
        <v>1651</v>
      </c>
      <c r="B4" s="464"/>
      <c r="C4" s="465">
        <f>1883119+436159</f>
        <v>2319278</v>
      </c>
      <c r="D4" s="466">
        <v>371223</v>
      </c>
      <c r="E4" s="466">
        <v>139290</v>
      </c>
      <c r="F4" s="466">
        <v>3456</v>
      </c>
      <c r="G4" s="466">
        <v>87071</v>
      </c>
      <c r="H4" s="466">
        <f>2282500-181894</f>
        <v>2100606</v>
      </c>
      <c r="I4" s="466">
        <f>26+32734</f>
        <v>32760</v>
      </c>
      <c r="J4" s="467"/>
      <c r="K4" s="466"/>
      <c r="L4" s="466">
        <v>5726</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2319278</v>
      </c>
      <c r="D13" s="1736">
        <f t="shared" ref="D13:L13" si="0">SUM(D4:D12)</f>
        <v>371223</v>
      </c>
      <c r="E13" s="1736">
        <f t="shared" si="0"/>
        <v>139290</v>
      </c>
      <c r="F13" s="1736">
        <f t="shared" si="0"/>
        <v>3456</v>
      </c>
      <c r="G13" s="1736">
        <f t="shared" si="0"/>
        <v>87071</v>
      </c>
      <c r="H13" s="1736">
        <f t="shared" si="0"/>
        <v>2100606</v>
      </c>
      <c r="I13" s="1736">
        <f t="shared" si="0"/>
        <v>32760</v>
      </c>
      <c r="J13" s="1736">
        <f t="shared" si="0"/>
        <v>0</v>
      </c>
      <c r="K13" s="1736">
        <f t="shared" si="0"/>
        <v>0</v>
      </c>
      <c r="L13" s="1736">
        <f t="shared" si="0"/>
        <v>5726</v>
      </c>
      <c r="M13" s="468"/>
      <c r="N13" s="469"/>
    </row>
    <row r="14" spans="1:14" ht="18" customHeight="1" thickTop="1" x14ac:dyDescent="0.2">
      <c r="A14" s="2109" t="s">
        <v>147</v>
      </c>
      <c r="B14" s="2110"/>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44750</v>
      </c>
      <c r="N16" s="484"/>
    </row>
    <row r="17" spans="1:14" s="485" customFormat="1" ht="12.75" customHeight="1" x14ac:dyDescent="0.2">
      <c r="A17" s="482" t="s">
        <v>1403</v>
      </c>
      <c r="B17" s="483">
        <v>230</v>
      </c>
      <c r="C17" s="477"/>
      <c r="D17" s="477"/>
      <c r="E17" s="477"/>
      <c r="F17" s="477"/>
      <c r="G17" s="477"/>
      <c r="H17" s="477"/>
      <c r="I17" s="477"/>
      <c r="J17" s="477"/>
      <c r="K17" s="477"/>
      <c r="L17" s="477"/>
      <c r="M17" s="467">
        <v>2460911</v>
      </c>
      <c r="N17" s="484"/>
    </row>
    <row r="18" spans="1:14" s="485" customFormat="1" ht="12.75" customHeight="1" x14ac:dyDescent="0.2">
      <c r="A18" s="482" t="s">
        <v>1404</v>
      </c>
      <c r="B18" s="483">
        <v>240</v>
      </c>
      <c r="C18" s="477"/>
      <c r="D18" s="477"/>
      <c r="E18" s="477"/>
      <c r="F18" s="477"/>
      <c r="G18" s="477"/>
      <c r="H18" s="477"/>
      <c r="I18" s="477"/>
      <c r="J18" s="477"/>
      <c r="K18" s="477"/>
      <c r="L18" s="477"/>
      <c r="M18" s="467">
        <v>2530765</v>
      </c>
      <c r="N18" s="484"/>
    </row>
    <row r="19" spans="1:14" s="485" customFormat="1" ht="12.75" customHeight="1" x14ac:dyDescent="0.2">
      <c r="A19" s="482" t="s">
        <v>1405</v>
      </c>
      <c r="B19" s="483">
        <v>250</v>
      </c>
      <c r="C19" s="477"/>
      <c r="D19" s="477"/>
      <c r="E19" s="477"/>
      <c r="F19" s="477"/>
      <c r="G19" s="477"/>
      <c r="H19" s="477"/>
      <c r="I19" s="477"/>
      <c r="J19" s="477"/>
      <c r="K19" s="477"/>
      <c r="L19" s="477"/>
      <c r="M19" s="467">
        <v>1344498</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3110000</v>
      </c>
    </row>
    <row r="23" spans="1:14" ht="13.5" customHeight="1" thickBot="1" x14ac:dyDescent="0.25">
      <c r="A23" s="1735" t="s">
        <v>643</v>
      </c>
      <c r="B23" s="1740"/>
      <c r="C23" s="468"/>
      <c r="D23" s="468"/>
      <c r="E23" s="468"/>
      <c r="F23" s="468"/>
      <c r="G23" s="468"/>
      <c r="H23" s="468"/>
      <c r="I23" s="468"/>
      <c r="J23" s="468"/>
      <c r="K23" s="468"/>
      <c r="L23" s="468"/>
      <c r="M23" s="1687">
        <f>SUM(M15:M22)</f>
        <v>6380924</v>
      </c>
      <c r="N23" s="1687">
        <f>SUM(N21:N22)</f>
        <v>3110000</v>
      </c>
    </row>
    <row r="24" spans="1:14" ht="18" customHeight="1" thickTop="1" x14ac:dyDescent="0.2">
      <c r="A24" s="2111" t="s">
        <v>598</v>
      </c>
      <c r="B24" s="2112"/>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5726</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5726</v>
      </c>
      <c r="M34" s="468"/>
      <c r="N34" s="480"/>
    </row>
    <row r="35" spans="1:14" ht="18" customHeight="1" thickTop="1" x14ac:dyDescent="0.2">
      <c r="A35" s="2113" t="s">
        <v>529</v>
      </c>
      <c r="B35" s="2114"/>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3110000</v>
      </c>
    </row>
    <row r="37" spans="1:14" ht="13.5" thickBot="1" x14ac:dyDescent="0.25">
      <c r="A37" s="1735" t="s">
        <v>653</v>
      </c>
      <c r="B37" s="1740"/>
      <c r="C37" s="477"/>
      <c r="D37" s="477"/>
      <c r="E37" s="477"/>
      <c r="F37" s="477"/>
      <c r="G37" s="477"/>
      <c r="H37" s="477"/>
      <c r="I37" s="477"/>
      <c r="J37" s="477"/>
      <c r="K37" s="477"/>
      <c r="L37" s="480"/>
      <c r="M37" s="468"/>
      <c r="N37" s="1687">
        <f>SUM(N36:N36)</f>
        <v>3110000</v>
      </c>
    </row>
    <row r="38" spans="1:14" s="329" customFormat="1" ht="13.5" customHeight="1" thickTop="1" x14ac:dyDescent="0.2">
      <c r="A38" s="496" t="s">
        <v>420</v>
      </c>
      <c r="B38" s="483">
        <v>714</v>
      </c>
      <c r="C38" s="466"/>
      <c r="D38" s="466"/>
      <c r="E38" s="466">
        <v>139290</v>
      </c>
      <c r="F38" s="466"/>
      <c r="G38" s="466"/>
      <c r="H38" s="466">
        <v>2099252</v>
      </c>
      <c r="I38" s="466"/>
      <c r="J38" s="467"/>
      <c r="K38" s="466"/>
      <c r="L38" s="481"/>
      <c r="M38" s="497"/>
      <c r="N38" s="497"/>
    </row>
    <row r="39" spans="1:14" s="329" customFormat="1" ht="13.5" customHeight="1" x14ac:dyDescent="0.2">
      <c r="A39" s="496" t="s">
        <v>342</v>
      </c>
      <c r="B39" s="483">
        <v>730</v>
      </c>
      <c r="C39" s="466">
        <v>2319278</v>
      </c>
      <c r="D39" s="466">
        <v>371223</v>
      </c>
      <c r="E39" s="466"/>
      <c r="F39" s="466">
        <v>3456</v>
      </c>
      <c r="G39" s="466">
        <v>87071</v>
      </c>
      <c r="H39" s="466">
        <v>1354</v>
      </c>
      <c r="I39" s="466">
        <v>32760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6380924</v>
      </c>
      <c r="N40" s="497"/>
    </row>
    <row r="41" spans="1:14" ht="13.5" customHeight="1" thickBot="1" x14ac:dyDescent="0.25">
      <c r="A41" s="1735" t="s">
        <v>655</v>
      </c>
      <c r="B41" s="1705"/>
      <c r="C41" s="1687">
        <f>(SUM(C34,C37,C38,C39))</f>
        <v>2319278</v>
      </c>
      <c r="D41" s="1687">
        <f t="shared" ref="D41:L41" si="2">SUM(D34,D37,D38:D39)</f>
        <v>371223</v>
      </c>
      <c r="E41" s="1687">
        <f t="shared" si="2"/>
        <v>139290</v>
      </c>
      <c r="F41" s="1687">
        <f t="shared" si="2"/>
        <v>3456</v>
      </c>
      <c r="G41" s="1687">
        <f t="shared" si="2"/>
        <v>87071</v>
      </c>
      <c r="H41" s="1687">
        <f t="shared" si="2"/>
        <v>2100606</v>
      </c>
      <c r="I41" s="1687">
        <f t="shared" si="2"/>
        <v>32760</v>
      </c>
      <c r="J41" s="1687">
        <f t="shared" si="2"/>
        <v>0</v>
      </c>
      <c r="K41" s="1687">
        <f t="shared" si="2"/>
        <v>0</v>
      </c>
      <c r="L41" s="1687">
        <f t="shared" si="2"/>
        <v>5726</v>
      </c>
      <c r="M41" s="1687">
        <f>SUM(M40)</f>
        <v>6380924</v>
      </c>
      <c r="N41" s="1687">
        <f>SUM(N37)</f>
        <v>3110000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F79" sqref="F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2"/>
      <c r="D3" s="1573"/>
      <c r="E3" s="1573"/>
      <c r="F3" s="1573"/>
      <c r="G3" s="1573"/>
      <c r="H3" s="1573"/>
      <c r="I3" s="1573"/>
      <c r="J3" s="1573"/>
      <c r="K3" s="1574"/>
      <c r="L3" s="506"/>
    </row>
    <row r="4" spans="1:13" ht="15.75" customHeight="1" x14ac:dyDescent="0.2">
      <c r="A4" s="1927" t="s">
        <v>1499</v>
      </c>
      <c r="B4" s="1928">
        <v>1000</v>
      </c>
      <c r="C4" s="1741">
        <f>'Revenues 9-14'!C109</f>
        <v>1741585</v>
      </c>
      <c r="D4" s="1741">
        <f>'Revenues 9-14'!D109</f>
        <v>309062</v>
      </c>
      <c r="E4" s="1741">
        <f>'Revenues 9-14'!E109</f>
        <v>274314</v>
      </c>
      <c r="F4" s="1741">
        <f>'Revenues 9-14'!F109</f>
        <v>149594</v>
      </c>
      <c r="G4" s="1741">
        <f>'Revenues 9-14'!G109</f>
        <v>113927</v>
      </c>
      <c r="H4" s="1741">
        <f>'Revenues 9-14'!H109</f>
        <v>31187</v>
      </c>
      <c r="I4" s="1741">
        <f>'Revenues 9-14'!I109</f>
        <v>18</v>
      </c>
      <c r="J4" s="1741">
        <f>'Revenues 9-14'!J109</f>
        <v>0</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2640954</v>
      </c>
      <c r="D6" s="1742">
        <f>'Revenues 9-14'!D170</f>
        <v>0</v>
      </c>
      <c r="E6" s="1742">
        <f>'Revenues 9-14'!E170</f>
        <v>0</v>
      </c>
      <c r="F6" s="1742">
        <f>'Revenues 9-14'!F170</f>
        <v>360028</v>
      </c>
      <c r="G6" s="1742">
        <f>'Revenues 9-14'!G170</f>
        <v>0</v>
      </c>
      <c r="H6" s="1742">
        <f>'Revenues 9-14'!H170</f>
        <v>341442</v>
      </c>
      <c r="I6" s="1742">
        <f>'Revenues 9-14'!I170</f>
        <v>0</v>
      </c>
      <c r="J6" s="1742">
        <f>'Revenues 9-14'!J170</f>
        <v>0</v>
      </c>
      <c r="K6" s="1742">
        <f>'Revenues 9-14'!K170</f>
        <v>0</v>
      </c>
      <c r="L6" s="347"/>
      <c r="M6" s="513"/>
    </row>
    <row r="7" spans="1:13" ht="15.75" customHeight="1" x14ac:dyDescent="0.2">
      <c r="A7" s="1575" t="s">
        <v>1502</v>
      </c>
      <c r="B7" s="1577">
        <v>4000</v>
      </c>
      <c r="C7" s="1742">
        <f>'Revenues 9-14'!C267</f>
        <v>698322</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5080861</v>
      </c>
      <c r="D8" s="1687">
        <f t="shared" ref="D8:K8" si="0">SUM(D4:D7)</f>
        <v>309062</v>
      </c>
      <c r="E8" s="1687">
        <f t="shared" si="0"/>
        <v>274314</v>
      </c>
      <c r="F8" s="1687">
        <f t="shared" si="0"/>
        <v>509622</v>
      </c>
      <c r="G8" s="1687">
        <f t="shared" si="0"/>
        <v>113927</v>
      </c>
      <c r="H8" s="1687">
        <f t="shared" si="0"/>
        <v>372629</v>
      </c>
      <c r="I8" s="1687">
        <f t="shared" si="0"/>
        <v>18</v>
      </c>
      <c r="J8" s="1687">
        <f t="shared" si="0"/>
        <v>0</v>
      </c>
      <c r="K8" s="1687">
        <f t="shared" si="0"/>
        <v>0</v>
      </c>
      <c r="L8" s="347"/>
    </row>
    <row r="9" spans="1:13" ht="15.75" thickTop="1" x14ac:dyDescent="0.2">
      <c r="A9" s="514" t="s">
        <v>1653</v>
      </c>
      <c r="B9" s="515">
        <v>3998</v>
      </c>
      <c r="C9" s="481">
        <v>1514105</v>
      </c>
      <c r="D9" s="516"/>
      <c r="E9" s="481"/>
      <c r="F9" s="481"/>
      <c r="G9" s="517"/>
      <c r="H9" s="481"/>
      <c r="I9" s="509" t="s">
        <v>1169</v>
      </c>
      <c r="J9" s="478"/>
      <c r="K9" s="481"/>
      <c r="L9" s="347"/>
    </row>
    <row r="10" spans="1:13" s="519" customFormat="1" ht="13.5" thickBot="1" x14ac:dyDescent="0.25">
      <c r="A10" s="1735" t="s">
        <v>1173</v>
      </c>
      <c r="B10" s="1708"/>
      <c r="C10" s="1687">
        <f>SUM(C8:C9)</f>
        <v>6594966</v>
      </c>
      <c r="D10" s="1687">
        <f t="shared" ref="D10:K10" si="1">SUM(D8:D9)</f>
        <v>309062</v>
      </c>
      <c r="E10" s="1687">
        <f t="shared" si="1"/>
        <v>274314</v>
      </c>
      <c r="F10" s="1687">
        <f t="shared" si="1"/>
        <v>509622</v>
      </c>
      <c r="G10" s="1687">
        <f t="shared" si="1"/>
        <v>113927</v>
      </c>
      <c r="H10" s="1687">
        <f t="shared" si="1"/>
        <v>372629</v>
      </c>
      <c r="I10" s="1687">
        <f t="shared" si="1"/>
        <v>18</v>
      </c>
      <c r="J10" s="1687">
        <f t="shared" si="1"/>
        <v>0</v>
      </c>
      <c r="K10" s="1687">
        <f t="shared" si="1"/>
        <v>0</v>
      </c>
      <c r="L10" s="518"/>
    </row>
    <row r="11" spans="1:13" s="519" customFormat="1" ht="16.7" customHeight="1" thickTop="1" x14ac:dyDescent="0.2">
      <c r="A11" s="2109" t="s">
        <v>1176</v>
      </c>
      <c r="B11" s="2110"/>
      <c r="C11" s="1569"/>
      <c r="D11" s="1570"/>
      <c r="E11" s="1570"/>
      <c r="F11" s="1570"/>
      <c r="G11" s="1570"/>
      <c r="H11" s="1570"/>
      <c r="I11" s="1570"/>
      <c r="J11" s="1570"/>
      <c r="K11" s="1571"/>
      <c r="L11" s="518"/>
    </row>
    <row r="12" spans="1:13" ht="15.75" customHeight="1" x14ac:dyDescent="0.2">
      <c r="A12" s="1575" t="s">
        <v>456</v>
      </c>
      <c r="B12" s="1577">
        <v>1000</v>
      </c>
      <c r="C12" s="1741">
        <f>'Expenditures 15-22'!K33</f>
        <v>3068707</v>
      </c>
      <c r="D12" s="520" t="s">
        <v>1169</v>
      </c>
      <c r="E12" s="468" t="s">
        <v>1169</v>
      </c>
      <c r="F12" s="468" t="s">
        <v>1169</v>
      </c>
      <c r="G12" s="1741">
        <f>'Expenditures 15-22'!K229</f>
        <v>40363</v>
      </c>
      <c r="H12" s="521"/>
      <c r="I12" s="468" t="s">
        <v>1169</v>
      </c>
      <c r="J12" s="468" t="s">
        <v>1169</v>
      </c>
      <c r="K12" s="521" t="s">
        <v>1169</v>
      </c>
      <c r="L12" s="347"/>
    </row>
    <row r="13" spans="1:13" ht="15.75" customHeight="1" x14ac:dyDescent="0.2">
      <c r="A13" s="1575" t="s">
        <v>457</v>
      </c>
      <c r="B13" s="1577">
        <v>2000</v>
      </c>
      <c r="C13" s="1742">
        <f>'Expenditures 15-22'!K74</f>
        <v>1340117</v>
      </c>
      <c r="D13" s="1742">
        <f>'Expenditures 15-22'!K129</f>
        <v>313371</v>
      </c>
      <c r="E13" s="469" t="s">
        <v>1169</v>
      </c>
      <c r="F13" s="1742">
        <f>'Expenditures 15-22'!K184</f>
        <v>656211</v>
      </c>
      <c r="G13" s="1742">
        <f>'Expenditures 15-22'!K279</f>
        <v>76797</v>
      </c>
      <c r="H13" s="1742">
        <f>'Expenditures 15-22'!K303</f>
        <v>751653</v>
      </c>
      <c r="I13" s="468" t="s">
        <v>1169</v>
      </c>
      <c r="J13" s="1742">
        <f>'Expenditures 15-22'!K330</f>
        <v>0</v>
      </c>
      <c r="K13" s="1746">
        <f>'Expenditures 15-22'!K352</f>
        <v>0</v>
      </c>
      <c r="L13" s="347"/>
    </row>
    <row r="14" spans="1:13" ht="15.75" customHeight="1" x14ac:dyDescent="0.2">
      <c r="A14" s="1575" t="s">
        <v>449</v>
      </c>
      <c r="B14" s="1577">
        <v>3000</v>
      </c>
      <c r="C14" s="1742">
        <f>'Expenditures 15-22'!K75</f>
        <v>2256</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420840</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267904</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4831920</v>
      </c>
      <c r="D17" s="1687">
        <f t="shared" si="2"/>
        <v>313371</v>
      </c>
      <c r="E17" s="1687">
        <f t="shared" si="2"/>
        <v>267904</v>
      </c>
      <c r="F17" s="1687">
        <f t="shared" si="2"/>
        <v>656211</v>
      </c>
      <c r="G17" s="1687">
        <f t="shared" si="2"/>
        <v>117160</v>
      </c>
      <c r="H17" s="1687">
        <f t="shared" si="2"/>
        <v>751653</v>
      </c>
      <c r="I17" s="468"/>
      <c r="J17" s="1687">
        <f>SUM(J12:J16)</f>
        <v>0</v>
      </c>
      <c r="K17" s="1687">
        <f>SUM(K12:K16)</f>
        <v>0</v>
      </c>
      <c r="L17" s="347"/>
    </row>
    <row r="18" spans="1:12" ht="15" customHeight="1" thickTop="1" x14ac:dyDescent="0.2">
      <c r="A18" s="1743" t="s">
        <v>1654</v>
      </c>
      <c r="B18" s="1744">
        <v>4180</v>
      </c>
      <c r="C18" s="1741">
        <f t="shared" ref="C18:H18" si="3">C9</f>
        <v>1514105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6346025</v>
      </c>
      <c r="D19" s="1687">
        <f t="shared" si="4"/>
        <v>313371</v>
      </c>
      <c r="E19" s="1687">
        <f t="shared" si="4"/>
        <v>267904</v>
      </c>
      <c r="F19" s="1687">
        <f t="shared" si="4"/>
        <v>656211</v>
      </c>
      <c r="G19" s="1687">
        <f t="shared" si="4"/>
        <v>117160</v>
      </c>
      <c r="H19" s="1687">
        <f t="shared" si="4"/>
        <v>751653</v>
      </c>
      <c r="I19" s="468"/>
      <c r="J19" s="1687">
        <f>SUM(J17:J18)</f>
        <v>0</v>
      </c>
      <c r="K19" s="1687">
        <f>SUM(K17:K18)</f>
        <v>0</v>
      </c>
      <c r="L19" s="347"/>
    </row>
    <row r="20" spans="1:12" ht="16.5" thickTop="1" thickBot="1" x14ac:dyDescent="0.25">
      <c r="A20" s="2125" t="s">
        <v>1655</v>
      </c>
      <c r="B20" s="2126"/>
      <c r="C20" s="1745">
        <f>C8-C17</f>
        <v>248941</v>
      </c>
      <c r="D20" s="1745">
        <f t="shared" ref="D20:K20" si="5">D8-D17</f>
        <v>-4309</v>
      </c>
      <c r="E20" s="1745">
        <f t="shared" si="5"/>
        <v>6410</v>
      </c>
      <c r="F20" s="1745">
        <f t="shared" si="5"/>
        <v>-146589</v>
      </c>
      <c r="G20" s="1745">
        <f t="shared" si="5"/>
        <v>-3233</v>
      </c>
      <c r="H20" s="1745">
        <f t="shared" si="5"/>
        <v>-379024</v>
      </c>
      <c r="I20" s="1745">
        <f t="shared" si="5"/>
        <v>18</v>
      </c>
      <c r="J20" s="1745">
        <f t="shared" si="5"/>
        <v>0</v>
      </c>
      <c r="K20" s="1745">
        <f t="shared" si="5"/>
        <v>0</v>
      </c>
      <c r="L20" s="347"/>
    </row>
    <row r="21" spans="1:12" ht="16.7" customHeight="1" thickTop="1" x14ac:dyDescent="0.2">
      <c r="A21" s="2137" t="s">
        <v>595</v>
      </c>
      <c r="B21" s="2138"/>
      <c r="C21" s="1569"/>
      <c r="D21" s="1570"/>
      <c r="E21" s="1570"/>
      <c r="F21" s="1570"/>
      <c r="G21" s="1570"/>
      <c r="H21" s="1570"/>
      <c r="I21" s="1570"/>
      <c r="J21" s="1570"/>
      <c r="K21" s="1571"/>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v>150000</v>
      </c>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0</v>
      </c>
      <c r="F37" s="475"/>
      <c r="G37" s="475"/>
      <c r="H37" s="475"/>
      <c r="I37" s="477"/>
      <c r="J37" s="475"/>
      <c r="K37" s="475"/>
      <c r="L37" s="524"/>
    </row>
    <row r="38" spans="1:12" s="485" customFormat="1" x14ac:dyDescent="0.2">
      <c r="A38" s="1488" t="s">
        <v>442</v>
      </c>
      <c r="B38" s="525">
        <v>7500</v>
      </c>
      <c r="C38" s="477"/>
      <c r="D38" s="477"/>
      <c r="E38" s="1742">
        <f>SUM(C58:D61,H58:H61)</f>
        <v>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2">
        <f>SUM(C24:C43)</f>
        <v>0</v>
      </c>
      <c r="D44" s="1702">
        <f t="shared" ref="D44:K44" si="6">SUM(D24:D43)</f>
        <v>0</v>
      </c>
      <c r="E44" s="1702">
        <f t="shared" si="6"/>
        <v>0</v>
      </c>
      <c r="F44" s="1702">
        <f t="shared" si="6"/>
        <v>150000</v>
      </c>
      <c r="G44" s="1702">
        <f t="shared" si="6"/>
        <v>0</v>
      </c>
      <c r="H44" s="1702">
        <f t="shared" si="6"/>
        <v>0</v>
      </c>
      <c r="I44" s="1702">
        <f t="shared" si="6"/>
        <v>0</v>
      </c>
      <c r="J44" s="1702">
        <f t="shared" si="6"/>
        <v>0</v>
      </c>
      <c r="K44" s="1702">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150000</v>
      </c>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2">
        <f t="shared" ref="C76:K76" si="7">SUM(C47:C75)</f>
        <v>150000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7" t="s">
        <v>1177</v>
      </c>
      <c r="B77" s="2118"/>
      <c r="C77" s="1702">
        <f t="shared" ref="C77:K77" si="8">C44-C76</f>
        <v>-150000</v>
      </c>
      <c r="D77" s="1702">
        <f t="shared" si="8"/>
        <v>0</v>
      </c>
      <c r="E77" s="1702">
        <f t="shared" si="8"/>
        <v>0</v>
      </c>
      <c r="F77" s="1702">
        <f t="shared" si="8"/>
        <v>150000</v>
      </c>
      <c r="G77" s="1702">
        <f t="shared" si="8"/>
        <v>0</v>
      </c>
      <c r="H77" s="1702">
        <f t="shared" si="8"/>
        <v>0</v>
      </c>
      <c r="I77" s="1702">
        <f t="shared" si="8"/>
        <v>0</v>
      </c>
      <c r="J77" s="1702">
        <f t="shared" si="8"/>
        <v>0</v>
      </c>
      <c r="K77" s="1702">
        <f t="shared" si="8"/>
        <v>0</v>
      </c>
      <c r="L77" s="347"/>
    </row>
    <row r="78" spans="1:12" ht="21.75" customHeight="1" thickTop="1" thickBot="1" x14ac:dyDescent="0.25">
      <c r="A78" s="2121" t="s">
        <v>597</v>
      </c>
      <c r="B78" s="2122"/>
      <c r="C78" s="1701">
        <f t="shared" ref="C78:K78" si="9">C20+C77</f>
        <v>98941</v>
      </c>
      <c r="D78" s="1701">
        <f t="shared" si="9"/>
        <v>-4309</v>
      </c>
      <c r="E78" s="1701">
        <f t="shared" si="9"/>
        <v>6410</v>
      </c>
      <c r="F78" s="1701">
        <f t="shared" si="9"/>
        <v>3411</v>
      </c>
      <c r="G78" s="1701">
        <f t="shared" si="9"/>
        <v>-3233</v>
      </c>
      <c r="H78" s="1701">
        <f t="shared" si="9"/>
        <v>-379024</v>
      </c>
      <c r="I78" s="1701">
        <f t="shared" si="9"/>
        <v>18</v>
      </c>
      <c r="J78" s="1701">
        <f t="shared" si="9"/>
        <v>0</v>
      </c>
      <c r="K78" s="1701">
        <f t="shared" si="9"/>
        <v>0</v>
      </c>
      <c r="L78" s="533"/>
    </row>
    <row r="79" spans="1:12" ht="13.5" thickTop="1" x14ac:dyDescent="0.2">
      <c r="A79" s="1493" t="s">
        <v>1949</v>
      </c>
      <c r="B79" s="534"/>
      <c r="C79" s="478">
        <v>2220337</v>
      </c>
      <c r="D79" s="535">
        <v>375532</v>
      </c>
      <c r="E79" s="535">
        <v>132880</v>
      </c>
      <c r="F79" s="535">
        <v>45</v>
      </c>
      <c r="G79" s="535">
        <v>90304</v>
      </c>
      <c r="H79" s="535">
        <v>2479630</v>
      </c>
      <c r="I79" s="535">
        <v>32742</v>
      </c>
      <c r="J79" s="535"/>
      <c r="K79" s="535"/>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7">
        <f>(SUM(C78:C80))</f>
        <v>2319278</v>
      </c>
      <c r="D81" s="1687">
        <f>SUM(D78:D80)</f>
        <v>371223</v>
      </c>
      <c r="E81" s="1687">
        <f t="shared" ref="E81:K81" si="10">SUM(E78:E80)</f>
        <v>139290</v>
      </c>
      <c r="F81" s="1687">
        <f t="shared" si="10"/>
        <v>3456</v>
      </c>
      <c r="G81" s="1687">
        <f t="shared" si="10"/>
        <v>87071</v>
      </c>
      <c r="H81" s="1687">
        <f t="shared" si="10"/>
        <v>2100606</v>
      </c>
      <c r="I81" s="1687">
        <f t="shared" si="10"/>
        <v>32760</v>
      </c>
      <c r="J81" s="1687">
        <f t="shared" si="10"/>
        <v>0</v>
      </c>
      <c r="K81" s="1687">
        <f t="shared" si="10"/>
        <v>0</v>
      </c>
      <c r="L81" s="347"/>
    </row>
    <row r="82" spans="1:12" ht="0.75" customHeight="1" thickTop="1" thickBot="1" x14ac:dyDescent="0.25">
      <c r="A82" s="536" t="s">
        <v>343</v>
      </c>
      <c r="B82" s="537"/>
      <c r="C82" s="538">
        <f>(C81-C79)</f>
        <v>98941</v>
      </c>
      <c r="D82" s="538">
        <f t="shared" ref="D82:K82" si="11">(D81-D79)</f>
        <v>-4309</v>
      </c>
      <c r="E82" s="538">
        <f t="shared" si="11"/>
        <v>6410</v>
      </c>
      <c r="F82" s="538">
        <f t="shared" si="11"/>
        <v>3411</v>
      </c>
      <c r="G82" s="538">
        <f t="shared" si="11"/>
        <v>-3233</v>
      </c>
      <c r="H82" s="538">
        <f t="shared" si="11"/>
        <v>-379024</v>
      </c>
      <c r="I82" s="538">
        <f t="shared" si="11"/>
        <v>18</v>
      </c>
      <c r="J82" s="538">
        <f t="shared" si="11"/>
        <v>0</v>
      </c>
      <c r="K82" s="538">
        <f t="shared" si="11"/>
        <v>0</v>
      </c>
    </row>
    <row r="83" spans="1:12" ht="14.25" hidden="1" thickTop="1" thickBot="1" x14ac:dyDescent="0.25">
      <c r="A83" s="539" t="s">
        <v>344</v>
      </c>
      <c r="B83" s="464"/>
      <c r="C83" s="540">
        <f>C82/C81</f>
        <v>4.2660258925406959E-2</v>
      </c>
      <c r="D83" s="540">
        <f t="shared" ref="D83:K83" si="12">D82/D81</f>
        <v>-1.1607578194239042E-2</v>
      </c>
      <c r="E83" s="540">
        <f t="shared" si="12"/>
        <v>4.6019096848302105E-2</v>
      </c>
      <c r="F83" s="540">
        <f t="shared" si="12"/>
        <v>0.98697916666666663</v>
      </c>
      <c r="G83" s="540">
        <f t="shared" si="12"/>
        <v>-3.7130617542005952E-2</v>
      </c>
      <c r="H83" s="540">
        <f t="shared" si="12"/>
        <v>-0.1804355505030453</v>
      </c>
      <c r="I83" s="540">
        <f t="shared" si="12"/>
        <v>5.4945054945054945E-4</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59" sqref="C25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f>1435338-48590</f>
        <v>1386748</v>
      </c>
      <c r="D5" s="481">
        <v>267135</v>
      </c>
      <c r="E5" s="466">
        <v>271385</v>
      </c>
      <c r="F5" s="548">
        <v>121428</v>
      </c>
      <c r="G5" s="466">
        <v>46689</v>
      </c>
      <c r="H5" s="466"/>
      <c r="I5" s="466"/>
      <c r="J5" s="467"/>
      <c r="K5" s="466"/>
    </row>
    <row r="6" spans="1:12" ht="15" x14ac:dyDescent="0.2">
      <c r="A6" s="463" t="s">
        <v>1662</v>
      </c>
      <c r="B6" s="470">
        <v>1130</v>
      </c>
      <c r="C6" s="466">
        <v>48590</v>
      </c>
      <c r="D6" s="466"/>
      <c r="E6" s="475"/>
      <c r="F6" s="475"/>
      <c r="G6" s="468"/>
      <c r="H6" s="468"/>
      <c r="I6" s="468"/>
      <c r="J6" s="468"/>
      <c r="K6" s="468"/>
    </row>
    <row r="7" spans="1:12" x14ac:dyDescent="0.2">
      <c r="A7" s="463" t="s">
        <v>110</v>
      </c>
      <c r="B7" s="549">
        <v>1140</v>
      </c>
      <c r="C7" s="466">
        <v>194298</v>
      </c>
      <c r="D7" s="466"/>
      <c r="E7" s="468"/>
      <c r="F7" s="467"/>
      <c r="G7" s="467"/>
      <c r="H7" s="467"/>
      <c r="I7" s="468"/>
      <c r="J7" s="468"/>
      <c r="K7" s="468"/>
    </row>
    <row r="8" spans="1:12" x14ac:dyDescent="0.2">
      <c r="A8" s="463" t="s">
        <v>413</v>
      </c>
      <c r="B8" s="470">
        <v>1150</v>
      </c>
      <c r="C8" s="475"/>
      <c r="D8" s="475"/>
      <c r="E8" s="477"/>
      <c r="F8" s="477"/>
      <c r="G8" s="481">
        <v>44910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1629636</v>
      </c>
      <c r="D12" s="1706">
        <f t="shared" si="0"/>
        <v>267135</v>
      </c>
      <c r="E12" s="1706">
        <f t="shared" si="0"/>
        <v>271385</v>
      </c>
      <c r="F12" s="1706">
        <f t="shared" si="0"/>
        <v>121428</v>
      </c>
      <c r="G12" s="1706">
        <f t="shared" si="0"/>
        <v>91599</v>
      </c>
      <c r="H12" s="1706">
        <f t="shared" si="0"/>
        <v>0</v>
      </c>
      <c r="I12" s="1706">
        <f t="shared" si="0"/>
        <v>0</v>
      </c>
      <c r="J12" s="1706">
        <f t="shared" si="0"/>
        <v>0</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20201</v>
      </c>
      <c r="D16" s="466">
        <v>19355</v>
      </c>
      <c r="E16" s="466"/>
      <c r="F16" s="466"/>
      <c r="G16" s="466">
        <v>19356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20201</v>
      </c>
      <c r="D18" s="1709">
        <f t="shared" ref="D18:K18" si="1">SUM(D14:D17)</f>
        <v>19355</v>
      </c>
      <c r="E18" s="1709">
        <f t="shared" si="1"/>
        <v>0</v>
      </c>
      <c r="F18" s="1709">
        <f t="shared" si="1"/>
        <v>0</v>
      </c>
      <c r="G18" s="1709">
        <f t="shared" si="1"/>
        <v>19356</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989</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989</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23693</v>
      </c>
      <c r="D65" s="466">
        <v>7380</v>
      </c>
      <c r="E65" s="466">
        <v>2929</v>
      </c>
      <c r="F65" s="467">
        <v>133</v>
      </c>
      <c r="G65" s="466">
        <v>2972</v>
      </c>
      <c r="H65" s="466">
        <v>29687</v>
      </c>
      <c r="I65" s="466">
        <v>18</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23693</v>
      </c>
      <c r="D67" s="1687">
        <f t="shared" ref="D67:K67" si="2">SUM(D65:D66)</f>
        <v>7380</v>
      </c>
      <c r="E67" s="1687">
        <f t="shared" si="2"/>
        <v>2929</v>
      </c>
      <c r="F67" s="1687">
        <f t="shared" si="2"/>
        <v>133</v>
      </c>
      <c r="G67" s="1687">
        <f t="shared" si="2"/>
        <v>2972</v>
      </c>
      <c r="H67" s="1687">
        <f t="shared" si="2"/>
        <v>29687</v>
      </c>
      <c r="I67" s="1687">
        <f t="shared" si="2"/>
        <v>18</v>
      </c>
      <c r="J67" s="1687">
        <f t="shared" si="2"/>
        <v>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4343</v>
      </c>
      <c r="D80" s="466"/>
      <c r="E80" s="468"/>
      <c r="F80" s="468"/>
      <c r="G80" s="468"/>
      <c r="H80" s="468"/>
      <c r="I80" s="468"/>
      <c r="J80" s="468"/>
      <c r="K80" s="468"/>
    </row>
    <row r="81" spans="1:11" ht="12.75" customHeight="1" x14ac:dyDescent="0.2">
      <c r="A81" s="463" t="s">
        <v>26</v>
      </c>
      <c r="B81" s="470">
        <v>1790</v>
      </c>
      <c r="C81" s="551">
        <v>580</v>
      </c>
      <c r="D81" s="466"/>
      <c r="E81" s="468"/>
      <c r="F81" s="468"/>
      <c r="G81" s="468"/>
      <c r="H81" s="468"/>
      <c r="I81" s="468"/>
      <c r="J81" s="468"/>
      <c r="K81" s="468"/>
    </row>
    <row r="82" spans="1:11" ht="12.75" customHeight="1" thickBot="1" x14ac:dyDescent="0.25">
      <c r="A82" s="1707" t="s">
        <v>241</v>
      </c>
      <c r="B82" s="1708"/>
      <c r="C82" s="1706">
        <f>SUM(C77:C81)</f>
        <v>4923</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f>3650+17106</f>
        <v>20756</v>
      </c>
      <c r="D92" s="468"/>
      <c r="E92" s="468"/>
      <c r="F92" s="468"/>
      <c r="G92" s="468"/>
      <c r="H92" s="468"/>
      <c r="I92" s="468"/>
      <c r="J92" s="468"/>
      <c r="K92" s="468"/>
    </row>
    <row r="93" spans="1:11" ht="12.75" customHeight="1" thickBot="1" x14ac:dyDescent="0.25">
      <c r="A93" s="1707" t="s">
        <v>243</v>
      </c>
      <c r="B93" s="1708"/>
      <c r="C93" s="1687">
        <f>SUM(C84:C92)</f>
        <v>20756</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41387</v>
      </c>
      <c r="D107" s="466">
        <f>13520+1672</f>
        <v>15192</v>
      </c>
      <c r="E107" s="466"/>
      <c r="F107" s="466">
        <v>28033</v>
      </c>
      <c r="G107" s="466"/>
      <c r="H107" s="466">
        <v>1500</v>
      </c>
      <c r="I107" s="466"/>
      <c r="J107" s="467"/>
      <c r="K107" s="466"/>
    </row>
    <row r="108" spans="1:12" ht="12.75" customHeight="1" thickBot="1" x14ac:dyDescent="0.25">
      <c r="A108" s="1707" t="s">
        <v>487</v>
      </c>
      <c r="B108" s="1711"/>
      <c r="C108" s="1706">
        <f>SUM(C95:C107)</f>
        <v>41387</v>
      </c>
      <c r="D108" s="1706">
        <f t="shared" ref="D108:K108" si="3">SUM(D95:D107)</f>
        <v>15192</v>
      </c>
      <c r="E108" s="1706">
        <f t="shared" si="3"/>
        <v>0</v>
      </c>
      <c r="F108" s="1706">
        <f t="shared" si="3"/>
        <v>28033</v>
      </c>
      <c r="G108" s="1706">
        <f t="shared" si="3"/>
        <v>0</v>
      </c>
      <c r="H108" s="1706">
        <f t="shared" si="3"/>
        <v>1500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1741585</v>
      </c>
      <c r="D109" s="1714">
        <f t="shared" si="4"/>
        <v>309062</v>
      </c>
      <c r="E109" s="1714">
        <f t="shared" si="4"/>
        <v>274314</v>
      </c>
      <c r="F109" s="1714">
        <f t="shared" si="4"/>
        <v>149594</v>
      </c>
      <c r="G109" s="1714">
        <f t="shared" si="4"/>
        <v>113927</v>
      </c>
      <c r="H109" s="1714">
        <f t="shared" si="4"/>
        <v>31187</v>
      </c>
      <c r="I109" s="1714">
        <f t="shared" si="4"/>
        <v>18</v>
      </c>
      <c r="J109" s="1714">
        <f t="shared" si="4"/>
        <v>0</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2496590</v>
      </c>
      <c r="D117" s="481"/>
      <c r="E117" s="466"/>
      <c r="F117" s="481"/>
      <c r="G117" s="481"/>
      <c r="H117" s="466">
        <v>118842</v>
      </c>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2496590</v>
      </c>
      <c r="D122" s="1706">
        <f t="shared" si="5"/>
        <v>0</v>
      </c>
      <c r="E122" s="1706">
        <f t="shared" si="5"/>
        <v>0</v>
      </c>
      <c r="F122" s="1706">
        <f t="shared" si="5"/>
        <v>0</v>
      </c>
      <c r="G122" s="1706">
        <f t="shared" si="5"/>
        <v>0</v>
      </c>
      <c r="H122" s="1706">
        <f t="shared" si="5"/>
        <v>118842</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136366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136366</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7248</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108917</v>
      </c>
      <c r="G152" s="467"/>
      <c r="H152" s="468"/>
      <c r="I152" s="468"/>
      <c r="J152" s="468"/>
      <c r="K152" s="468"/>
    </row>
    <row r="153" spans="1:11" ht="12.75" customHeight="1" x14ac:dyDescent="0.2">
      <c r="A153" s="463" t="s">
        <v>1057</v>
      </c>
      <c r="B153" s="562">
        <v>3510</v>
      </c>
      <c r="C153" s="551"/>
      <c r="D153" s="466"/>
      <c r="E153" s="561"/>
      <c r="F153" s="466">
        <v>251111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360028</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750</v>
      </c>
      <c r="D168" s="580"/>
      <c r="E168" s="580"/>
      <c r="F168" s="580"/>
      <c r="G168" s="581"/>
      <c r="H168" s="582">
        <v>222600</v>
      </c>
      <c r="I168" s="581"/>
      <c r="J168" s="581"/>
      <c r="K168" s="582"/>
    </row>
    <row r="169" spans="1:11" ht="12.75" customHeight="1" thickTop="1" thickBot="1" x14ac:dyDescent="0.25">
      <c r="A169" s="2143" t="s">
        <v>398</v>
      </c>
      <c r="B169" s="2144"/>
      <c r="C169" s="1721">
        <f t="shared" ref="C169:K169" si="6">SUM(C132,C141,C145,C146:C150,C155,C156:C167,C168)</f>
        <v>144364</v>
      </c>
      <c r="D169" s="1721">
        <f t="shared" si="6"/>
        <v>0</v>
      </c>
      <c r="E169" s="1721">
        <f t="shared" si="6"/>
        <v>0</v>
      </c>
      <c r="F169" s="1721">
        <f t="shared" si="6"/>
        <v>360028</v>
      </c>
      <c r="G169" s="1721">
        <f t="shared" si="6"/>
        <v>0</v>
      </c>
      <c r="H169" s="1721">
        <f t="shared" si="6"/>
        <v>222600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2640954</v>
      </c>
      <c r="D170" s="1714">
        <f t="shared" si="7"/>
        <v>0</v>
      </c>
      <c r="E170" s="1714">
        <f t="shared" si="7"/>
        <v>0</v>
      </c>
      <c r="F170" s="1714">
        <f t="shared" si="7"/>
        <v>360028</v>
      </c>
      <c r="G170" s="1714">
        <f t="shared" si="7"/>
        <v>0</v>
      </c>
      <c r="H170" s="1714">
        <f t="shared" si="7"/>
        <v>341442</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204373</v>
      </c>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f>132091+5968</f>
        <v>138059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342432</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f>187151+1340</f>
        <v>188491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188491</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15480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15480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91565</v>
      </c>
      <c r="D213" s="466"/>
      <c r="E213" s="468"/>
      <c r="F213" s="466"/>
      <c r="G213" s="466"/>
      <c r="H213" s="468"/>
      <c r="I213" s="468"/>
      <c r="J213" s="468"/>
      <c r="K213" s="468"/>
    </row>
    <row r="214" spans="1:11" ht="12.75" customHeight="1" x14ac:dyDescent="0.2">
      <c r="A214" s="463" t="s">
        <v>1054</v>
      </c>
      <c r="B214" s="470">
        <v>4625</v>
      </c>
      <c r="C214" s="551">
        <v>2641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94206</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22883</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5542</v>
      </c>
      <c r="D263" s="576"/>
      <c r="E263" s="468"/>
      <c r="F263" s="576"/>
      <c r="G263" s="576"/>
      <c r="H263" s="468"/>
      <c r="I263" s="468"/>
      <c r="J263" s="468"/>
      <c r="K263" s="468"/>
    </row>
    <row r="264" spans="1:11" ht="12.75" customHeight="1" thickTop="1" thickBot="1" x14ac:dyDescent="0.25">
      <c r="A264" s="463" t="s">
        <v>377</v>
      </c>
      <c r="B264" s="470">
        <v>4992</v>
      </c>
      <c r="C264" s="575">
        <v>29288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698322</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698322</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5080861</v>
      </c>
      <c r="D268" s="1714">
        <f t="shared" si="12"/>
        <v>309062</v>
      </c>
      <c r="E268" s="1714">
        <f t="shared" si="12"/>
        <v>274314</v>
      </c>
      <c r="F268" s="1714">
        <f t="shared" si="12"/>
        <v>509622</v>
      </c>
      <c r="G268" s="1714">
        <f t="shared" si="12"/>
        <v>113927</v>
      </c>
      <c r="H268" s="1714">
        <f t="shared" si="12"/>
        <v>372629</v>
      </c>
      <c r="I268" s="1714">
        <f t="shared" si="12"/>
        <v>18</v>
      </c>
      <c r="J268" s="1714">
        <f t="shared" si="12"/>
        <v>0</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35" activePane="bottomLeft" state="frozen"/>
      <selection pane="bottomLeft" activeCell="E82" sqref="E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1320999</v>
      </c>
      <c r="D5" s="466">
        <v>188440</v>
      </c>
      <c r="E5" s="466"/>
      <c r="F5" s="466">
        <v>131012</v>
      </c>
      <c r="G5" s="466">
        <v>112240</v>
      </c>
      <c r="H5" s="466"/>
      <c r="I5" s="467"/>
      <c r="J5" s="467"/>
      <c r="K5" s="1670">
        <f>SUM(C5:J5)</f>
        <v>1752691</v>
      </c>
      <c r="L5" s="466">
        <v>1753203</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c r="D7" s="467"/>
      <c r="E7" s="467"/>
      <c r="F7" s="467"/>
      <c r="G7" s="467"/>
      <c r="H7" s="467"/>
      <c r="I7" s="467"/>
      <c r="J7" s="467"/>
      <c r="K7" s="1670">
        <f t="shared" ref="K7:K32" si="0">SUM(C7:J7)</f>
        <v>0</v>
      </c>
      <c r="L7" s="466"/>
    </row>
    <row r="8" spans="1:14" x14ac:dyDescent="0.2">
      <c r="A8" s="1503" t="s">
        <v>164</v>
      </c>
      <c r="B8" s="614">
        <v>1200</v>
      </c>
      <c r="C8" s="466">
        <v>380137</v>
      </c>
      <c r="D8" s="466">
        <v>60353</v>
      </c>
      <c r="E8" s="466">
        <v>519081</v>
      </c>
      <c r="F8" s="466">
        <v>8123</v>
      </c>
      <c r="G8" s="466"/>
      <c r="H8" s="466"/>
      <c r="I8" s="467"/>
      <c r="J8" s="467"/>
      <c r="K8" s="1670">
        <f t="shared" si="0"/>
        <v>967694</v>
      </c>
      <c r="L8" s="466">
        <v>803671</v>
      </c>
    </row>
    <row r="9" spans="1:14" x14ac:dyDescent="0.2">
      <c r="A9" s="1503" t="s">
        <v>721</v>
      </c>
      <c r="B9" s="614" t="s">
        <v>968</v>
      </c>
      <c r="C9" s="467"/>
      <c r="D9" s="467"/>
      <c r="E9" s="467"/>
      <c r="F9" s="467"/>
      <c r="G9" s="467"/>
      <c r="H9" s="467"/>
      <c r="I9" s="467"/>
      <c r="J9" s="467"/>
      <c r="K9" s="1670">
        <f t="shared" si="0"/>
        <v>0</v>
      </c>
      <c r="L9" s="466"/>
    </row>
    <row r="10" spans="1:14" x14ac:dyDescent="0.2">
      <c r="A10" s="1503" t="s">
        <v>722</v>
      </c>
      <c r="B10" s="614">
        <v>1250</v>
      </c>
      <c r="C10" s="466">
        <v>231930</v>
      </c>
      <c r="D10" s="466">
        <v>15990</v>
      </c>
      <c r="E10" s="466">
        <v>11102</v>
      </c>
      <c r="F10" s="466">
        <v>17086</v>
      </c>
      <c r="G10" s="466">
        <v>17773</v>
      </c>
      <c r="H10" s="466"/>
      <c r="I10" s="467"/>
      <c r="J10" s="467"/>
      <c r="K10" s="1670">
        <f t="shared" si="0"/>
        <v>293881</v>
      </c>
      <c r="L10" s="466">
        <v>465785</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c r="D13" s="466"/>
      <c r="E13" s="466"/>
      <c r="F13" s="466"/>
      <c r="G13" s="466"/>
      <c r="H13" s="466"/>
      <c r="I13" s="467"/>
      <c r="J13" s="467"/>
      <c r="K13" s="1670">
        <f t="shared" si="0"/>
        <v>0</v>
      </c>
      <c r="L13" s="466"/>
    </row>
    <row r="14" spans="1:14" x14ac:dyDescent="0.2">
      <c r="A14" s="1503" t="s">
        <v>963</v>
      </c>
      <c r="B14" s="614">
        <v>1500</v>
      </c>
      <c r="C14" s="466"/>
      <c r="D14" s="466"/>
      <c r="E14" s="466"/>
      <c r="F14" s="466"/>
      <c r="G14" s="466"/>
      <c r="H14" s="466"/>
      <c r="I14" s="467"/>
      <c r="J14" s="467"/>
      <c r="K14" s="1670">
        <f t="shared" si="0"/>
        <v>0</v>
      </c>
      <c r="L14" s="466"/>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c r="D17" s="467"/>
      <c r="E17" s="467"/>
      <c r="F17" s="467"/>
      <c r="G17" s="467"/>
      <c r="H17" s="467"/>
      <c r="I17" s="467"/>
      <c r="J17" s="467"/>
      <c r="K17" s="1670">
        <f t="shared" si="0"/>
        <v>0</v>
      </c>
      <c r="L17" s="466"/>
    </row>
    <row r="18" spans="1:12" x14ac:dyDescent="0.2">
      <c r="A18" s="1503" t="s">
        <v>1087</v>
      </c>
      <c r="B18" s="614">
        <v>1800</v>
      </c>
      <c r="C18" s="466">
        <v>54441</v>
      </c>
      <c r="D18" s="466"/>
      <c r="E18" s="466"/>
      <c r="F18" s="466"/>
      <c r="G18" s="466"/>
      <c r="H18" s="466"/>
      <c r="I18" s="467"/>
      <c r="J18" s="467"/>
      <c r="K18" s="1670">
        <f t="shared" si="0"/>
        <v>54441</v>
      </c>
      <c r="L18" s="466">
        <v>79080</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1987507</v>
      </c>
      <c r="D33" s="1669">
        <f t="shared" ref="D33:L33" si="1">SUM(D5:D32)</f>
        <v>264783</v>
      </c>
      <c r="E33" s="1669">
        <f t="shared" si="1"/>
        <v>530183</v>
      </c>
      <c r="F33" s="1669">
        <f t="shared" si="1"/>
        <v>156221</v>
      </c>
      <c r="G33" s="1669">
        <f t="shared" si="1"/>
        <v>130013</v>
      </c>
      <c r="H33" s="1669">
        <f t="shared" si="1"/>
        <v>0</v>
      </c>
      <c r="I33" s="1669">
        <f t="shared" si="1"/>
        <v>0</v>
      </c>
      <c r="J33" s="1669">
        <f t="shared" si="1"/>
        <v>0</v>
      </c>
      <c r="K33" s="1669">
        <f t="shared" si="1"/>
        <v>3068707</v>
      </c>
      <c r="L33" s="1669">
        <f t="shared" si="1"/>
        <v>3101739</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75971</v>
      </c>
      <c r="D36" s="481">
        <v>9323</v>
      </c>
      <c r="E36" s="481"/>
      <c r="F36" s="481"/>
      <c r="G36" s="481"/>
      <c r="H36" s="481"/>
      <c r="I36" s="467"/>
      <c r="J36" s="467"/>
      <c r="K36" s="1670">
        <f t="shared" ref="K36:K41" si="2">SUM(C36:J36)</f>
        <v>85294</v>
      </c>
      <c r="L36" s="466">
        <v>87920</v>
      </c>
    </row>
    <row r="37" spans="1:14" x14ac:dyDescent="0.2">
      <c r="A37" s="1503" t="s">
        <v>1090</v>
      </c>
      <c r="B37" s="614">
        <v>2120</v>
      </c>
      <c r="C37" s="466"/>
      <c r="D37" s="466"/>
      <c r="E37" s="466"/>
      <c r="F37" s="466"/>
      <c r="G37" s="466"/>
      <c r="H37" s="466"/>
      <c r="I37" s="467"/>
      <c r="J37" s="467"/>
      <c r="K37" s="1670">
        <f t="shared" si="2"/>
        <v>0</v>
      </c>
      <c r="L37" s="466"/>
    </row>
    <row r="38" spans="1:14" x14ac:dyDescent="0.2">
      <c r="A38" s="1503" t="s">
        <v>198</v>
      </c>
      <c r="B38" s="614">
        <v>2130</v>
      </c>
      <c r="C38" s="466">
        <v>31056</v>
      </c>
      <c r="D38" s="466"/>
      <c r="E38" s="466">
        <v>1673</v>
      </c>
      <c r="F38" s="466">
        <v>1216</v>
      </c>
      <c r="G38" s="466"/>
      <c r="H38" s="466"/>
      <c r="I38" s="467"/>
      <c r="J38" s="467"/>
      <c r="K38" s="1670">
        <f t="shared" si="2"/>
        <v>33945</v>
      </c>
      <c r="L38" s="466">
        <v>36000</v>
      </c>
    </row>
    <row r="39" spans="1:14" x14ac:dyDescent="0.2">
      <c r="A39" s="1503" t="s">
        <v>199</v>
      </c>
      <c r="B39" s="614">
        <v>2140</v>
      </c>
      <c r="C39" s="466">
        <v>31000</v>
      </c>
      <c r="D39" s="466"/>
      <c r="E39" s="466">
        <v>10332</v>
      </c>
      <c r="F39" s="466"/>
      <c r="G39" s="466"/>
      <c r="H39" s="466"/>
      <c r="I39" s="467"/>
      <c r="J39" s="467"/>
      <c r="K39" s="1670">
        <f t="shared" si="2"/>
        <v>41332</v>
      </c>
      <c r="L39" s="466">
        <v>41070</v>
      </c>
    </row>
    <row r="40" spans="1:14" x14ac:dyDescent="0.2">
      <c r="A40" s="1503" t="s">
        <v>200</v>
      </c>
      <c r="B40" s="614">
        <v>2150</v>
      </c>
      <c r="C40" s="466">
        <v>107143</v>
      </c>
      <c r="D40" s="466"/>
      <c r="E40" s="466"/>
      <c r="F40" s="466"/>
      <c r="G40" s="466"/>
      <c r="H40" s="466"/>
      <c r="I40" s="467"/>
      <c r="J40" s="467"/>
      <c r="K40" s="1670">
        <f t="shared" si="2"/>
        <v>107143</v>
      </c>
      <c r="L40" s="466">
        <v>109642</v>
      </c>
    </row>
    <row r="41" spans="1:14" x14ac:dyDescent="0.2">
      <c r="A41" s="1503"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245170</v>
      </c>
      <c r="D42" s="1669">
        <f t="shared" ref="D42:L42" si="3">SUM(D36:D41)</f>
        <v>9323</v>
      </c>
      <c r="E42" s="1669">
        <f t="shared" si="3"/>
        <v>12005</v>
      </c>
      <c r="F42" s="1669">
        <f t="shared" si="3"/>
        <v>1216</v>
      </c>
      <c r="G42" s="1669">
        <f t="shared" si="3"/>
        <v>0</v>
      </c>
      <c r="H42" s="1669">
        <f t="shared" si="3"/>
        <v>0</v>
      </c>
      <c r="I42" s="1669">
        <f t="shared" si="3"/>
        <v>0</v>
      </c>
      <c r="J42" s="1669">
        <f t="shared" si="3"/>
        <v>0</v>
      </c>
      <c r="K42" s="1669">
        <f t="shared" si="3"/>
        <v>267714</v>
      </c>
      <c r="L42" s="1669">
        <f t="shared" si="3"/>
        <v>274632</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32171</v>
      </c>
      <c r="D44" s="481">
        <v>591</v>
      </c>
      <c r="E44" s="481">
        <v>14905</v>
      </c>
      <c r="F44" s="481"/>
      <c r="G44" s="481"/>
      <c r="H44" s="481"/>
      <c r="I44" s="467"/>
      <c r="J44" s="467"/>
      <c r="K44" s="1671">
        <f>SUM(C44:J44)</f>
        <v>47667</v>
      </c>
      <c r="L44" s="481">
        <v>67526</v>
      </c>
    </row>
    <row r="45" spans="1:14" x14ac:dyDescent="0.2">
      <c r="A45" s="1503" t="s">
        <v>815</v>
      </c>
      <c r="B45" s="614">
        <v>2220</v>
      </c>
      <c r="C45" s="466">
        <v>15875</v>
      </c>
      <c r="D45" s="466"/>
      <c r="E45" s="466">
        <v>10099</v>
      </c>
      <c r="F45" s="466">
        <v>2248</v>
      </c>
      <c r="G45" s="466"/>
      <c r="H45" s="466"/>
      <c r="I45" s="467"/>
      <c r="J45" s="467"/>
      <c r="K45" s="1671">
        <f>SUM(C45:J45)</f>
        <v>28222</v>
      </c>
      <c r="L45" s="466">
        <v>26081</v>
      </c>
    </row>
    <row r="46" spans="1:14" x14ac:dyDescent="0.2">
      <c r="A46" s="1503" t="s">
        <v>816</v>
      </c>
      <c r="B46" s="614">
        <v>2230</v>
      </c>
      <c r="C46" s="466"/>
      <c r="D46" s="466"/>
      <c r="E46" s="466"/>
      <c r="F46" s="466"/>
      <c r="G46" s="466"/>
      <c r="H46" s="466"/>
      <c r="I46" s="467"/>
      <c r="J46" s="467"/>
      <c r="K46" s="1671">
        <f>SUM(C46:J46)</f>
        <v>0</v>
      </c>
      <c r="L46" s="466">
        <v>9460</v>
      </c>
    </row>
    <row r="47" spans="1:14" ht="12.75" customHeight="1" thickBot="1" x14ac:dyDescent="0.25">
      <c r="A47" s="1667" t="s">
        <v>561</v>
      </c>
      <c r="B47" s="1668" t="s">
        <v>32</v>
      </c>
      <c r="C47" s="1669">
        <f>SUM(C44:C46)</f>
        <v>48046</v>
      </c>
      <c r="D47" s="1669">
        <f t="shared" ref="D47:K47" si="4">SUM(D44:D46)</f>
        <v>591</v>
      </c>
      <c r="E47" s="1669">
        <f t="shared" si="4"/>
        <v>25004</v>
      </c>
      <c r="F47" s="1669">
        <f t="shared" si="4"/>
        <v>2248</v>
      </c>
      <c r="G47" s="1669">
        <f t="shared" si="4"/>
        <v>0</v>
      </c>
      <c r="H47" s="1669">
        <f t="shared" si="4"/>
        <v>0</v>
      </c>
      <c r="I47" s="1669">
        <f t="shared" si="4"/>
        <v>0</v>
      </c>
      <c r="J47" s="1669">
        <f t="shared" si="4"/>
        <v>0</v>
      </c>
      <c r="K47" s="1669">
        <f t="shared" si="4"/>
        <v>75889</v>
      </c>
      <c r="L47" s="1669">
        <f>SUM(L44:L46)</f>
        <v>103067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4100</v>
      </c>
      <c r="D49" s="481">
        <v>114</v>
      </c>
      <c r="E49" s="481">
        <v>50768</v>
      </c>
      <c r="F49" s="481"/>
      <c r="G49" s="481"/>
      <c r="H49" s="481">
        <v>28289</v>
      </c>
      <c r="I49" s="467"/>
      <c r="J49" s="467"/>
      <c r="K49" s="1671">
        <f>SUM(C49:J49)</f>
        <v>83271</v>
      </c>
      <c r="L49" s="481">
        <v>121850</v>
      </c>
    </row>
    <row r="50" spans="1:14" x14ac:dyDescent="0.2">
      <c r="A50" s="1503" t="s">
        <v>818</v>
      </c>
      <c r="B50" s="614">
        <v>2320</v>
      </c>
      <c r="C50" s="466">
        <v>148057</v>
      </c>
      <c r="D50" s="466">
        <v>107</v>
      </c>
      <c r="E50" s="466"/>
      <c r="F50" s="466"/>
      <c r="G50" s="466"/>
      <c r="H50" s="466"/>
      <c r="I50" s="467"/>
      <c r="J50" s="467"/>
      <c r="K50" s="1671">
        <f>SUM(C50:J50)</f>
        <v>148164</v>
      </c>
      <c r="L50" s="466">
        <v>159993</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152157</v>
      </c>
      <c r="D53" s="1669">
        <f t="shared" ref="D53:L53" si="5">SUM(D49:D52)</f>
        <v>221</v>
      </c>
      <c r="E53" s="1669">
        <f t="shared" si="5"/>
        <v>50768</v>
      </c>
      <c r="F53" s="1669">
        <f t="shared" si="5"/>
        <v>0</v>
      </c>
      <c r="G53" s="1669">
        <f t="shared" si="5"/>
        <v>0</v>
      </c>
      <c r="H53" s="1669">
        <f t="shared" si="5"/>
        <v>28289</v>
      </c>
      <c r="I53" s="1669">
        <f t="shared" si="5"/>
        <v>0</v>
      </c>
      <c r="J53" s="1669">
        <f t="shared" si="5"/>
        <v>0</v>
      </c>
      <c r="K53" s="1669">
        <f t="shared" si="5"/>
        <v>231435</v>
      </c>
      <c r="L53" s="1669">
        <f t="shared" si="5"/>
        <v>281843</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223343</v>
      </c>
      <c r="D55" s="481">
        <v>41655</v>
      </c>
      <c r="E55" s="481">
        <v>15214</v>
      </c>
      <c r="F55" s="481">
        <v>35582</v>
      </c>
      <c r="G55" s="481"/>
      <c r="H55" s="481"/>
      <c r="I55" s="467"/>
      <c r="J55" s="467"/>
      <c r="K55" s="1671">
        <f>SUM(C55:J55)</f>
        <v>315794</v>
      </c>
      <c r="L55" s="481">
        <v>359698</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223343</v>
      </c>
      <c r="D57" s="1673">
        <f t="shared" ref="D57:K57" si="6">SUM(D55:D56)</f>
        <v>41655</v>
      </c>
      <c r="E57" s="1673">
        <f t="shared" si="6"/>
        <v>15214</v>
      </c>
      <c r="F57" s="1673">
        <f t="shared" si="6"/>
        <v>35582</v>
      </c>
      <c r="G57" s="1673">
        <f t="shared" si="6"/>
        <v>0</v>
      </c>
      <c r="H57" s="1673">
        <f t="shared" si="6"/>
        <v>0</v>
      </c>
      <c r="I57" s="1673">
        <f t="shared" si="6"/>
        <v>0</v>
      </c>
      <c r="J57" s="1673">
        <f t="shared" si="6"/>
        <v>0</v>
      </c>
      <c r="K57" s="1673">
        <f t="shared" si="6"/>
        <v>315794</v>
      </c>
      <c r="L57" s="1669">
        <f>SUM(L55:L56)</f>
        <v>359698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75213</v>
      </c>
      <c r="D60" s="466">
        <v>13096</v>
      </c>
      <c r="E60" s="466"/>
      <c r="F60" s="466">
        <v>219</v>
      </c>
      <c r="G60" s="466"/>
      <c r="H60" s="466"/>
      <c r="I60" s="467"/>
      <c r="J60" s="467"/>
      <c r="K60" s="1671">
        <f t="shared" si="7"/>
        <v>88528</v>
      </c>
      <c r="L60" s="466">
        <v>92633</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47300</v>
      </c>
      <c r="D63" s="466"/>
      <c r="E63" s="466"/>
      <c r="F63" s="466">
        <v>307337</v>
      </c>
      <c r="G63" s="466">
        <v>6070</v>
      </c>
      <c r="H63" s="466"/>
      <c r="I63" s="467"/>
      <c r="J63" s="467"/>
      <c r="K63" s="1671">
        <f t="shared" si="7"/>
        <v>360707</v>
      </c>
      <c r="L63" s="466">
        <v>393966</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122513</v>
      </c>
      <c r="D65" s="1669">
        <f t="shared" ref="D65:L65" si="8">SUM(D59:D64)</f>
        <v>13096</v>
      </c>
      <c r="E65" s="1669">
        <f t="shared" si="8"/>
        <v>0</v>
      </c>
      <c r="F65" s="1669">
        <f t="shared" si="8"/>
        <v>307556</v>
      </c>
      <c r="G65" s="1669">
        <f t="shared" si="8"/>
        <v>6070</v>
      </c>
      <c r="H65" s="1669">
        <f t="shared" si="8"/>
        <v>0</v>
      </c>
      <c r="I65" s="1669">
        <f t="shared" si="8"/>
        <v>0</v>
      </c>
      <c r="J65" s="1669">
        <f t="shared" si="8"/>
        <v>0</v>
      </c>
      <c r="K65" s="1669">
        <f t="shared" si="8"/>
        <v>449235</v>
      </c>
      <c r="L65" s="1669">
        <f t="shared" si="8"/>
        <v>486599</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v>50</v>
      </c>
      <c r="G73" s="573"/>
      <c r="H73" s="573"/>
      <c r="I73" s="531"/>
      <c r="J73" s="531"/>
      <c r="K73" s="1669">
        <f>SUM(C73:J73)</f>
        <v>50</v>
      </c>
      <c r="L73" s="576"/>
      <c r="M73" s="609"/>
      <c r="N73" s="609"/>
    </row>
    <row r="74" spans="1:14" ht="12.75" customHeight="1" thickTop="1" thickBot="1" x14ac:dyDescent="0.25">
      <c r="A74" s="1667" t="s">
        <v>811</v>
      </c>
      <c r="B74" s="1675">
        <v>2000</v>
      </c>
      <c r="C74" s="1676">
        <f>SUM(C42,C47,C53,C57,C65,C72,C73)</f>
        <v>791229</v>
      </c>
      <c r="D74" s="1676">
        <f t="shared" ref="D74:K74" si="10">SUM(D42,D47,D53,D57,D65,D72,D73)</f>
        <v>64886</v>
      </c>
      <c r="E74" s="1676">
        <f t="shared" si="10"/>
        <v>102991</v>
      </c>
      <c r="F74" s="1676">
        <f t="shared" si="10"/>
        <v>346652</v>
      </c>
      <c r="G74" s="1676">
        <f t="shared" si="10"/>
        <v>6070</v>
      </c>
      <c r="H74" s="1676">
        <f t="shared" si="10"/>
        <v>28289</v>
      </c>
      <c r="I74" s="1676">
        <f t="shared" si="10"/>
        <v>0</v>
      </c>
      <c r="J74" s="1676">
        <f t="shared" si="10"/>
        <v>0</v>
      </c>
      <c r="K74" s="1676">
        <f t="shared" si="10"/>
        <v>1340117</v>
      </c>
      <c r="L74" s="1676">
        <f>SUM(L42,L47,L53,L57,L65,L72,L73)</f>
        <v>1505839</v>
      </c>
    </row>
    <row r="75" spans="1:14" s="259" customFormat="1" ht="15.75" customHeight="1" thickTop="1" thickBot="1" x14ac:dyDescent="0.25">
      <c r="A75" s="1609" t="s">
        <v>47</v>
      </c>
      <c r="B75" s="1610" t="s">
        <v>575</v>
      </c>
      <c r="C75" s="573"/>
      <c r="D75" s="573">
        <v>92</v>
      </c>
      <c r="E75" s="573"/>
      <c r="F75" s="573">
        <v>2164</v>
      </c>
      <c r="G75" s="573"/>
      <c r="H75" s="573"/>
      <c r="I75" s="531"/>
      <c r="J75" s="531"/>
      <c r="K75" s="1669">
        <f>SUM(C75:J75)</f>
        <v>2256</v>
      </c>
      <c r="L75" s="576">
        <v>2369</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c r="F79" s="616"/>
      <c r="G79" s="616"/>
      <c r="H79" s="466"/>
      <c r="I79" s="477"/>
      <c r="J79" s="477"/>
      <c r="K79" s="1670">
        <f t="shared" si="11"/>
        <v>0</v>
      </c>
      <c r="L79" s="466"/>
    </row>
    <row r="80" spans="1:14" x14ac:dyDescent="0.2">
      <c r="A80" s="1503" t="s">
        <v>305</v>
      </c>
      <c r="B80" s="614">
        <v>4130</v>
      </c>
      <c r="C80" s="616"/>
      <c r="D80" s="616"/>
      <c r="E80" s="466">
        <v>420840</v>
      </c>
      <c r="F80" s="616"/>
      <c r="G80" s="616"/>
      <c r="H80" s="466"/>
      <c r="I80" s="477"/>
      <c r="J80" s="477"/>
      <c r="K80" s="1670">
        <f t="shared" si="11"/>
        <v>420840</v>
      </c>
      <c r="L80" s="466">
        <v>408576</v>
      </c>
    </row>
    <row r="81" spans="1:12" x14ac:dyDescent="0.2">
      <c r="A81" s="1503" t="s">
        <v>697</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420840</v>
      </c>
      <c r="F84" s="616"/>
      <c r="G84" s="616"/>
      <c r="H84" s="1669">
        <f>SUM(H78:H83)</f>
        <v>0</v>
      </c>
      <c r="I84" s="477"/>
      <c r="J84" s="477"/>
      <c r="K84" s="1669">
        <f>SUM(K78:K83)</f>
        <v>420840</v>
      </c>
      <c r="L84" s="1669">
        <f>SUM(L78:L83)</f>
        <v>408576</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c r="I86" s="477"/>
      <c r="J86" s="477"/>
      <c r="K86" s="1676">
        <f t="shared" ref="K86:K98" si="12">H86</f>
        <v>0</v>
      </c>
      <c r="L86" s="530"/>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420840</v>
      </c>
      <c r="F102" s="616"/>
      <c r="G102" s="616"/>
      <c r="H102" s="1676">
        <f>SUM(H84,H92,H100,H101)</f>
        <v>0</v>
      </c>
      <c r="I102" s="477"/>
      <c r="J102" s="477"/>
      <c r="K102" s="1676">
        <f>SUM(K84,K92,K100,K101)</f>
        <v>420840</v>
      </c>
      <c r="L102" s="1676">
        <f>SUM(L84,L92,L100,L101)</f>
        <v>408576</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2778736</v>
      </c>
      <c r="D114" s="1669">
        <f t="shared" ref="D114:K114" si="13">SUM(D33,D74,D75,D102,D112,D113)</f>
        <v>329761</v>
      </c>
      <c r="E114" s="1669">
        <f t="shared" si="13"/>
        <v>1054014</v>
      </c>
      <c r="F114" s="1669">
        <f t="shared" si="13"/>
        <v>505037</v>
      </c>
      <c r="G114" s="1669">
        <f t="shared" si="13"/>
        <v>136083</v>
      </c>
      <c r="H114" s="1669">
        <f>SUM(H33,H74,H75,H102,H112,H113)</f>
        <v>28289</v>
      </c>
      <c r="I114" s="1669">
        <f t="shared" si="13"/>
        <v>0</v>
      </c>
      <c r="J114" s="1669">
        <f t="shared" si="13"/>
        <v>0</v>
      </c>
      <c r="K114" s="1669">
        <f t="shared" si="13"/>
        <v>4831920</v>
      </c>
      <c r="L114" s="1669">
        <f>SUM(L33,L74,L75,L102,L112,L113)</f>
        <v>5018523</v>
      </c>
    </row>
    <row r="115" spans="1:14" ht="13.5" thickTop="1" x14ac:dyDescent="0.2">
      <c r="A115" s="2155" t="s">
        <v>996</v>
      </c>
      <c r="B115" s="2156"/>
      <c r="C115" s="618"/>
      <c r="D115" s="618"/>
      <c r="E115" s="618"/>
      <c r="F115" s="618"/>
      <c r="G115" s="618"/>
      <c r="H115" s="618"/>
      <c r="I115" s="618"/>
      <c r="J115" s="618"/>
      <c r="K115" s="1683">
        <f>'Revenues 9-14'!C268-'Expenditures 15-22'!K114</f>
        <v>248941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85116</v>
      </c>
      <c r="D124" s="466">
        <v>10116</v>
      </c>
      <c r="E124" s="466">
        <v>93346</v>
      </c>
      <c r="F124" s="466">
        <v>53316</v>
      </c>
      <c r="G124" s="466">
        <v>71477</v>
      </c>
      <c r="H124" s="466"/>
      <c r="I124" s="467"/>
      <c r="J124" s="467"/>
      <c r="K124" s="1669">
        <f>SUM(C124:J124)</f>
        <v>313371</v>
      </c>
      <c r="L124" s="466">
        <v>333933</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85116</v>
      </c>
      <c r="D127" s="1669">
        <f t="shared" ref="D127:L127" si="14">SUM(D122:D126)</f>
        <v>10116</v>
      </c>
      <c r="E127" s="1669">
        <f t="shared" si="14"/>
        <v>93346</v>
      </c>
      <c r="F127" s="1669">
        <f t="shared" si="14"/>
        <v>53316</v>
      </c>
      <c r="G127" s="1669">
        <f t="shared" si="14"/>
        <v>71477</v>
      </c>
      <c r="H127" s="1669">
        <f t="shared" si="14"/>
        <v>0</v>
      </c>
      <c r="I127" s="1669">
        <f t="shared" si="14"/>
        <v>0</v>
      </c>
      <c r="J127" s="1669">
        <f t="shared" si="14"/>
        <v>0</v>
      </c>
      <c r="K127" s="1669">
        <f t="shared" si="14"/>
        <v>313371</v>
      </c>
      <c r="L127" s="1669">
        <f t="shared" si="14"/>
        <v>333933</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85116</v>
      </c>
      <c r="D129" s="1676">
        <f t="shared" ref="D129:L129" si="15">SUM(D120,D127,D128)</f>
        <v>10116</v>
      </c>
      <c r="E129" s="1676">
        <f t="shared" si="15"/>
        <v>93346</v>
      </c>
      <c r="F129" s="1676">
        <f t="shared" si="15"/>
        <v>53316</v>
      </c>
      <c r="G129" s="1676">
        <f t="shared" si="15"/>
        <v>71477</v>
      </c>
      <c r="H129" s="1676">
        <f t="shared" si="15"/>
        <v>0</v>
      </c>
      <c r="I129" s="1676">
        <f t="shared" si="15"/>
        <v>0</v>
      </c>
      <c r="J129" s="1676">
        <f t="shared" si="15"/>
        <v>0</v>
      </c>
      <c r="K129" s="1676">
        <f t="shared" si="15"/>
        <v>313371</v>
      </c>
      <c r="L129" s="1676">
        <f t="shared" si="15"/>
        <v>333933</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2" t="s">
        <v>620</v>
      </c>
      <c r="B151" s="2152"/>
      <c r="C151" s="1669">
        <f>SUM(C129,C130,C139,C149,C150)</f>
        <v>85116</v>
      </c>
      <c r="D151" s="1669">
        <f t="shared" ref="D151:K151" si="16">SUM(D129,D130,D139,D149,D150)</f>
        <v>10116</v>
      </c>
      <c r="E151" s="1669">
        <f t="shared" si="16"/>
        <v>93346</v>
      </c>
      <c r="F151" s="1669">
        <f t="shared" si="16"/>
        <v>53316</v>
      </c>
      <c r="G151" s="1669">
        <f t="shared" si="16"/>
        <v>71477</v>
      </c>
      <c r="H151" s="1669">
        <f t="shared" si="16"/>
        <v>0</v>
      </c>
      <c r="I151" s="1669">
        <f t="shared" si="16"/>
        <v>0</v>
      </c>
      <c r="J151" s="1669">
        <f t="shared" si="16"/>
        <v>0</v>
      </c>
      <c r="K151" s="1669">
        <f t="shared" si="16"/>
        <v>313371</v>
      </c>
      <c r="L151" s="1669">
        <f>SUM(L129,L130,L139,L149,L150)</f>
        <v>333933</v>
      </c>
    </row>
    <row r="152" spans="1:14" ht="12.75" customHeight="1" thickTop="1" x14ac:dyDescent="0.2">
      <c r="A152" s="2175" t="s">
        <v>1178</v>
      </c>
      <c r="B152" s="2176"/>
      <c r="C152" s="618"/>
      <c r="D152" s="618"/>
      <c r="E152" s="618"/>
      <c r="F152" s="618"/>
      <c r="G152" s="618"/>
      <c r="H152" s="618"/>
      <c r="I152" s="618"/>
      <c r="J152" s="616"/>
      <c r="K152" s="1683">
        <f>'Revenues 9-14'!D268-'Expenditures 15-22'!K151</f>
        <v>-4309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178904</v>
      </c>
      <c r="I169" s="616"/>
      <c r="J169" s="616"/>
      <c r="K169" s="1670">
        <f>SUM(C169:H169)</f>
        <v>178904</v>
      </c>
      <c r="L169" s="656">
        <v>62867</v>
      </c>
    </row>
    <row r="170" spans="1:14" ht="33.75" customHeight="1" x14ac:dyDescent="0.2">
      <c r="A170" s="669" t="s">
        <v>1670</v>
      </c>
      <c r="B170" s="671" t="s">
        <v>31</v>
      </c>
      <c r="C170" s="616"/>
      <c r="D170" s="616"/>
      <c r="E170" s="616"/>
      <c r="F170" s="616"/>
      <c r="G170" s="616"/>
      <c r="H170" s="569">
        <v>89000</v>
      </c>
      <c r="I170" s="616"/>
      <c r="J170" s="616"/>
      <c r="K170" s="1670">
        <f>SUM(C170:J170)</f>
        <v>89000</v>
      </c>
      <c r="L170" s="569">
        <v>200000</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267904</v>
      </c>
      <c r="I172" s="638"/>
      <c r="J172" s="616"/>
      <c r="K172" s="1676">
        <f>SUM(K168,K169,K170,K171)</f>
        <v>267904</v>
      </c>
      <c r="L172" s="1676">
        <f>SUM(L168,L169,L170,L171)</f>
        <v>262867</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267904</v>
      </c>
      <c r="I174" s="638"/>
      <c r="J174" s="616"/>
      <c r="K174" s="1676">
        <f>SUM(K160,K172,K173)</f>
        <v>267904</v>
      </c>
      <c r="L174" s="1676">
        <f>SUM(L160,L172,L173)</f>
        <v>262867</v>
      </c>
    </row>
    <row r="175" spans="1:14" ht="13.5" thickTop="1" x14ac:dyDescent="0.2">
      <c r="A175" s="2155" t="s">
        <v>996</v>
      </c>
      <c r="B175" s="2156"/>
      <c r="C175" s="616"/>
      <c r="D175" s="616"/>
      <c r="E175" s="616"/>
      <c r="F175" s="616"/>
      <c r="G175" s="616"/>
      <c r="H175" s="618"/>
      <c r="I175" s="616"/>
      <c r="J175" s="616"/>
      <c r="K175" s="1683">
        <f>'Revenues 9-14'!E268-'Expenditures 15-22'!K174</f>
        <v>6410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18029</v>
      </c>
      <c r="D182" s="466">
        <v>13</v>
      </c>
      <c r="E182" s="466">
        <v>638169</v>
      </c>
      <c r="F182" s="466"/>
      <c r="G182" s="466"/>
      <c r="H182" s="466"/>
      <c r="I182" s="467"/>
      <c r="J182" s="467"/>
      <c r="K182" s="1670">
        <f>SUM(C182:J182)</f>
        <v>656211</v>
      </c>
      <c r="L182" s="466">
        <v>615015</v>
      </c>
    </row>
    <row r="183" spans="1:14" ht="12.75" customHeight="1" thickBot="1" x14ac:dyDescent="0.25">
      <c r="A183" s="1508"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18029</v>
      </c>
      <c r="D184" s="1676">
        <f t="shared" ref="D184:J184" si="17">SUM(D180,D182,D183)</f>
        <v>13</v>
      </c>
      <c r="E184" s="1676">
        <f t="shared" si="17"/>
        <v>638169</v>
      </c>
      <c r="F184" s="1676">
        <f t="shared" si="17"/>
        <v>0</v>
      </c>
      <c r="G184" s="1676">
        <f t="shared" si="17"/>
        <v>0</v>
      </c>
      <c r="H184" s="1676">
        <f t="shared" si="17"/>
        <v>0</v>
      </c>
      <c r="I184" s="1676">
        <f t="shared" si="17"/>
        <v>0</v>
      </c>
      <c r="J184" s="1676">
        <f t="shared" si="17"/>
        <v>0</v>
      </c>
      <c r="K184" s="1676">
        <f>SUM(K180,K182,K183)</f>
        <v>656211</v>
      </c>
      <c r="L184" s="1676">
        <f>SUM(L180, L182:L183)</f>
        <v>615015</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18029</v>
      </c>
      <c r="D210" s="1669">
        <f>SUM(D184,D185)</f>
        <v>13</v>
      </c>
      <c r="E210" s="1669">
        <f>SUM(E184,E185,E196)</f>
        <v>638169</v>
      </c>
      <c r="F210" s="1669">
        <f>SUM(F184,F185)</f>
        <v>0</v>
      </c>
      <c r="G210" s="1669">
        <f>SUM(G184,G185)</f>
        <v>0</v>
      </c>
      <c r="H210" s="1669">
        <f>SUM(H184,H185,H196,H208,H209)</f>
        <v>0</v>
      </c>
      <c r="I210" s="1669">
        <f>SUM(I184,I185)</f>
        <v>0</v>
      </c>
      <c r="J210" s="1669">
        <f>SUM(J184,J185)</f>
        <v>0</v>
      </c>
      <c r="K210" s="1670">
        <f>SUM(K184,K185,K196,K208,K209)</f>
        <v>656211</v>
      </c>
      <c r="L210" s="1669">
        <f>SUM(L184,L185,L196,L208,L209)</f>
        <v>615015</v>
      </c>
    </row>
    <row r="211" spans="1:14" ht="13.5" thickTop="1" x14ac:dyDescent="0.2">
      <c r="A211" s="2155" t="s">
        <v>996</v>
      </c>
      <c r="B211" s="2156"/>
      <c r="C211" s="618"/>
      <c r="D211" s="618"/>
      <c r="E211" s="618"/>
      <c r="F211" s="618"/>
      <c r="G211" s="618"/>
      <c r="H211" s="618"/>
      <c r="I211" s="616"/>
      <c r="J211" s="616"/>
      <c r="K211" s="1683">
        <f>'Revenues 9-14'!F268-'Expenditures 15-22'!K210</f>
        <v>-146589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23663</v>
      </c>
      <c r="E215" s="616"/>
      <c r="F215" s="616"/>
      <c r="G215" s="616"/>
      <c r="H215" s="616"/>
      <c r="I215" s="616"/>
      <c r="J215" s="616"/>
      <c r="K215" s="1670">
        <f>D215</f>
        <v>23663</v>
      </c>
      <c r="L215" s="466">
        <v>30050</v>
      </c>
    </row>
    <row r="216" spans="1:14" x14ac:dyDescent="0.2">
      <c r="A216" s="1503" t="s">
        <v>163</v>
      </c>
      <c r="B216" s="614" t="s">
        <v>967</v>
      </c>
      <c r="C216" s="616"/>
      <c r="D216" s="467"/>
      <c r="E216" s="616"/>
      <c r="F216" s="616"/>
      <c r="G216" s="616"/>
      <c r="H216" s="616"/>
      <c r="I216" s="616"/>
      <c r="J216" s="616"/>
      <c r="K216" s="1670">
        <f t="shared" ref="K216:K228" si="19">D216</f>
        <v>0</v>
      </c>
      <c r="L216" s="466"/>
    </row>
    <row r="217" spans="1:14" x14ac:dyDescent="0.2">
      <c r="A217" s="1503" t="s">
        <v>164</v>
      </c>
      <c r="B217" s="614">
        <v>1200</v>
      </c>
      <c r="C217" s="616"/>
      <c r="D217" s="466">
        <v>14184</v>
      </c>
      <c r="E217" s="616"/>
      <c r="F217" s="616"/>
      <c r="G217" s="616"/>
      <c r="H217" s="616"/>
      <c r="I217" s="616"/>
      <c r="J217" s="616"/>
      <c r="K217" s="1670">
        <f t="shared" si="19"/>
        <v>14184</v>
      </c>
      <c r="L217" s="466">
        <v>10150</v>
      </c>
    </row>
    <row r="218" spans="1:14" x14ac:dyDescent="0.2">
      <c r="A218" s="1503" t="s">
        <v>278</v>
      </c>
      <c r="B218" s="614" t="s">
        <v>968</v>
      </c>
      <c r="C218" s="616"/>
      <c r="D218" s="467"/>
      <c r="E218" s="616"/>
      <c r="F218" s="616"/>
      <c r="G218" s="616"/>
      <c r="H218" s="616"/>
      <c r="I218" s="616"/>
      <c r="J218" s="616"/>
      <c r="K218" s="1670">
        <f t="shared" si="19"/>
        <v>0</v>
      </c>
      <c r="L218" s="466"/>
    </row>
    <row r="219" spans="1:14" x14ac:dyDescent="0.2">
      <c r="A219" s="1503" t="s">
        <v>279</v>
      </c>
      <c r="B219" s="614">
        <v>1250</v>
      </c>
      <c r="C219" s="616"/>
      <c r="D219" s="466">
        <v>1727</v>
      </c>
      <c r="E219" s="616"/>
      <c r="F219" s="616"/>
      <c r="G219" s="616"/>
      <c r="H219" s="616"/>
      <c r="I219" s="616"/>
      <c r="J219" s="616"/>
      <c r="K219" s="1670">
        <f t="shared" si="19"/>
        <v>1727</v>
      </c>
      <c r="L219" s="466">
        <v>5000</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c r="E222" s="616"/>
      <c r="F222" s="616"/>
      <c r="G222" s="616"/>
      <c r="H222" s="616"/>
      <c r="I222" s="616"/>
      <c r="J222" s="616"/>
      <c r="K222" s="1670">
        <f t="shared" si="19"/>
        <v>0</v>
      </c>
      <c r="L222" s="466"/>
    </row>
    <row r="223" spans="1:14" x14ac:dyDescent="0.2">
      <c r="A223" s="1503" t="s">
        <v>963</v>
      </c>
      <c r="B223" s="614">
        <v>1500</v>
      </c>
      <c r="C223" s="616"/>
      <c r="D223" s="466"/>
      <c r="E223" s="616"/>
      <c r="F223" s="616"/>
      <c r="G223" s="616"/>
      <c r="H223" s="616"/>
      <c r="I223" s="616"/>
      <c r="J223" s="616"/>
      <c r="K223" s="1670">
        <f t="shared" si="19"/>
        <v>0</v>
      </c>
      <c r="L223" s="466"/>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c r="E226" s="616"/>
      <c r="F226" s="616"/>
      <c r="G226" s="616"/>
      <c r="H226" s="616"/>
      <c r="I226" s="616"/>
      <c r="J226" s="616"/>
      <c r="K226" s="1670">
        <f t="shared" si="19"/>
        <v>0</v>
      </c>
      <c r="L226" s="466"/>
    </row>
    <row r="227" spans="1:12" x14ac:dyDescent="0.2">
      <c r="A227" s="1503" t="s">
        <v>1087</v>
      </c>
      <c r="B227" s="614">
        <v>1800</v>
      </c>
      <c r="C227" s="616"/>
      <c r="D227" s="466">
        <v>789</v>
      </c>
      <c r="E227" s="616"/>
      <c r="F227" s="616"/>
      <c r="G227" s="616"/>
      <c r="H227" s="616"/>
      <c r="I227" s="616"/>
      <c r="J227" s="616"/>
      <c r="K227" s="1670">
        <f t="shared" si="19"/>
        <v>789</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40363</v>
      </c>
      <c r="E229" s="616"/>
      <c r="F229" s="616"/>
      <c r="G229" s="616"/>
      <c r="H229" s="616"/>
      <c r="I229" s="616"/>
      <c r="J229" s="616"/>
      <c r="K229" s="1669">
        <f>SUM(K215:K228)</f>
        <v>40363</v>
      </c>
      <c r="L229" s="1669">
        <f>SUM(L215:L228)</f>
        <v>45200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1102</v>
      </c>
      <c r="E232" s="616"/>
      <c r="F232" s="616"/>
      <c r="G232" s="616"/>
      <c r="H232" s="616"/>
      <c r="I232" s="616"/>
      <c r="J232" s="616"/>
      <c r="K232" s="1670">
        <f t="shared" ref="K232:K237" si="20">D232</f>
        <v>1102</v>
      </c>
      <c r="L232" s="466">
        <v>1100</v>
      </c>
    </row>
    <row r="233" spans="1:12" x14ac:dyDescent="0.2">
      <c r="A233" s="1503" t="s">
        <v>1090</v>
      </c>
      <c r="B233" s="614">
        <v>2120</v>
      </c>
      <c r="C233" s="616"/>
      <c r="D233" s="466"/>
      <c r="E233" s="616"/>
      <c r="F233" s="616"/>
      <c r="G233" s="616"/>
      <c r="H233" s="616"/>
      <c r="I233" s="616"/>
      <c r="J233" s="616"/>
      <c r="K233" s="1670">
        <f t="shared" si="20"/>
        <v>0</v>
      </c>
      <c r="L233" s="466"/>
    </row>
    <row r="234" spans="1:12" x14ac:dyDescent="0.2">
      <c r="A234" s="1503" t="s">
        <v>198</v>
      </c>
      <c r="B234" s="614">
        <v>2130</v>
      </c>
      <c r="C234" s="616"/>
      <c r="D234" s="466">
        <v>7207</v>
      </c>
      <c r="E234" s="616"/>
      <c r="F234" s="616"/>
      <c r="G234" s="616"/>
      <c r="H234" s="616"/>
      <c r="I234" s="616"/>
      <c r="J234" s="616"/>
      <c r="K234" s="1670">
        <f t="shared" si="20"/>
        <v>7207</v>
      </c>
      <c r="L234" s="466">
        <v>7000</v>
      </c>
    </row>
    <row r="235" spans="1:12" x14ac:dyDescent="0.2">
      <c r="A235" s="1503" t="s">
        <v>199</v>
      </c>
      <c r="B235" s="614">
        <v>2140</v>
      </c>
      <c r="C235" s="616"/>
      <c r="D235" s="466">
        <v>599</v>
      </c>
      <c r="E235" s="616"/>
      <c r="F235" s="616"/>
      <c r="G235" s="616"/>
      <c r="H235" s="616"/>
      <c r="I235" s="616"/>
      <c r="J235" s="616"/>
      <c r="K235" s="1670">
        <f t="shared" si="20"/>
        <v>599</v>
      </c>
      <c r="L235" s="466">
        <v>700</v>
      </c>
    </row>
    <row r="236" spans="1:12" x14ac:dyDescent="0.2">
      <c r="A236" s="1503" t="s">
        <v>200</v>
      </c>
      <c r="B236" s="614">
        <v>2150</v>
      </c>
      <c r="C236" s="616"/>
      <c r="D236" s="466">
        <v>1554</v>
      </c>
      <c r="E236" s="616"/>
      <c r="F236" s="616"/>
      <c r="G236" s="616"/>
      <c r="H236" s="616"/>
      <c r="I236" s="616"/>
      <c r="J236" s="616"/>
      <c r="K236" s="1670">
        <f t="shared" si="20"/>
        <v>1554</v>
      </c>
      <c r="L236" s="466">
        <v>1500</v>
      </c>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10462</v>
      </c>
      <c r="E238" s="616"/>
      <c r="F238" s="616"/>
      <c r="G238" s="616"/>
      <c r="H238" s="616"/>
      <c r="I238" s="616"/>
      <c r="J238" s="616"/>
      <c r="K238" s="1669">
        <f>SUM(K232:K237)</f>
        <v>10462</v>
      </c>
      <c r="L238" s="1669">
        <f>SUM(L232:L237)</f>
        <v>10300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58</v>
      </c>
      <c r="E240" s="616"/>
      <c r="F240" s="616"/>
      <c r="G240" s="616"/>
      <c r="H240" s="616"/>
      <c r="I240" s="616"/>
      <c r="J240" s="616"/>
      <c r="K240" s="1671">
        <f>D240</f>
        <v>58</v>
      </c>
      <c r="L240" s="481">
        <v>50</v>
      </c>
    </row>
    <row r="241" spans="1:12" x14ac:dyDescent="0.2">
      <c r="A241" s="1503" t="s">
        <v>815</v>
      </c>
      <c r="B241" s="614">
        <v>2220</v>
      </c>
      <c r="C241" s="616"/>
      <c r="D241" s="466">
        <v>3683</v>
      </c>
      <c r="E241" s="616"/>
      <c r="F241" s="616"/>
      <c r="G241" s="616"/>
      <c r="H241" s="616"/>
      <c r="I241" s="616"/>
      <c r="J241" s="616"/>
      <c r="K241" s="1671">
        <f>D241</f>
        <v>3683</v>
      </c>
      <c r="L241" s="466">
        <v>4400</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3741</v>
      </c>
      <c r="E243" s="616"/>
      <c r="F243" s="616"/>
      <c r="G243" s="616"/>
      <c r="H243" s="616"/>
      <c r="I243" s="616"/>
      <c r="J243" s="616"/>
      <c r="K243" s="1669">
        <f>SUM(K240:K242)</f>
        <v>3741</v>
      </c>
      <c r="L243" s="1669">
        <f>SUM(L240:L242)</f>
        <v>4450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952</v>
      </c>
      <c r="E245" s="616"/>
      <c r="F245" s="616"/>
      <c r="G245" s="616"/>
      <c r="H245" s="616"/>
      <c r="I245" s="616"/>
      <c r="J245" s="616"/>
      <c r="K245" s="1671">
        <f>D245</f>
        <v>952</v>
      </c>
      <c r="L245" s="481">
        <v>1150</v>
      </c>
    </row>
    <row r="246" spans="1:12" x14ac:dyDescent="0.2">
      <c r="A246" s="1503" t="s">
        <v>818</v>
      </c>
      <c r="B246" s="614">
        <v>2320</v>
      </c>
      <c r="C246" s="616"/>
      <c r="D246" s="466">
        <v>2408</v>
      </c>
      <c r="E246" s="616"/>
      <c r="F246" s="616"/>
      <c r="G246" s="616"/>
      <c r="H246" s="616"/>
      <c r="I246" s="616"/>
      <c r="J246" s="616"/>
      <c r="K246" s="1671">
        <f t="shared" ref="K246:K256" si="21">D246</f>
        <v>2408</v>
      </c>
      <c r="L246" s="466">
        <v>2500</v>
      </c>
    </row>
    <row r="247" spans="1:12" x14ac:dyDescent="0.2">
      <c r="A247" s="1503" t="s">
        <v>819</v>
      </c>
      <c r="B247" s="614">
        <v>2330</v>
      </c>
      <c r="C247" s="616"/>
      <c r="D247" s="466"/>
      <c r="E247" s="616"/>
      <c r="F247" s="616"/>
      <c r="G247" s="616"/>
      <c r="H247" s="616"/>
      <c r="I247" s="616"/>
      <c r="J247" s="616"/>
      <c r="K247" s="1671">
        <f t="shared" si="21"/>
        <v>0</v>
      </c>
      <c r="L247" s="466"/>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3360</v>
      </c>
      <c r="E257" s="616"/>
      <c r="F257" s="616"/>
      <c r="G257" s="616"/>
      <c r="H257" s="616"/>
      <c r="I257" s="616"/>
      <c r="J257" s="616"/>
      <c r="K257" s="1669">
        <f>SUM(K245:K256)</f>
        <v>3360</v>
      </c>
      <c r="L257" s="1669">
        <f>SUM(L245:L256)</f>
        <v>3650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15378</v>
      </c>
      <c r="E259" s="616"/>
      <c r="F259" s="616"/>
      <c r="G259" s="616"/>
      <c r="H259" s="616"/>
      <c r="I259" s="616"/>
      <c r="J259" s="616"/>
      <c r="K259" s="1671">
        <f>D259</f>
        <v>15378</v>
      </c>
      <c r="L259" s="481">
        <v>15931</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15378</v>
      </c>
      <c r="E261" s="616"/>
      <c r="F261" s="616"/>
      <c r="G261" s="616"/>
      <c r="H261" s="616"/>
      <c r="I261" s="616"/>
      <c r="J261" s="616"/>
      <c r="K261" s="1669">
        <f>SUM(K259:K260)</f>
        <v>15378</v>
      </c>
      <c r="L261" s="1669">
        <f>SUM(L259:L260)</f>
        <v>15931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17461</v>
      </c>
      <c r="E264" s="616"/>
      <c r="F264" s="616"/>
      <c r="G264" s="616"/>
      <c r="H264" s="616"/>
      <c r="I264" s="616"/>
      <c r="J264" s="616"/>
      <c r="K264" s="1671">
        <f t="shared" ref="K264:K269" si="22">D264</f>
        <v>17461</v>
      </c>
      <c r="L264" s="466">
        <v>17600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19265</v>
      </c>
      <c r="E266" s="616"/>
      <c r="F266" s="616"/>
      <c r="G266" s="616"/>
      <c r="H266" s="616"/>
      <c r="I266" s="616"/>
      <c r="J266" s="616"/>
      <c r="K266" s="1671">
        <f t="shared" si="22"/>
        <v>19265</v>
      </c>
      <c r="L266" s="466">
        <v>18500</v>
      </c>
    </row>
    <row r="267" spans="1:14" x14ac:dyDescent="0.2">
      <c r="A267" s="1503" t="s">
        <v>953</v>
      </c>
      <c r="B267" s="614">
        <v>2550</v>
      </c>
      <c r="C267" s="616"/>
      <c r="D267" s="466"/>
      <c r="E267" s="616"/>
      <c r="F267" s="616"/>
      <c r="G267" s="616"/>
      <c r="H267" s="616"/>
      <c r="I267" s="616"/>
      <c r="J267" s="616"/>
      <c r="K267" s="1671">
        <f t="shared" si="22"/>
        <v>0</v>
      </c>
      <c r="L267" s="466"/>
    </row>
    <row r="268" spans="1:14" x14ac:dyDescent="0.2">
      <c r="A268" s="1503" t="s">
        <v>100</v>
      </c>
      <c r="B268" s="614">
        <v>2560</v>
      </c>
      <c r="C268" s="616"/>
      <c r="D268" s="466">
        <v>7130</v>
      </c>
      <c r="E268" s="616"/>
      <c r="F268" s="616"/>
      <c r="G268" s="616"/>
      <c r="H268" s="616"/>
      <c r="I268" s="616"/>
      <c r="J268" s="616"/>
      <c r="K268" s="1671">
        <f t="shared" si="22"/>
        <v>7130</v>
      </c>
      <c r="L268" s="466">
        <v>7800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43856</v>
      </c>
      <c r="E270" s="616"/>
      <c r="F270" s="616"/>
      <c r="G270" s="616"/>
      <c r="H270" s="616"/>
      <c r="I270" s="616"/>
      <c r="J270" s="616"/>
      <c r="K270" s="1669">
        <f>SUM(K263:K269)</f>
        <v>43856</v>
      </c>
      <c r="L270" s="1669">
        <f>SUM(L263:L269)</f>
        <v>43900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76797</v>
      </c>
      <c r="E279" s="616"/>
      <c r="F279" s="616"/>
      <c r="G279" s="616"/>
      <c r="H279" s="616"/>
      <c r="I279" s="616"/>
      <c r="J279" s="616"/>
      <c r="K279" s="1676">
        <f>SUM(K238,K243,K257,K261,K270,K277,K278)</f>
        <v>76797</v>
      </c>
      <c r="L279" s="1676">
        <f>SUM(L238,L243,L257,L261,L270,L277,L278)</f>
        <v>78231</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9">
        <f>SUM(D229,D279,D280,D285)</f>
        <v>117160</v>
      </c>
      <c r="E295" s="616"/>
      <c r="F295" s="616"/>
      <c r="G295" s="616"/>
      <c r="H295" s="1669">
        <f>H293</f>
        <v>0</v>
      </c>
      <c r="I295" s="616"/>
      <c r="J295" s="616"/>
      <c r="K295" s="1669">
        <f>SUM(K229,K279,K280,K285,K293,K294)</f>
        <v>117160</v>
      </c>
      <c r="L295" s="1669">
        <f>SUM(L229,L279,L280,L285,L293,L294)</f>
        <v>123431</v>
      </c>
    </row>
    <row r="296" spans="1:14" ht="13.5" thickTop="1" x14ac:dyDescent="0.2">
      <c r="A296" s="2155" t="s">
        <v>996</v>
      </c>
      <c r="B296" s="2156"/>
      <c r="C296" s="616"/>
      <c r="D296" s="618"/>
      <c r="E296" s="616"/>
      <c r="F296" s="616"/>
      <c r="G296" s="616"/>
      <c r="H296" s="687"/>
      <c r="I296" s="616"/>
      <c r="J296" s="616"/>
      <c r="K296" s="1683">
        <f>'Revenues 9-14'!G268-'Expenditures 15-22'!K295</f>
        <v>-3233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751653</v>
      </c>
      <c r="H301" s="466"/>
      <c r="I301" s="467"/>
      <c r="J301" s="467"/>
      <c r="K301" s="1670">
        <f>SUM(C301:J301)</f>
        <v>751653</v>
      </c>
      <c r="L301" s="467">
        <v>1000000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751653</v>
      </c>
      <c r="H303" s="1676">
        <f t="shared" si="23"/>
        <v>0</v>
      </c>
      <c r="I303" s="1676">
        <f t="shared" si="23"/>
        <v>0</v>
      </c>
      <c r="J303" s="1676">
        <f t="shared" si="23"/>
        <v>0</v>
      </c>
      <c r="K303" s="1676">
        <f t="shared" si="23"/>
        <v>751653</v>
      </c>
      <c r="L303" s="1676">
        <f t="shared" si="23"/>
        <v>1000000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9">
        <f>SUM(C303)</f>
        <v>0</v>
      </c>
      <c r="D312" s="1669">
        <f>SUM(D303)</f>
        <v>0</v>
      </c>
      <c r="E312" s="1669">
        <f>SUM(E303,E310)</f>
        <v>0</v>
      </c>
      <c r="F312" s="1669">
        <f>SUM(F303)</f>
        <v>0</v>
      </c>
      <c r="G312" s="1669">
        <f>SUM(G303)</f>
        <v>751653</v>
      </c>
      <c r="H312" s="1669">
        <f>SUM(H303,H310)</f>
        <v>0</v>
      </c>
      <c r="I312" s="1669">
        <f>SUM(I303)</f>
        <v>0</v>
      </c>
      <c r="J312" s="1669">
        <f>SUM(J303)</f>
        <v>0</v>
      </c>
      <c r="K312" s="1669">
        <f>SUM(K303,K310,K311)</f>
        <v>751653</v>
      </c>
      <c r="L312" s="1669">
        <f>SUM(L303,L310,L311)</f>
        <v>1000000</v>
      </c>
      <c r="M312" s="665"/>
      <c r="N312" s="665"/>
    </row>
    <row r="313" spans="1:14" ht="13.5" thickTop="1" x14ac:dyDescent="0.2">
      <c r="A313" s="2166" t="s">
        <v>996</v>
      </c>
      <c r="B313" s="2167"/>
      <c r="C313" s="626"/>
      <c r="D313" s="626"/>
      <c r="E313" s="626"/>
      <c r="F313" s="626"/>
      <c r="G313" s="626"/>
      <c r="H313" s="626"/>
      <c r="I313" s="626"/>
      <c r="J313" s="626"/>
      <c r="K313" s="1684">
        <f>'Revenues 9-14'!H268-'Expenditures 15-22'!K312</f>
        <v>-379024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c r="F322" s="467"/>
      <c r="G322" s="467"/>
      <c r="H322" s="467"/>
      <c r="I322" s="467"/>
      <c r="J322" s="467"/>
      <c r="K322" s="1670">
        <f t="shared" si="24"/>
        <v>0</v>
      </c>
      <c r="L322" s="467"/>
      <c r="M322" s="665"/>
      <c r="N322" s="665"/>
    </row>
    <row r="323" spans="1:14" s="674" customFormat="1" x14ac:dyDescent="0.2">
      <c r="A323" s="1518"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68" t="s">
        <v>996</v>
      </c>
      <c r="B343" s="2169"/>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5" t="s">
        <v>996</v>
      </c>
      <c r="B368" s="2156"/>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d21dc803-237d-4c68-8692-8d731fd29118"/>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dcmitype/"/>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2019-10-07T19:05:11Z</cp:lastPrinted>
  <dcterms:created xsi:type="dcterms:W3CDTF">2003-10-29T19:06:34Z</dcterms:created>
  <dcterms:modified xsi:type="dcterms:W3CDTF">2019-11-20T19:29:13Z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