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9EB277D-9FE0-4468-9CC5-B5F605FD1865}" xr6:coauthVersionLast="36" xr6:coauthVersionMax="36" xr10:uidLastSave="{00000000-0000-0000-0000-000000000000}"/>
  <bookViews>
    <workbookView xWindow="-15" yWindow="13650" windowWidth="28830" windowHeight="6450" tabRatio="96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G33" i="181"/>
  <c r="F33" i="181"/>
  <c r="F29" i="181"/>
  <c r="G29" i="181" s="1"/>
  <c r="F27" i="181"/>
  <c r="G27" i="181" s="1"/>
  <c r="G25" i="181"/>
  <c r="F25" i="181"/>
  <c r="F19" i="181"/>
  <c r="G19" i="181" s="1"/>
  <c r="F18" i="181"/>
  <c r="G18" i="181" s="1"/>
  <c r="D141" i="181"/>
  <c r="D80" i="36" l="1"/>
  <c r="B7797" i="106"/>
  <c r="E141" i="181"/>
  <c r="E17" i="181"/>
  <c r="F17" i="181" s="1"/>
  <c r="E16" i="181"/>
  <c r="G16" i="181" l="1"/>
  <c r="F16" i="18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K28" i="118" l="1"/>
  <c r="O27" i="118" s="1"/>
  <c r="O29" i="118" s="1"/>
  <c r="L342" i="29"/>
  <c r="J41" i="3"/>
  <c r="D6103" i="106"/>
  <c r="K41" i="3"/>
  <c r="D36" i="108"/>
  <c r="E30" i="108"/>
  <c r="F36" i="108"/>
  <c r="B7074" i="106"/>
  <c r="D7074" i="106" s="1"/>
  <c r="G30" i="108"/>
  <c r="G26" i="108"/>
  <c r="E26" i="108"/>
  <c r="B1124" i="106"/>
  <c r="D1124" i="106" s="1"/>
  <c r="L13" i="11"/>
  <c r="B2060" i="106" s="1"/>
  <c r="D2060" i="106" s="1"/>
  <c r="L15" i="11"/>
  <c r="B3459" i="106" s="1"/>
  <c r="D3459" i="106" s="1"/>
  <c r="D69" i="36"/>
  <c r="F19" i="7"/>
  <c r="B1807" i="106" s="1"/>
  <c r="D1807" i="106" s="1"/>
  <c r="E34" i="108"/>
  <c r="B1274" i="106"/>
  <c r="D1274" i="106" s="1"/>
  <c r="F70" i="34"/>
  <c r="G33" i="108"/>
  <c r="B6995" i="106"/>
  <c r="D6995" i="106" s="1"/>
  <c r="C14" i="4"/>
  <c r="B2558" i="106" s="1"/>
  <c r="D2558" i="106" s="1"/>
  <c r="D27" i="108"/>
  <c r="I210" i="29"/>
  <c r="B7071" i="106" s="1"/>
  <c r="D7071" i="106" s="1"/>
  <c r="E38" i="108"/>
  <c r="B4211" i="106"/>
  <c r="D4211" i="106" s="1"/>
  <c r="B2724" i="106"/>
  <c r="D2724" i="106" s="1"/>
  <c r="F69" i="34"/>
  <c r="G38" i="108"/>
  <c r="D14" i="4"/>
  <c r="B2570" i="106" s="1"/>
  <c r="D2570" i="106" s="1"/>
  <c r="F56" i="34"/>
  <c r="F44" i="34"/>
  <c r="D31" i="108"/>
  <c r="F37" i="108"/>
  <c r="E28" i="108"/>
  <c r="D37" i="108"/>
  <c r="F2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3" i="106" l="1"/>
  <c r="D7252" i="106"/>
  <c r="B3568" i="106"/>
  <c r="D3568" i="106" s="1"/>
  <c r="D52" i="36"/>
  <c r="F66" i="34"/>
  <c r="B1328" i="106"/>
  <c r="D1328" i="106" s="1"/>
  <c r="L114" i="29"/>
  <c r="L16" i="11"/>
  <c r="B2061" i="106" s="1"/>
  <c r="D2061" i="106" s="1"/>
  <c r="D44" i="36"/>
  <c r="B1317" i="106"/>
  <c r="D1317" i="106" s="1"/>
  <c r="F41" i="108"/>
  <c r="G43" i="108" s="1"/>
  <c r="D41" i="108"/>
  <c r="E43" i="108" s="1"/>
  <c r="I7" i="4"/>
  <c r="B4444" i="106" s="1"/>
  <c r="D4444" i="106"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368" i="29" s="1"/>
  <c r="B3681" i="106" s="1"/>
  <c r="D3681"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<sst xmlns="http://schemas.openxmlformats.org/spreadsheetml/2006/main" count="5079" uniqueCount="2092">
  <si>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</si>
  <si>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</si>
  <si>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</si>
  <si>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</si>
  <si>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</si>
  <si>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</si>
  <si>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</si>
  <si>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</si>
  <si>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</si>
  <si>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</si>
  <si>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</si>
  <si>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</si>
  <si>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</si>
  <si>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</si>
  <si>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</si>
  <si>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</si>
  <si>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</si>
  <si>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</si>
  <si>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</si>
  <si>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</si>
  <si>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</si>
  <si>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</si>
  <si>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</si>
  <si>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</si>
  <si>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</si>
  <si>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</si>
  <si>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</si>
  <si>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</si>
  <si>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</si>
  <si>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</si>
  <si>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</si>
  <si>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</si>
  <si>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</si>
  <si>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</si>
  <si>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</si>
  <si>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</si>
  <si>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</si>
  <si>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</si>
  <si>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</si>
  <si>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</si>
  <si>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</si>
  <si>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</si>
  <si>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</si>
  <si>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</si>
  <si>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</si>
  <si>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</si>
  <si>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</si>
  <si>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</si>
  <si>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</si>
  <si>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</si>
  <si>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</si>
  <si>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</si>
  <si>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</si>
  <si>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</si>
  <si>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</si>
  <si>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</si>
  <si>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</si>
  <si>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</si>
  <si>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</si>
  <si>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</si>
  <si>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</si>
  <si>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</si>
  <si>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</si>
  <si>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</si>
  <si>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</si>
  <si>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</si>
  <si>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</si>
  <si>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</si>
  <si>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</si>
  <si>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</si>
  <si>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</si>
  <si>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</si>
  <si>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</si>
  <si>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</si>
  <si>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</si>
  <si>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</si>
  <si>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</si>
  <si>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</si>
  <si>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</si>
  <si>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</si>
  <si>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</si>
  <si>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</si>
  <si>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</si>
  <si>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</si>
  <si>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</si>
  <si>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</si>
  <si>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</si>
  <si>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</si>
  <si>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</si>
  <si>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</si>
  <si>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</si>
  <si>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</si>
  <si>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</si>
  <si>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</si>
  <si>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</si>
  <si>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</si>
  <si>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</si>
  <si>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</si>
  <si>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</si>
  <si>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</si>
  <si>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</si>
  <si>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</si>
  <si>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</si>
  <si>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</si>
  <si>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</si>
  <si>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</si>
  <si>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</si>
  <si>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</si>
  <si>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</si>
  <si>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</si>
  <si>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</si>
  <si>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</si>
  <si>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</si>
  <si>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</si>
  <si>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</si>
  <si>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</si>
  <si>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</si>
  <si>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</si>
  <si>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</si>
  <si>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</si>
  <si>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</si>
  <si>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</si>
  <si>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</si>
  <si>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</si>
  <si>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</si>
  <si>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</si>
  <si>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</si>
  <si>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</si>
  <si>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</si>
  <si>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</si>
  <si>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</si>
  <si>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</si>
  <si>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</si>
  <si>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</si>
  <si>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</si>
  <si>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</si>
  <si>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</si>
  <si>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</si>
  <si>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</si>
  <si>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</si>
  <si>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</si>
  <si>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</si>
  <si>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</si>
  <si>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</si>
  <si>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</si>
  <si>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</si>
  <si>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</si>
  <si>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</si>
  <si>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</si>
  <si>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</si>
  <si>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</si>
  <si>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</si>
  <si>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</si>
  <si>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</si>
  <si>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</si>
  <si>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</si>
  <si>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</si>
  <si>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</si>
  <si>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</si>
  <si>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</si>
  <si>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</si>
  <si>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</si>
  <si>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</si>
  <si>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</si>
  <si>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</si>
  <si>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</si>
  <si>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</si>
  <si>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</si>
  <si>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</si>
  <si>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</si>
  <si>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</si>
  <si>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</si>
  <si>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</si>
  <si>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</si>
  <si>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</si>
  <si>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</si>
  <si>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</si>
  <si>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</si>
  <si>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</si>
  <si>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</si>
  <si>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</si>
  <si>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</si>
  <si>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</si>
  <si>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</si>
  <si>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</si>
  <si>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</si>
  <si>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</si>
  <si>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</si>
  <si>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</si>
  <si>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</si>
  <si>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</si>
  <si>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</si>
  <si>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</si>
  <si>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</si>
  <si>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</si>
  <si>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</si>
  <si>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</si>
  <si>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</si>
  <si>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</si>
  <si>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</si>
  <si>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</si>
  <si>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</si>
  <si>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</si>
  <si>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</si>
  <si>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</si>
  <si>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</si>
  <si>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</si>
  <si>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</si>
  <si>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</si>
  <si>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</si>
  <si>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</si>
  <si>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</si>
  <si>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</si>
  <si>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</si>
  <si>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</si>
  <si>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</si>
  <si>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</si>
  <si>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</si>
  <si>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</si>
  <si>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</si>
  <si>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</si>
  <si>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</si>
  <si>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</si>
  <si>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</si>
  <si>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</si>
  <si>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</si>
  <si>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</si>
  <si>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</si>
  <si>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</si>
  <si>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</si>
  <si>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</si>
  <si>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</si>
  <si>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</si>
  <si>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</si>
  <si>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</si>
  <si>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</si>
  <si>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</si>
  <si>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</si>
  <si>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</si>
  <si>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</si>
  <si>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</si>
  <si>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</si>
  <si>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</si>
  <si>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</si>
  <si>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</si>
  <si>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</si>
  <si>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</si>
  <si>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</si>
  <si>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</si>
  <si>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</si>
  <si>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</si>
  <si>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</si>
  <si>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</si>
  <si>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</si>
  <si>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</si>
  <si>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</si>
  <si>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</si>
  <si>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</si>
  <si>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</si>
  <si>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</si>
  <si>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</si>
  <si>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</si>
  <si>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</si>
  <si>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</si>
  <si>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</si>
  <si>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</si>
  <si>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</si>
  <si>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</si>
  <si>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</si>
  <si>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</si>
  <si>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</si>
  <si>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</si>
  <si>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</si>
  <si>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</si>
  <si>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</si>
  <si>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</si>
  <si>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</si>
  <si>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</si>
  <si>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</si>
  <si>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</si>
  <si>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</si>
  <si>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</si>
  <si>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</si>
  <si>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</si>
  <si>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</si>
  <si>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</si>
  <si>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</si>
  <si>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</si>
  <si>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</si>
  <si>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</si>
  <si>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</si>
  <si>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</si>
  <si>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</si>
  <si>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</si>
  <si>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</si>
  <si>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</si>
  <si>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</si>
  <si>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</si>
  <si>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</si>
  <si>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</si>
  <si>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</si>
  <si>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</si>
  <si>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</si>
  <si>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</si>
  <si>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</si>
  <si>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</si>
  <si>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</si>
  <si>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</si>
  <si>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</si>
  <si>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</si>
  <si>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</si>
  <si>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</si>
  <si>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</si>
  <si>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</si>
  <si>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</si>
  <si>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</si>
  <si>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</si>
  <si>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</si>
  <si>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</si>
  <si>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</si>
  <si>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</si>
  <si>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</si>
  <si>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</si>
  <si>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</si>
  <si>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</si>
  <si>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</si>
  <si>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</si>
  <si>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</si>
  <si>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</si>
  <si>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</si>
  <si>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</si>
  <si>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</si>
  <si>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</si>
  <si>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</si>
  <si>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</si>
  <si>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</si>
  <si>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</si>
  <si>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</si>
  <si>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</si>
  <si>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</si>
  <si>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</si>
  <si>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</si>
  <si>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</si>
  <si>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</si>
  <si>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</si>
  <si>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</si>
  <si>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</si>
  <si>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</si>
  <si>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</si>
  <si>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</si>
  <si>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</si>
  <si>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</si>
  <si>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</si>
  <si>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</si>
  <si>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</si>
  <si>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</si>
  <si>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</si>
  <si>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</si>
  <si>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</si>
  <si>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</si>
  <si>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</si>
  <si>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</si>
  <si>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</si>
  <si>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</si>
  <si>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</si>
  <si>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</si>
  <si>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</si>
  <si>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</si>
  <si>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</si>
  <si>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</si>
  <si>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</si>
  <si>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</si>
  <si>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</si>
  <si>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</si>
  <si>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</si>
  <si>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</si>
  <si>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</si>
  <si>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</si>
  <si>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</si>
  <si>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</si>
  <si>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</si>
  <si>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</si>
  <si>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</si>
  <si>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</si>
  <si>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</si>
  <si>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</si>
  <si>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</si>
  <si>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</si>
  <si>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</si>
  <si>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</si>
  <si>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</si>
  <si>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</si>
  <si>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</si>
  <si>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</si>
  <si>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</si>
  <si>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</si>
  <si>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</si>
  <si>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</si>
  <si>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</si>
  <si>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</si>
  <si>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</si>
  <si>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</si>
  <si>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</si>
  <si>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</si>
  <si>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</si>
  <si>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</si>
  <si>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</si>
  <si>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</si>
  <si>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</si>
  <si>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</si>
  <si>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</si>
  <si>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</si>
  <si>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</si>
  <si>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</si>
  <si>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</si>
  <si>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</si>
  <si>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</si>
  <si>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</si>
  <si>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</si>
  <si>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</si>
  <si>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</si>
  <si>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</si>
  <si>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</si>
  <si>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</si>
  <si>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</si>
  <si>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</si>
  <si>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</si>
  <si>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</si>
  <si>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</si>
  <si>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</si>
  <si>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</si>
  <si>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</si>
  <si>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</si>
  <si>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</si>
  <si>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</si>
  <si>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</si>
  <si>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</si>
  <si>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</si>
  <si>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</si>
  <si>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</si>
  <si>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</si>
  <si>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</si>
  <si>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</si>
  <si>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</si>
  <si>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</si>
  <si>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</si>
  <si>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</si>
  <si>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</si>
  <si>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</si>
  <si>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</si>
  <si>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</si>
  <si>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</si>
  <si>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</si>
  <si>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</si>
  <si>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</si>
  <si>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</si>
  <si>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</si>
  <si>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</si>
  <si>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</si>
  <si>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</si>
  <si>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</si>
  <si>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</si>
  <si>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</si>
  <si>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</si>
  <si>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</si>
  <si>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</si>
  <si>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</si>
  <si>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</si>
  <si>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</si>
  <si>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</si>
  <si>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</si>
  <si>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</si>
  <si>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</si>
  <si>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</si>
  <si>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</si>
  <si>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</si>
  <si>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</si>
  <si>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</si>
  <si>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</si>
  <si>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</si>
  <si>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</si>
  <si>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</si>
  <si>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</si>
  <si>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</si>
  <si>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</si>
  <si>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</si>
  <si>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</si>
  <si>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</si>
  <si>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</si>
  <si>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</si>
  <si>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</si>
  <si>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</si>
  <si>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</si>
  <si>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</si>
  <si>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</si>
  <si>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</si>
  <si>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</si>
  <si>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</si>
  <si>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</si>
  <si>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</si>
  <si>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</si>
  <si>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</si>
  <si>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</si>
  <si>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</si>
  <si>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</si>
  <si>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</si>
  <si>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</si>
  <si>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</si>
  <si>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</si>
  <si>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</si>
  <si>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</si>
  <si>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</si>
  <si>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</si>
  <si>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</si>
  <si>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</si>
  <si>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</si>
  <si>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</si>
  <si>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</si>
  <si>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</si>
  <si>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</si>
  <si>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</si>
  <si>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</si>
  <si>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</si>
  <si>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</si>
  <si>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</si>
  <si>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</si>
  <si>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</si>
  <si>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</si>
  <si>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</si>
  <si>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</si>
  <si>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</si>
  <si>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</si>
  <si>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</si>
  <si>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</si>
  <si>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</si>
  <si>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</si>
  <si>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</si>
  <si>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</si>
  <si>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</si>
  <si>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</si>
  <si>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</si>
  <si>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</si>
  <si>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</si>
  <si>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</si>
  <si>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</si>
  <si>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</si>
  <si>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</si>
  <si>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</si>
  <si>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</si>
  <si>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</si>
  <si>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</si>
  <si>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</si>
  <si>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</si>
  <si>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</si>
  <si>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</si>
  <si>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</si>
  <si>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</si>
  <si>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</si>
  <si>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</si>
  <si>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</si>
  <si>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</si>
  <si>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</si>
  <si>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</si>
  <si>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</si>
  <si>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</si>
  <si>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</si>
  <si>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</si>
  <si>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</si>
  <si>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</si>
  <si>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</si>
  <si>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</si>
  <si>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</si>
  <si>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</si>
  <si>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</si>
  <si>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</si>
  <si>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</si>
  <si>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</si>
  <si>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</si>
  <si>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</si>
  <si>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</si>
  <si>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</si>
  <si>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</si>
  <si>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</si>
  <si>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</si>
  <si>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</si>
  <si>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</si>
  <si>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</si>
  <si>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</si>
  <si>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</si>
  <si>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</si>
  <si>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</si>
  <si>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</si>
  <si>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</si>
  <si>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</si>
  <si>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</si>
  <si>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</si>
  <si>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</si>
  <si>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</si>
  <si>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</si>
  <si>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</si>
  <si>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</si>
  <si>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</si>
  <si>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</si>
  <si>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</si>
  <si>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</si>
  <si>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</si>
  <si>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</si>
  <si>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</si>
  <si>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</si>
  <si>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</si>
  <si>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</si>
  <si>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</si>
  <si>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</si>
  <si>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</si>
  <si>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</si>
  <si>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</si>
  <si>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</si>
  <si>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</si>
  <si>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</si>
  <si>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</si>
  <si>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</si>
  <si>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</si>
  <si>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</si>
  <si>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</si>
  <si>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</si>
  <si>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</si>
  <si>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</si>
  <si>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</si>
  <si>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</si>
  <si>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</si>
  <si>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</si>
  <si>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</si>
  <si>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</si>
  <si>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</si>
  <si>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</si>
  <si>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</si>
  <si>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</si>
  <si>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</si>
  <si>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</si>
  <si>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</si>
  <si>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</si>
  <si>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</si>
  <si>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</si>
  <si>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</si>
  <si>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</si>
  <si>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</si>
  <si>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</si>
  <si>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</si>
  <si>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</si>
  <si>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</si>
  <si>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</si>
  <si>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</si>
  <si>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</si>
  <si>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</si>
  <si>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</si>
  <si>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</si>
  <si>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</si>
  <si>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</si>
  <si>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</si>
  <si>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</si>
  <si>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</si>
  <si>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</si>
  <si>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</si>
  <si>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</si>
  <si>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</si>
  <si>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</si>
  <si>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</si>
  <si>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</si>
  <si>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</si>
  <si>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</si>
  <si>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</si>
  <si>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</si>
  <si>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</si>
  <si>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</si>
  <si>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</si>
  <si>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</si>
  <si>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</si>
  <si>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</si>
  <si>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</si>
  <si>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</si>
  <si>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</si>
  <si>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</si>
  <si>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</si>
  <si>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</si>
  <si>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</si>
  <si>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</si>
  <si>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</si>
  <si>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</si>
  <si>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</si>
  <si>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</si>
  <si>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</si>
  <si>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</si>
  <si>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</si>
  <si>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</si>
  <si>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</si>
  <si>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</si>
  <si>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</si>
  <si>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</si>
  <si>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</si>
  <si>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</si>
  <si>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</si>
  <si>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</si>
  <si>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</si>
  <si>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</si>
  <si>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</si>
  <si>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</si>
  <si>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</si>
  <si>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</si>
  <si>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</si>
  <si>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</si>
  <si>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</si>
  <si>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</si>
  <si>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</si>
  <si>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</si>
  <si>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</si>
  <si>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</si>
  <si>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</si>
  <si>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</si>
  <si>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</si>
  <si>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</si>
  <si>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</si>
  <si>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</si>
  <si>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</si>
  <si>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</si>
  <si>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</si>
  <si>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</si>
  <si>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</si>
  <si>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</si>
  <si>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</si>
  <si>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</si>
  <si>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</si>
  <si>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</si>
  <si>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</si>
  <si>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</si>
  <si>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</si>
  <si>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</si>
  <si>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</si>
  <si>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</si>
  <si>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</si>
  <si>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</si>
  <si>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</si>
  <si>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</si>
  <si>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</si>
  <si>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</si>
  <si>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</si>
  <si>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</si>
  <si>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</si>
  <si>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</si>
  <si>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</si>
  <si>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</si>
  <si>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</si>
  <si>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</si>
  <si>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</si>
  <si>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</si>
  <si>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</si>
  <si>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</si>
  <si>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</si>
  <si>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</si>
  <si>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</si>
  <si>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</si>
  <si>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</si>
  <si>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</si>
  <si>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</si>
  <si>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</si>
  <si>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</si>
  <si>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</si>
  <si>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</si>
  <si>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</si>
  <si>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</si>
  <si>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</si>
  <si>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</si>
  <si>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</si>
  <si>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</si>
  <si>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</si>
  <si>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</si>
  <si>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</si>
  <si>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</si>
  <si>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</si>
  <si>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</si>
  <si>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</si>
  <si>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</si>
  <si>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</si>
  <si>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</si>
  <si>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</si>
  <si>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</si>
  <si>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</si>
  <si>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</si>
  <si>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</si>
  <si>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</si>
  <si>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</si>
  <si>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</si>
  <si>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</si>
  <si>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</si>
  <si>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</si>
  <si>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</si>
  <si>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</si>
  <si>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</si>
  <si>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</si>
  <si>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</si>
  <si>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</si>
  <si>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</si>
  <si>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</si>
  <si>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</si>
  <si>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</si>
  <si>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</si>
  <si>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</si>
  <si>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</si>
  <si>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</si>
  <si>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</si>
  <si>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</si>
  <si>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</si>
  <si>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</si>
  <si>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</si>
  <si>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</si>
  <si>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</si>
  <si>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</si>
  <si>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</si>
  <si>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</si>
  <si>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</si>
  <si>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</si>
  <si>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</si>
  <si>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</si>
  <si>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</si>
  <si>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</si>
  <si>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</si>
  <si>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</si>
  <si>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</si>
  <si>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</si>
  <si>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</si>
  <si>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</si>
  <si>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</si>
  <si>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</si>
  <si>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</si>
  <si>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</si>
  <si>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</si>
  <si>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</si>
  <si>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</si>
  <si>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</si>
  <si>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</si>
  <si>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</si>
  <si>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</si>
  <si>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</si>
  <si>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</si>
  <si>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</si>
  <si>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</si>
  <si>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</si>
  <si>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</si>
  <si>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</si>
  <si>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</si>
  <si>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</si>
  <si>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</si>
  <si>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</si>
  <si>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</si>
  <si>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</si>
  <si>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</si>
  <si>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</si>
  <si>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</si>
  <si>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</si>
  <si>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</si>
  <si>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</si>
  <si>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</si>
  <si>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</si>
  <si>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</si>
  <si>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</si>
  <si>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</si>
  <si>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</si>
  <si>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</si>
  <si>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</si>
  <si>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</si>
  <si>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</si>
  <si>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</si>
  <si>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</si>
  <si>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</si>
  <si>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</si>
  <si>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</si>
  <si>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</si>
  <si>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</si>
  <si>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</si>
  <si>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</si>
  <si>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</si>
  <si>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</si>
  <si>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</si>
  <si>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</si>
  <si>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</si>
  <si>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</si>
  <si>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</si>
  <si>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</si>
  <si>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</si>
  <si>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</si>
  <si>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</si>
  <si>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</si>
  <si>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</si>
  <si>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</si>
  <si>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</si>
  <si>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</si>
  <si>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</si>
  <si>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</si>
  <si>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</si>
  <si>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</si>
  <si>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</si>
  <si>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</si>
  <si>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</si>
  <si>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</si>
  <si>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</si>
  <si>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</si>
  <si>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</si>
  <si>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</si>
  <si>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</si>
  <si>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</si>
  <si>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</si>
  <si>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</si>
  <si>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</si>
  <si>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</si>
  <si>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</si>
  <si>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</si>
  <si>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</si>
  <si>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</si>
  <si>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</si>
  <si>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</si>
  <si>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</si>
  <si>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</si>
  <si>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</si>
  <si>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</si>
  <si>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</si>
  <si>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</si>
  <si>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</si>
  <si>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</si>
  <si>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</si>
  <si>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</si>
  <si>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</si>
  <si>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</si>
  <si>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</si>
  <si>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</si>
  <si>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</si>
  <si>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</si>
  <si>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</si>
  <si>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</si>
  <si>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</si>
  <si>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</si>
  <si>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</si>
  <si>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</si>
  <si>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</si>
  <si>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</si>
  <si>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</si>
  <si>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</si>
  <si>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</si>
  <si>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</si>
  <si>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</si>
  <si>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</si>
  <si>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</si>
  <si>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</si>
  <si>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</si>
  <si>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</si>
  <si>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</si>
  <si>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</si>
  <si>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</si>
  <si>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</si>
  <si>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</si>
  <si>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</si>
  <si>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</si>
  <si>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</si>
  <si>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</si>
  <si>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</si>
  <si>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</si>
  <si>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</si>
  <si>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</si>
  <si>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</si>
  <si>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</si>
  <si>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</si>
  <si>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</si>
  <si>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</si>
  <si>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</si>
  <si>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</si>
  <si>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</si>
  <si>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</si>
  <si>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</si>
  <si>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</si>
  <si>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</si>
  <si>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</si>
  <si>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</si>
  <si>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</si>
  <si>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</si>
  <si>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</si>
  <si>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</si>
  <si>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</si>
  <si>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</si>
  <si>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</si>
  <si>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</si>
  <si>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</si>
  <si>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</si>
  <si>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</si>
  <si>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</si>
  <si>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</si>
  <si>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</si>
  <si>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</si>
  <si>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</si>
  <si>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</si>
  <si>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</si>
  <si>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</si>
  <si>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</si>
  <si>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</si>
  <si>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</si>
  <si>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</si>
  <si>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</si>
  <si>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</si>
  <si>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</si>
  <si>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</si>
  <si>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</si>
  <si>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</si>
  <si>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</si>
  <si>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</si>
  <si>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</si>
  <si>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</si>
  <si>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</si>
  <si>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</si>
  <si>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</si>
  <si>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</si>
  <si>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</si>
  <si>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</si>
  <si>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</si>
  <si>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</si>
  <si>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</si>
  <si>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</si>
  <si>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</si>
  <si>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</si>
  <si>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</si>
  <si>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</si>
  <si>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</si>
  <si>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</si>
  <si>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</si>
  <si>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</si>
  <si>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</si>
  <si>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</si>
  <si>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</si>
  <si>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</si>
  <si>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</si>
  <si>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</si>
  <si>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</si>
  <si>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</si>
  <si>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</si>
  <si>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</si>
  <si>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</si>
  <si>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</si>
  <si>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</si>
  <si>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</si>
  <si>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</si>
  <si>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</si>
  <si>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</si>
  <si>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</si>
  <si>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</si>
  <si>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</si>
  <si>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</si>
  <si>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</si>
  <si>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</si>
  <si>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</si>
  <si>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</si>
  <si>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</si>
  <si>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</si>
  <si>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</si>
  <si>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</si>
  <si>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</si>
  <si>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</si>
  <si>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</si>
  <si>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</si>
  <si>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</si>
  <si>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</si>
  <si>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</si>
  <si>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</si>
  <si>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</si>
  <si>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</si>
  <si>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</si>
  <si>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</si>
  <si>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</si>
  <si>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</si>
  <si>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</si>
  <si>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</si>
  <si>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</si>
  <si>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</si>
  <si>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</si>
  <si>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</si>
  <si>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</si>
  <si>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</si>
  <si>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</si>
  <si>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</si>
  <si>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</si>
  <si>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</si>
  <si>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</si>
  <si>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</si>
  <si>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</si>
  <si>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</si>
  <si>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</si>
  <si>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</si>
  <si>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</si>
  <si>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</si>
  <si>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</si>
  <si>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</si>
  <si>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</si>
  <si>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</si>
  <si>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</si>
  <si>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</si>
  <si>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</si>
  <si>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</si>
  <si>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</si>
  <si>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</si>
  <si>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</si>
  <si>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</si>
  <si>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</si>
  <si>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</si>
  <si>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</si>
  <si>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</si>
  <si>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</si>
  <si>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</si>
  <si>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</si>
  <si>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</si>
  <si>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</si>
  <si>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</si>
  <si>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</si>
  <si>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</si>
  <si>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</si>
  <si>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</si>
  <si>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</si>
  <si>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</si>
  <si>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</si>
  <si>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</si>
  <si>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</si>
  <si>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</si>
  <si>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</si>
  <si>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</si>
  <si>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</si>
  <si>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</si>
  <si>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</si>
  <si>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</si>
  <si>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</si>
  <si>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</si>
  <si>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</si>
  <si>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</si>
  <si>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</si>
  <si>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</si>
  <si>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</si>
  <si>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</si>
  <si>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</si>
  <si>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</si>
  <si>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</si>
  <si>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</si>
  <si>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</si>
  <si>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</si>
  <si>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</si>
  <si>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</si>
  <si>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</si>
  <si>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</si>
  <si>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</si>
  <si>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</si>
  <si>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</si>
  <si>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</si>
  <si>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</si>
  <si>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</si>
  <si>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</si>
  <si>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</si>
  <si>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</si>
  <si>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</si>
  <si>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</si>
  <si>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</si>
  <si>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</si>
  <si>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</si>
  <si>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</si>
  <si>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</si>
  <si>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</si>
  <si>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</si>
  <si>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</si>
  <si>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</si>
  <si>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</si>
  <si>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</si>
  <si>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</si>
  <si>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</si>
  <si>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</si>
  <si>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</si>
  <si>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</si>
  <si>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</si>
  <si>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</si>
  <si>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</si>
  <si>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</si>
  <si>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</si>
  <si>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</si>
  <si>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</si>
  <si>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</si>
  <si>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</si>
  <si>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</si>
  <si>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</si>
  <si>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</si>
  <si>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</si>
  <si>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</si>
  <si>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</si>
  <si>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</si>
  <si>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</si>
  <si>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</si>
  <si>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</si>
  <si>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</si>
  <si>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</si>
  <si>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</si>
  <si>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</si>
  <si>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</si>
  <si>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</si>
  <si>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</si>
  <si>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</si>
  <si>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</si>
  <si>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</si>
  <si>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</si>
  <si>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</si>
  <si>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</si>
  <si>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</si>
  <si>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</si>
  <si>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</si>
  <si>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</si>
  <si>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</si>
  <si>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</si>
  <si>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</si>
  <si>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</si>
  <si>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</si>
  <si>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</si>
  <si>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</si>
  <si>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</si>
  <si>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</si>
  <si>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</si>
  <si>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</si>
  <si>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</si>
  <si>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</si>
  <si>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</si>
  <si>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</si>
  <si>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</si>
  <si>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</si>
  <si>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</si>
  <si>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</si>
  <si>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</si>
  <si>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</si>
  <si>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</si>
  <si>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</si>
  <si>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</si>
  <si>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</si>
  <si>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</si>
  <si>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</si>
  <si>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</si>
  <si>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</si>
  <si>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</si>
  <si>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</si>
  <si>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</si>
  <si>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</si>
  <si>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</si>
  <si>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</si>
  <si>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</si>
  <si>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</si>
  <si>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</si>
  <si>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</si>
  <si>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</si>
  <si>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</si>
  <si>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</si>
  <si>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</si>
  <si>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</si>
  <si>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</si>
  <si>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</si>
  <si>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</si>
  <si>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</si>
  <si>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</si>
  <si>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</si>
  <si>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</si>
  <si>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</si>
  <si>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</si>
  <si>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</si>
  <si>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</si>
  <si>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</si>
  <si>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</si>
  <si>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</si>
  <si>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</si>
  <si>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</si>
  <si>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</si>
  <si>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</si>
  <si>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</si>
  <si>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</si>
  <si>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</si>
  <si>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</si>
  <si>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</si>
  <si>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</si>
  <si>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</si>
  <si>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</si>
  <si>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</si>
  <si>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</si>
  <si>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</si>
  <si>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</si>
  <si>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</si>
  <si>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</si>
  <si>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</si>
  <si>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</si>
  <si>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</si>
  <si>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</si>
  <si>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</si>
  <si>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</si>
  <si>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</si>
  <si>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</si>
  <si>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</si>
  <si>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</si>
  <si>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</si>
  <si>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</si>
  <si>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</si>
  <si>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</si>
  <si>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</si>
  <si>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</si>
  <si>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</si>
  <si>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</si>
  <si>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</si>
  <si>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</si>
  <si>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</si>
  <si>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</si>
  <si>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</si>
  <si>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</si>
  <si>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</si>
  <si>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</si>
  <si>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</si>
  <si>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</si>
  <si>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</si>
  <si>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</si>
  <si>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</si>
  <si>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</si>
  <si>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</si>
  <si>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</si>
  <si>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</si>
  <si>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</si>
  <si>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</si>
  <si>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</si>
  <si>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</si>
  <si>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</si>
  <si>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</si>
  <si>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</si>
  <si>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</si>
  <si>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</si>
  <si>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</si>
  <si>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</si>
  <si>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</si>
  <si>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</si>
  <si>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</si>
  <si>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</si>
  <si>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</si>
  <si>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</si>
  <si>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</si>
  <si>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</si>
  <si>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</si>
  <si>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</si>
  <si>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</si>
  <si>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</si>
  <si>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</si>
  <si>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</si>
  <si>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</si>
  <si>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</si>
  <si>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</si>
  <si>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</si>
  <si>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</si>
  <si>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</si>
  <si>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</si>
  <si>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</si>
  <si>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</si>
  <si>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</si>
  <si>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</si>
  <si>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</si>
  <si>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</si>
  <si>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</si>
  <si>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</si>
  <si>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</si>
  <si>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</si>
  <si>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</si>
  <si>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</si>
  <si>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</si>
  <si>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</si>
  <si>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</si>
  <si>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</si>
  <si>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</si>
  <si>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</si>
  <si>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</si>
  <si>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</si>
  <si>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</si>
  <si>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</si>
  <si>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</si>
  <si>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</si>
  <si>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</si>
  <si>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</si>
  <si>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</si>
  <si>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</si>
  <si>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</si>
  <si>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</si>
  <si>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</si>
  <si>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</si>
  <si>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</si>
  <si>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</si>
  <si>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</si>
  <si>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</si>
  <si>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</si>
  <si>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</si>
  <si>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</si>
  <si>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</si>
  <si>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</si>
  <si>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</si>
  <si>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</si>
  <si>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</si>
  <si>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</si>
  <si>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</si>
  <si>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</si>
  <si>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</si>
  <si>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</si>
  <si>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</si>
  <si>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</si>
  <si>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</si>
  <si>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</si>
  <si>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</si>
  <si>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</si>
  <si>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</si>
  <si>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</si>
  <si>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</si>
  <si>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</si>
  <si>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</si>
  <si>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</si>
  <si>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</si>
  <si>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</si>
  <si>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</si>
  <si>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</si>
  <si>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</si>
  <si>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</si>
  <si>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</si>
  <si>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</si>
  <si>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</si>
  <si>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</si>
  <si>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</si>
  <si>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</si>
  <si>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</si>
  <si>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</si>
  <si>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</si>
  <si>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</si>
  <si>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</si>
  <si>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</si>
  <si>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</si>
  <si>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</si>
  <si>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</si>
  <si>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</si>
  <si>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</si>
  <si>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</si>
  <si>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</si>
  <si>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</si>
  <si>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</si>
  <si>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</si>
  <si>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</si>
  <si>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</si>
  <si>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</si>
  <si>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</si>
  <si>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</si>
  <si>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</si>
  <si>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</si>
  <si>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</si>
  <si>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</si>
  <si>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</si>
  <si>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</si>
  <si>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</si>
  <si>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</si>
  <si>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</si>
  <si>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</si>
  <si>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</si>
  <si>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</si>
  <si>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</si>
  <si>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</si>
  <si>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</si>
  <si>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</si>
  <si>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</si>
  <si>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</si>
  <si>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</si>
  <si>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</si>
  <si>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</si>
  <si>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</si>
  <si>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</si>
  <si>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</si>
  <si>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</si>
  <si>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</si>
  <si>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</si>
  <si>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</si>
  <si>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</si>
  <si>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</si>
  <si>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</si>
  <si>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</si>
  <si>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</si>
  <si>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</si>
  <si>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</si>
  <si>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</si>
  <si>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</si>
  <si>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</si>
  <si>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</si>
  <si>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</si>
  <si>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</si>
  <si>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</si>
  <si>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</si>
  <si>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</si>
  <si>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</si>
  <si>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</si>
  <si>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</si>
  <si>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</si>
  <si>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</si>
  <si>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</si>
  <si>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</si>
  <si>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</si>
  <si>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</si>
  <si>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</si>
  <si>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</si>
  <si>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</si>
  <si>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</si>
  <si>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</si>
  <si>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</si>
  <si>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</si>
  <si>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</si>
  <si>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</si>
  <si>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</si>
  <si>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</si>
  <si>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</si>
  <si>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</si>
  <si>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</si>
  <si>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</si>
  <si>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</si>
  <si>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</si>
  <si>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</si>
  <si>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</si>
  <si>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</si>
  <si>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</si>
  <si>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</si>
  <si>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</si>
  <si>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</si>
  <si>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</si>
  <si>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</si>
  <si>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</si>
  <si>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</si>
  <si>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</si>
  <si>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</si>
  <si>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</si>
  <si>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</si>
  <si>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</si>
  <si>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</si>
  <si>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</si>
  <si>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</si>
  <si>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</si>
  <si>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</si>
  <si>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</si>
  <si>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</si>
  <si>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</si>
  <si>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</si>
  <si>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</si>
  <si>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</si>
  <si>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</si>
  <si>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</si>
  <si>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</si>
  <si>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</si>
  <si>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</si>
  <si>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</si>
  <si>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</si>
  <si>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</si>
  <si>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</si>
  <si>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</si>
  <si>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</si>
  <si>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</si>
  <si>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</si>
  <si>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</si>
  <si>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</si>
  <si>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</si>
  <si>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</si>
  <si>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</si>
  <si>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</si>
  <si>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</si>
  <si>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</si>
  <si>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</si>
  <si>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</si>
  <si>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</si>
  <si>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</si>
  <si>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</si>
  <si>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</si>
  <si>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</si>
  <si>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</si>
  <si>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</si>
  <si>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</si>
  <si>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</si>
  <si>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</si>
  <si>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</si>
  <si>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</si>
  <si>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</si>
  <si>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</si>
  <si>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</si>
  <si>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</si>
  <si>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</si>
  <si>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</si>
  <si>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</si>
  <si>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</si>
  <si>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</si>
  <si>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</si>
  <si>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</si>
  <si>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</si>
  <si>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</si>
  <si>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</si>
  <si>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</si>
  <si>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</si>
  <si>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</si>
  <si>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</si>
  <si>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</si>
  <si>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</si>
  <si>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</si>
  <si>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</si>
  <si>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</si>
  <si>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</si>
  <si>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</si>
  <si>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</si>
  <si>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</si>
  <si>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</si>
  <si>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</si>
  <si>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</si>
  <si>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</si>
  <si>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</si>
  <si>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</si>
  <si>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</si>
  <si>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</si>
  <si>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</si>
  <si>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</si>
  <si>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</si>
  <si>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</si>
  <si>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</si>
  <si>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</si>
  <si>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</si>
  <si>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</si>
  <si>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</si>
  <si>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</si>
  <si>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</si>
  <si>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</si>
  <si>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</si>
  <si>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</si>
  <si>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</si>
  <si>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</si>
  <si>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</si>
  <si>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</si>
  <si>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</si>
  <si>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</si>
  <si>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</si>
  <si>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</si>
  <si>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</si>
  <si>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</si>
  <si>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</si>
  <si>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</si>
  <si>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</si>
  <si>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</si>
  <si>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</si>
  <si>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</si>
  <si>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</si>
  <si>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</si>
  <si>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</si>
  <si>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</si>
  <si>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</si>
  <si>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</si>
  <si>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</si>
  <si>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</si>
  <si>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</si>
  <si>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</si>
  <si>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</si>
  <si>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</si>
  <si>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</si>
  <si>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</si>
  <si>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</si>
  <si>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</si>
  <si>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</si>
  <si>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</si>
  <si>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</si>
  <si>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</si>
  <si>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</si>
  <si>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</si>
  <si>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</si>
  <si>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</si>
  <si>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</si>
  <si>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</si>
  <si>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</si>
  <si>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</si>
  <si>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</si>
  <si>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</si>
  <si>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</si>
  <si>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</si>
  <si>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</si>
  <si>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</si>
  <si>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</si>
  <si>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</si>
  <si>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</si>
  <si>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</si>
  <si>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</si>
  <si>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</si>
  <si>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</si>
  <si>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</si>
  <si>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</si>
  <si>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</si>
  <si>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</si>
  <si>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</si>
  <si>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</si>
  <si>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</si>
  <si>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</si>
  <si>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</si>
  <si>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</si>
  <si>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</si>
  <si>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</si>
  <si>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</si>
  <si>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</si>
  <si>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</si>
  <si>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</si>
  <si>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</si>
  <si>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</si>
  <si>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</si>
  <si>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</si>
  <si>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</si>
  <si>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</si>
  <si>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</si>
  <si>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</si>
  <si>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</si>
  <si>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</si>
  <si>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</si>
  <si>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</si>
  <si>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</si>
  <si>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</si>
  <si>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</si>
  <si>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</si>
  <si>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</si>
  <si>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</si>
  <si>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</si>
  <si>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</si>
  <si>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</si>
  <si>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</si>
  <si>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</si>
  <si>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</si>
  <si>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</si>
  <si>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</si>
  <si>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</si>
  <si>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</si>
  <si>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</si>
  <si>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</si>
  <si>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</si>
  <si>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</si>
  <si>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</si>
  <si>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</si>
  <si>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</si>
  <si>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</si>
  <si>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</si>
  <si>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</si>
  <si>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</si>
  <si>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</si>
  <si>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</si>
  <si>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</si>
  <si>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</si>
  <si>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</si>
  <si>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</si>
  <si>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</si>
  <si>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</si>
  <si>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</si>
  <si>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</si>
  <si>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</si>
  <si>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</si>
  <si>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</si>
  <si>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</si>
  <si>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</si>
  <si>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</si>
  <si>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</si>
  <si>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</si>
  <si>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</si>
  <si>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</si>
  <si>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</si>
  <si>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</si>
  <si>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</si>
  <si>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</si>
  <si>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</si>
  <si>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</si>
  <si>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</si>
  <si>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</si>
  <si>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</si>
  <si>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</si>
  <si>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</si>
  <si>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</si>
  <si>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</si>
  <si>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</si>
  <si>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</si>
  <si>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</si>
  <si>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</si>
  <si>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</si>
  <si>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</si>
  <si>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</si>
  <si>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</si>
  <si>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</si>
  <si>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</si>
  <si>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</si>
  <si>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</si>
  <si>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</si>
  <si>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</si>
  <si>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</si>
  <si>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</si>
  <si>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</si>
  <si>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</si>
  <si>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</si>
  <si>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</si>
  <si>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</si>
  <si>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</si>
  <si>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</si>
  <si>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</si>
  <si>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</si>
  <si>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</si>
  <si>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</si>
  <si>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</si>
  <si>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</si>
  <si>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</si>
  <si>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</si>
  <si>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</si>
  <si>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</si>
  <si>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</si>
  <si>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</si>
  <si>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</si>
  <si>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</si>
  <si>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</si>
  <si>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</si>
  <si>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</si>
  <si>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</si>
  <si>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</si>
  <si>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</si>
  <si>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</si>
  <si>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</si>
  <si>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</si>
  <si>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</si>
  <si>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</si>
  <si>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</si>
  <si>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</si>
  <si>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</si>
  <si>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</si>
  <si>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</si>
  <si>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</si>
  <si>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</si>
  <si>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</si>
  <si>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</si>
  <si>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</si>
  <si>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</si>
  <si>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</si>
  <si>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</si>
  <si>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</si>
  <si>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</si>
  <si>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</si>
  <si>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</si>
  <si>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</si>
  <si>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</si>
  <si>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</si>
  <si>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</si>
  <si>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</si>
  <si>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</si>
  <si>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</si>
  <si>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</si>
  <si>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</si>
  <si>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</si>
  <si>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</si>
  <si>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</si>
  <si>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</si>
  <si>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</si>
  <si>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</si>
  <si>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</si>
  <si>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</si>
  <si>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</si>
  <si>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</si>
  <si>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</si>
  <si>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</si>
  <si>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</si>
  <si>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</si>
  <si>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</si>
  <si>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</si>
  <si>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</si>
  <si>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</si>
  <si>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</si>
  <si>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</si>
  <si>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</si>
  <si>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</si>
  <si>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</si>
  <si>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</si>
  <si>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</si>
  <si>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</si>
  <si>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</si>
  <si>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</si>
  <si>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</si>
  <si>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</si>
  <si>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</si>
  <si>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</si>
  <si>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</si>
  <si>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</si>
  <si>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</si>
  <si>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</si>
  <si>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</si>
  <si>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</si>
  <si>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</si>
  <si>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</si>
  <si>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</si>
  <si>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</si>
  <si>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</si>
  <si>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</si>
  <si>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</si>
  <si>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</si>
  <si>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</si>
  <si>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</si>
  <si>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</si>
  <si>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</si>
  <si>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</si>
  <si>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</si>
  <si>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</si>
  <si>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</si>
  <si>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</si>
  <si>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</si>
  <si>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</si>
  <si>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</si>
  <si>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</si>
  <si>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</si>
  <si>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</si>
  <si>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</si>
  <si>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</si>
  <si>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</si>
  <si>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</si>
  <si>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</si>
  <si>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</si>
  <si>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</si>
  <si>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</si>
  <si>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</si>
  <si>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</si>
  <si>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</si>
  <si>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</si>
  <si>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</si>
  <si>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</si>
  <si>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</si>
  <si>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</si>
  <si>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</si>
  <si>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</si>
  <si>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</si>
  <si>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</si>
  <si>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</si>
  <si>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</si>
  <si>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</si>
  <si>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</si>
  <si>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</si>
  <si>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</si>
  <si>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</si>
  <si>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</si>
  <si>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</si>
  <si>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</si>
  <si>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</si>
  <si>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</si>
  <si>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</si>
  <si>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</si>
  <si>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</si>
  <si>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</si>
  <si>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</si>
  <si>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</si>
  <si>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</si>
  <si>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</si>
  <si>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</si>
  <si>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</si>
  <si>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</si>
  <si>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</si>
  <si>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</si>
  <si>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</si>
  <si>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</si>
  <si>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</si>
  <si>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</si>
  <si>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</si>
  <si>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</si>
  <si>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</si>
  <si>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</si>
  <si>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</si>
  <si>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</si>
  <si>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</si>
  <si>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</si>
  <si>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</si>
  <si>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</si>
  <si>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</si>
  <si>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</si>
  <si>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</si>
  <si>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</si>
  <si>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</si>
  <si>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</si>
  <si>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</si>
  <si>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</si>
  <si>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</si>
  <si>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</si>
  <si>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</si>
  <si>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</si>
  <si>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</si>
  <si>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</si>
  <si>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</si>
  <si>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</si>
  <si>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</si>
  <si>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</si>
  <si>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</si>
  <si>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</si>
  <si>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</si>
  <si>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</si>
  <si>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</si>
  <si>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</si>
  <si>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</si>
  <si>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</si>
  <si>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</si>
  <si>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</si>
  <si>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</si>
  <si>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</si>
  <si>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</si>
  <si>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</si>
  <si>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</si>
  <si>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</si>
  <si>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</si>
  <si>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</si>
  <si>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</si>
  <si>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</si>
  <si>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</si>
  <si>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</si>
  <si>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</si>
  <si>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</si>
  <si>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</si>
  <si>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</si>
  <si>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</si>
  <si>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</si>
  <si>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</si>
  <si>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</si>
  <si>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</si>
  <si>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</si>
  <si>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</si>
  <si>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</si>
  <si>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</si>
  <si>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</si>
  <si>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</si>
  <si>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</si>
  <si>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</si>
  <si>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</si>
  <si>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</si>
  <si>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</si>
  <si>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</si>
  <si>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</si>
  <si>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</si>
  <si>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</si>
  <si>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</si>
  <si>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</si>
  <si>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</si>
  <si>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</si>
  <si>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</si>
  <si>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</si>
  <si>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</si>
  <si>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</si>
  <si>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</si>
  <si>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</si>
  <si>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</si>
  <si>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</si>
  <si>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</si>
  <si>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</si>
  <si>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</si>
  <si>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</si>
  <si>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</si>
  <si>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</si>
  <si>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</si>
  <si>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</si>
  <si>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</si>
  <si>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</si>
  <si>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</si>
  <si>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</si>
  <si>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</si>
  <si>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</si>
  <si>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</si>
  <si>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</si>
  <si>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</si>
  <si>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</si>
  <si>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</si>
  <si>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GASSENSMITH &amp; MICHALESKO, LTD.</t>
  </si>
  <si>
    <t>WILL</t>
  </si>
  <si>
    <t>JOHN MICHALESKO</t>
  </si>
  <si>
    <t>323 SPRINGFIELD</t>
  </si>
  <si>
    <t>1715 ROWELL AVE.</t>
  </si>
  <si>
    <t>JOLIET</t>
  </si>
  <si>
    <t>IL</t>
  </si>
  <si>
    <t>815-744-6400</t>
  </si>
  <si>
    <t>815-744-3822</t>
  </si>
  <si>
    <t>VTEEGARDIN@LARAWAY.ORG</t>
  </si>
  <si>
    <t>X</t>
  </si>
  <si>
    <t>DR. JOSEPH R SALMIERI III</t>
  </si>
  <si>
    <t>815-727-5115</t>
  </si>
  <si>
    <t>GO Series 2003C</t>
  </si>
  <si>
    <t>Lease Obligations</t>
  </si>
  <si>
    <t>GW BUCK BOYS/GIRLS CLUB</t>
  </si>
  <si>
    <t>ESIC AND LINCOLNWAY AREA AFFILIATION INSURANCE</t>
  </si>
  <si>
    <t>PMA</t>
  </si>
  <si>
    <t>STAFF DEVELOPMENT</t>
  </si>
  <si>
    <t>SOWIC</t>
  </si>
  <si>
    <t>Midwest Transit</t>
  </si>
  <si>
    <t>Santander Leasing</t>
  </si>
  <si>
    <t>40-2550-300</t>
  </si>
  <si>
    <t>Pupil transportation</t>
  </si>
  <si>
    <t>066-004945</t>
  </si>
  <si>
    <t>56099070C04</t>
  </si>
  <si>
    <t>Laraway CCSD 70C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</si>
</sst>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0" fontId="13" fillId="0" borderId="0" xfId="12" applyFont="1" applyBorder="1" applyAlignment="1" applyProtection="1">
      <alignment vertical="center"/>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38" fontId="54" fillId="0" borderId="2" xfId="9" applyNumberFormat="1" applyFont="1" applyFill="1" applyBorder="1" applyAlignment="1" applyProtection="1">
      <alignment horizontal="right" vertical="center"/>
      <protection locked="0"/>
    </xf>
    <xf numFmtId="0" fontId="1" fillId="0" borderId="157" xfId="17" applyFont="1" applyBorder="1" applyAlignment="1" applyProtection="1">
      <alignment horizontal="left" vertical="top" wrapText="1"/>
      <protection locked="0"/>
    </xf>
    <xf numFmtId="49" fontId="137" fillId="0" borderId="105" xfId="23" applyNumberFormat="1" applyFont="1" applyBorder="1" applyAlignment="1" applyProtection="1">
      <alignment horizontal="center" vertical="center"/>
      <protection locked="0"/>
    </xf>
    <xf numFmtId="49" fontId="138" fillId="0" borderId="107" xfId="23" applyNumberFormat="1" applyFont="1" applyFill="1" applyBorder="1" applyAlignment="1" applyProtection="1">
      <alignment horizontal="center" vertical="center"/>
      <protection locked="0"/>
    </xf>
    <xf numFmtId="0" fontId="139" fillId="0" borderId="105" xfId="23" applyFont="1" applyBorder="1" applyProtection="1">
      <protection locked="0"/>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80" fontId="12" fillId="0" borderId="19" xfId="12"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180" fontId="12" fillId="0" borderId="19" xfId="0" applyNumberFormat="1" applyFont="1" applyBorder="1" applyAlignment="1" applyProtection="1">
      <alignment horizontal="left" vertical="center" indent="1"/>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8" xfId="0" applyFont="1" applyBorder="1" applyAlignment="1" applyProtection="1">
      <alignment horizontal="left" vertical="center" indent="1"/>
      <protection locked="0"/>
    </xf>
    <xf numFmtId="0" fontId="12" fillId="0" borderId="19" xfId="12" applyNumberFormat="1" applyFont="1" applyFill="1" applyBorder="1" applyAlignment="1" applyProtection="1">
      <alignment horizontal="left" vertical="center" indent="1"/>
      <protection locked="0"/>
    </xf>
    <xf numFmtId="0" fontId="33" fillId="0" borderId="17" xfId="12" applyNumberFormat="1" applyFont="1" applyBorder="1" applyAlignment="1" applyProtection="1">
      <alignment horizontal="center"/>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2064</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0"/>
      <c r="V10" s="1990"/>
      <c r="W10" s="1990"/>
      <c r="X10" s="1990"/>
      <c r="Y10" s="1990"/>
      <c r="Z10" s="1990"/>
      <c r="AA10" s="1993"/>
    </row>
    <row r="11" spans="1:28" ht="14.25" customHeight="1" x14ac:dyDescent="0.2">
      <c r="A11" s="2018" t="s">
        <v>955</v>
      </c>
      <c r="B11" s="2019"/>
      <c r="C11" s="2019"/>
      <c r="D11" s="2019"/>
      <c r="E11" s="2019"/>
      <c r="F11" s="2019"/>
      <c r="G11" s="2019"/>
      <c r="H11" s="2020"/>
      <c r="I11" s="27"/>
      <c r="J11" s="74"/>
      <c r="K11" s="27"/>
      <c r="O11" s="148" t="s">
        <v>2064</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t="s">
        <v>2090</v>
      </c>
      <c r="B13" s="2023"/>
      <c r="C13" s="2023"/>
      <c r="D13" s="2023"/>
      <c r="E13" s="2023"/>
      <c r="F13" s="2023"/>
      <c r="G13" s="2023"/>
      <c r="H13" s="2024"/>
      <c r="I13" s="31"/>
      <c r="J13" s="30"/>
      <c r="K13" s="28"/>
      <c r="L13" s="30"/>
      <c r="M13" s="30"/>
      <c r="N13" s="30"/>
      <c r="O13" s="30"/>
      <c r="P13" s="30"/>
      <c r="Q13" s="30"/>
      <c r="R13" s="30"/>
      <c r="S13" s="30"/>
      <c r="T13" s="2027" t="s">
        <v>2065</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2066</v>
      </c>
      <c r="B15" s="2025"/>
      <c r="C15" s="2025"/>
      <c r="D15" s="2025"/>
      <c r="E15" s="2025"/>
      <c r="F15" s="2025"/>
      <c r="G15" s="2025"/>
      <c r="H15" s="2026"/>
      <c r="T15" s="2031" t="s">
        <v>2067</v>
      </c>
      <c r="U15" s="1958"/>
      <c r="V15" s="1958"/>
      <c r="W15" s="1958"/>
      <c r="X15" s="1958"/>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4" t="s">
        <v>2091</v>
      </c>
      <c r="B17" s="1965"/>
      <c r="C17" s="1965"/>
      <c r="D17" s="1965"/>
      <c r="E17" s="1965"/>
      <c r="F17" s="1965"/>
      <c r="G17" s="1965"/>
      <c r="H17" s="2000"/>
      <c r="T17" s="2038" t="s">
        <v>2068</v>
      </c>
      <c r="U17" s="2039"/>
      <c r="V17" s="2039"/>
      <c r="W17" s="2039"/>
      <c r="X17" s="2039"/>
      <c r="Y17" s="2039"/>
      <c r="Z17" s="2039"/>
      <c r="AA17" s="2040"/>
    </row>
    <row r="18" spans="1:27" ht="13.5" customHeight="1" x14ac:dyDescent="0.2">
      <c r="A18" s="85" t="s">
        <v>530</v>
      </c>
      <c r="B18" s="76"/>
      <c r="C18" s="72"/>
      <c r="D18" s="76"/>
      <c r="E18" s="76"/>
      <c r="F18" s="76"/>
      <c r="G18" s="76"/>
      <c r="H18" s="56"/>
      <c r="I18" s="1997" t="s">
        <v>676</v>
      </c>
      <c r="J18" s="1998"/>
      <c r="K18" s="1998"/>
      <c r="L18" s="1998"/>
      <c r="M18" s="1998"/>
      <c r="N18" s="1998"/>
      <c r="O18" s="1998"/>
      <c r="P18" s="1998"/>
      <c r="Q18" s="1998"/>
      <c r="R18" s="1998"/>
      <c r="S18" s="1999"/>
      <c r="T18" s="85" t="s">
        <v>711</v>
      </c>
      <c r="U18" s="51"/>
      <c r="V18" s="72"/>
      <c r="W18" s="50"/>
      <c r="X18" s="85" t="s">
        <v>266</v>
      </c>
      <c r="Y18" s="81"/>
      <c r="Z18" s="159" t="s">
        <v>677</v>
      </c>
      <c r="AA18" s="46"/>
    </row>
    <row r="19" spans="1:27" ht="13.5" customHeight="1" x14ac:dyDescent="0.2">
      <c r="A19" s="2021" t="s">
        <v>2069</v>
      </c>
      <c r="B19" s="2003"/>
      <c r="C19" s="2003"/>
      <c r="D19" s="2003"/>
      <c r="E19" s="2003"/>
      <c r="F19" s="2003"/>
      <c r="G19" s="2003"/>
      <c r="H19" s="1967"/>
      <c r="I19" s="30"/>
      <c r="J19" s="99"/>
      <c r="K19" s="40"/>
      <c r="L19" s="38"/>
      <c r="M19" s="112" t="s">
        <v>315</v>
      </c>
      <c r="P19" s="27"/>
      <c r="Q19" s="27"/>
      <c r="R19" s="27"/>
      <c r="S19" s="31"/>
      <c r="T19" s="2021" t="s">
        <v>2070</v>
      </c>
      <c r="U19" s="1966"/>
      <c r="V19" s="1966"/>
      <c r="W19" s="1967"/>
      <c r="X19" s="2036" t="s">
        <v>2071</v>
      </c>
      <c r="Y19" s="2037"/>
      <c r="Z19" s="2034">
        <v>60435</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1" t="s">
        <v>2070</v>
      </c>
      <c r="B21" s="1966"/>
      <c r="C21" s="1966"/>
      <c r="D21" s="1966"/>
      <c r="E21" s="1966"/>
      <c r="F21" s="1966"/>
      <c r="G21" s="1966"/>
      <c r="H21" s="1967"/>
      <c r="I21" s="1992" t="s">
        <v>678</v>
      </c>
      <c r="J21" s="1990"/>
      <c r="K21" s="1990"/>
      <c r="L21" s="1990"/>
      <c r="M21" s="1990"/>
      <c r="N21" s="1990"/>
      <c r="O21" s="1990"/>
      <c r="P21" s="1990"/>
      <c r="Q21" s="1990"/>
      <c r="R21" s="1990"/>
      <c r="S21" s="1993"/>
      <c r="T21" s="2045" t="s">
        <v>2072</v>
      </c>
      <c r="U21" s="2046"/>
      <c r="V21" s="2046"/>
      <c r="W21" s="2046"/>
      <c r="X21" s="2051" t="s">
        <v>2073</v>
      </c>
      <c r="Y21" s="2052"/>
      <c r="Z21" s="2052"/>
      <c r="AA21" s="2053"/>
    </row>
    <row r="22" spans="1:27" ht="13.5" customHeight="1" x14ac:dyDescent="0.2">
      <c r="A22" s="87" t="s">
        <v>531</v>
      </c>
      <c r="B22" s="59"/>
      <c r="C22" s="59"/>
      <c r="D22" s="59"/>
      <c r="E22" s="59"/>
      <c r="F22" s="59"/>
      <c r="G22" s="59"/>
      <c r="H22" s="60"/>
      <c r="I22" s="1994" t="s">
        <v>1429</v>
      </c>
      <c r="J22" s="1995"/>
      <c r="K22" s="1995"/>
      <c r="L22" s="1995"/>
      <c r="M22" s="1995"/>
      <c r="N22" s="1995"/>
      <c r="O22" s="1995"/>
      <c r="P22" s="1995"/>
      <c r="Q22" s="1995"/>
      <c r="R22" s="1995"/>
      <c r="S22" s="1996"/>
      <c r="T22" s="85" t="s">
        <v>1516</v>
      </c>
      <c r="U22" s="51"/>
      <c r="V22" s="72"/>
      <c r="W22" s="51"/>
      <c r="X22" s="160" t="s">
        <v>1318</v>
      </c>
      <c r="Z22" s="45"/>
      <c r="AA22" s="46"/>
    </row>
    <row r="23" spans="1:27" ht="13.5" customHeight="1" x14ac:dyDescent="0.2">
      <c r="A23" s="1938"/>
      <c r="B23" s="1938"/>
      <c r="C23" s="1938"/>
      <c r="D23" s="1938"/>
      <c r="E23" s="1938"/>
      <c r="F23" s="1938"/>
      <c r="G23" s="1938"/>
      <c r="H23" s="1938"/>
      <c r="T23" s="1964" t="s">
        <v>2089</v>
      </c>
      <c r="U23" s="2044"/>
      <c r="V23" s="2044"/>
      <c r="W23" s="2044"/>
      <c r="X23" s="2048">
        <v>43831</v>
      </c>
      <c r="Y23" s="2049"/>
      <c r="Z23" s="2049"/>
      <c r="AA23" s="2050"/>
    </row>
    <row r="24" spans="1:27" ht="14.1" customHeight="1" x14ac:dyDescent="0.2">
      <c r="A24" s="88" t="s">
        <v>677</v>
      </c>
      <c r="B24" s="49"/>
      <c r="C24" s="49"/>
      <c r="D24" s="49"/>
      <c r="E24" s="49"/>
      <c r="F24" s="49"/>
      <c r="G24" s="49"/>
      <c r="H24" s="61"/>
      <c r="J24" s="2004">
        <f>IF(B5="x",IF(AUDITCHECK!D29="AFR form Incomplete.","",IF(AUDITCHECK!D29="Deficit reduction plan is required.","School District must complete a deficit reduction plan in the 2019-2020 Budget",)),"")</f>
        <v>0</v>
      </c>
      <c r="K24" s="2004"/>
      <c r="L24" s="2004"/>
      <c r="M24" s="2004"/>
      <c r="N24" s="2004"/>
      <c r="O24" s="2004"/>
      <c r="P24" s="2004"/>
      <c r="Q24" s="2004"/>
      <c r="R24" s="2004"/>
      <c r="S24" s="2005"/>
      <c r="T24" s="105" t="s">
        <v>531</v>
      </c>
      <c r="U24" s="106"/>
      <c r="V24" s="106"/>
      <c r="W24" s="106"/>
      <c r="X24" s="107"/>
      <c r="Y24" s="107"/>
      <c r="Z24" s="107"/>
      <c r="AA24" s="108"/>
    </row>
    <row r="25" spans="1:27" ht="14.1" customHeight="1" x14ac:dyDescent="0.2">
      <c r="A25" s="2001">
        <v>60433</v>
      </c>
      <c r="B25" s="1966"/>
      <c r="C25" s="1966"/>
      <c r="D25" s="1966"/>
      <c r="E25" s="1966"/>
      <c r="F25" s="1966"/>
      <c r="G25" s="1966"/>
      <c r="H25" s="1967"/>
      <c r="I25" s="113"/>
      <c r="J25" s="2006"/>
      <c r="K25" s="2006"/>
      <c r="L25" s="2006"/>
      <c r="M25" s="2006"/>
      <c r="N25" s="2006"/>
      <c r="O25" s="2006"/>
      <c r="P25" s="2006"/>
      <c r="Q25" s="2006"/>
      <c r="R25" s="2006"/>
      <c r="S25" s="2007"/>
      <c r="T25" s="2041"/>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02" t="s">
        <v>1511</v>
      </c>
      <c r="J27" s="1998"/>
      <c r="K27" s="1998"/>
      <c r="L27" s="1998"/>
      <c r="M27" s="1998"/>
      <c r="N27" s="1998"/>
      <c r="O27" s="1998"/>
      <c r="P27" s="1998"/>
      <c r="Q27" s="1998"/>
      <c r="R27" s="1998"/>
      <c r="S27" s="199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2075</v>
      </c>
      <c r="M29" s="40" t="s">
        <v>99</v>
      </c>
      <c r="N29" s="32" t="s">
        <v>1523</v>
      </c>
      <c r="O29" s="32"/>
      <c r="P29" s="32"/>
      <c r="Q29" s="32"/>
      <c r="R29" s="32"/>
      <c r="S29" s="123"/>
      <c r="T29" s="6"/>
      <c r="U29" s="6"/>
      <c r="V29" s="6"/>
      <c r="W29" s="6"/>
      <c r="X29" s="6"/>
      <c r="Y29" s="6"/>
      <c r="Z29" s="6"/>
      <c r="AA29" s="132"/>
    </row>
    <row r="30" spans="1:27" ht="13.5" customHeight="1" x14ac:dyDescent="0.2">
      <c r="A30" s="153"/>
      <c r="B30" s="136" t="s">
        <v>2075</v>
      </c>
      <c r="C30" s="124" t="s">
        <v>1164</v>
      </c>
      <c r="D30" s="28"/>
      <c r="E30" s="28"/>
      <c r="F30" s="140"/>
      <c r="G30" s="114"/>
      <c r="H30" s="114"/>
      <c r="I30" s="54"/>
      <c r="J30" s="102"/>
      <c r="K30" s="28" t="s">
        <v>576</v>
      </c>
      <c r="L30" s="148" t="s">
        <v>2075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3"/>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4" t="s">
        <v>2076</v>
      </c>
      <c r="B38" s="1965"/>
      <c r="C38" s="1965"/>
      <c r="D38" s="1965"/>
      <c r="E38" s="1965"/>
      <c r="F38" s="1966"/>
      <c r="G38" s="1966"/>
      <c r="H38" s="1967"/>
      <c r="I38" s="1957"/>
      <c r="J38" s="1958"/>
      <c r="K38" s="1958"/>
      <c r="L38" s="1958"/>
      <c r="M38" s="1958"/>
      <c r="N38" s="1958"/>
      <c r="O38" s="1958"/>
      <c r="P38" s="1959"/>
      <c r="Q38" s="1959"/>
      <c r="R38" s="1959"/>
      <c r="S38" s="1960"/>
      <c r="T38" s="2031"/>
      <c r="U38" s="1958"/>
      <c r="V38" s="1958"/>
      <c r="W38" s="1958"/>
      <c r="X38" s="1959"/>
      <c r="Y38" s="1959"/>
      <c r="Z38" s="1959"/>
      <c r="AA38" s="1960"/>
    </row>
    <row r="39" spans="1:27" ht="12" customHeight="1" x14ac:dyDescent="0.2">
      <c r="A39" s="1975" t="s">
        <v>531</v>
      </c>
      <c r="B39" s="1976"/>
      <c r="C39" s="72"/>
      <c r="D39" s="69"/>
      <c r="E39" s="69"/>
      <c r="F39" s="79"/>
      <c r="G39" s="69"/>
      <c r="H39" s="56"/>
      <c r="I39" s="1975" t="s">
        <v>531</v>
      </c>
      <c r="J39" s="1976"/>
      <c r="K39" s="1976"/>
      <c r="L39" s="1976"/>
      <c r="M39" s="1976"/>
      <c r="N39" s="67"/>
      <c r="O39" s="72"/>
      <c r="P39" s="72"/>
      <c r="Q39" s="78"/>
      <c r="R39" s="72"/>
      <c r="S39" s="56"/>
      <c r="T39" s="72" t="s">
        <v>531</v>
      </c>
      <c r="U39" s="51"/>
      <c r="V39" s="72"/>
      <c r="W39" s="50"/>
      <c r="X39" s="78"/>
      <c r="Y39" s="45"/>
      <c r="Z39" s="45"/>
      <c r="AA39" s="46"/>
    </row>
    <row r="40" spans="1:27" ht="13.5" customHeight="1" x14ac:dyDescent="0.2">
      <c r="A40" s="1978" t="s">
        <v>2074</v>
      </c>
      <c r="B40" s="1979"/>
      <c r="C40" s="1979"/>
      <c r="D40" s="1979"/>
      <c r="E40" s="1979"/>
      <c r="F40" s="1979"/>
      <c r="G40" s="1979"/>
      <c r="H40" s="1980"/>
      <c r="I40" s="1971"/>
      <c r="J40" s="1972"/>
      <c r="K40" s="1972"/>
      <c r="L40" s="1972"/>
      <c r="M40" s="1972"/>
      <c r="N40" s="1972"/>
      <c r="O40" s="1972"/>
      <c r="P40" s="1972"/>
      <c r="Q40" s="1972"/>
      <c r="R40" s="1972"/>
      <c r="S40" s="1973"/>
      <c r="T40" s="1971"/>
      <c r="U40" s="2047"/>
      <c r="V40" s="1972"/>
      <c r="W40" s="1972"/>
      <c r="X40" s="1972"/>
      <c r="Y40" s="1972"/>
      <c r="Z40" s="1972"/>
      <c r="AA40" s="197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54" t="s">
        <v>2077</v>
      </c>
      <c r="B42" s="1955"/>
      <c r="C42" s="1956"/>
      <c r="D42" s="1977"/>
      <c r="E42" s="1955"/>
      <c r="F42" s="1955"/>
      <c r="G42" s="1955"/>
      <c r="H42" s="1956"/>
      <c r="I42" s="1974"/>
      <c r="J42" s="1969"/>
      <c r="K42" s="1969"/>
      <c r="L42" s="1969"/>
      <c r="M42" s="1969"/>
      <c r="N42" s="1969"/>
      <c r="O42" s="1970"/>
      <c r="P42" s="1968"/>
      <c r="Q42" s="1969"/>
      <c r="R42" s="1969"/>
      <c r="S42" s="1970"/>
      <c r="T42" s="1974"/>
      <c r="U42" s="1969"/>
      <c r="V42" s="1969"/>
      <c r="W42" s="1970"/>
      <c r="X42" s="1968"/>
      <c r="Y42" s="1969"/>
      <c r="Z42" s="1969"/>
      <c r="AA42" s="197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1"/>
      <c r="B44" s="1962"/>
      <c r="C44" s="1962"/>
      <c r="D44" s="1962"/>
      <c r="E44" s="1962"/>
      <c r="F44" s="1962"/>
      <c r="G44" s="1962"/>
      <c r="H44" s="1963"/>
      <c r="I44" s="1950"/>
      <c r="J44" s="1952"/>
      <c r="K44" s="1952"/>
      <c r="L44" s="1952"/>
      <c r="M44" s="1952"/>
      <c r="N44" s="1952"/>
      <c r="O44" s="1952"/>
      <c r="P44" s="1952"/>
      <c r="Q44" s="1952"/>
      <c r="R44" s="1952"/>
      <c r="S44" s="1953"/>
      <c r="T44" s="1950"/>
      <c r="U44" s="1951"/>
      <c r="V44" s="1951"/>
      <c r="W44" s="1951"/>
      <c r="X44" s="1951"/>
      <c r="Y44" s="1951"/>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1">
    <mergeCell ref="T25:AA25"/>
    <mergeCell ref="T23:W23"/>
    <mergeCell ref="X42:AA42"/>
    <mergeCell ref="T21:W21"/>
    <mergeCell ref="T42:W42"/>
    <mergeCell ref="T38:AA38"/>
    <mergeCell ref="T40:AA40"/>
    <mergeCell ref="X23:AA23"/>
    <mergeCell ref="X21:AA21"/>
    <mergeCell ref="I27:S27"/>
    <mergeCell ref="P35:R35"/>
    <mergeCell ref="J24:S25"/>
    <mergeCell ref="T9:AA11"/>
    <mergeCell ref="A10:H10"/>
    <mergeCell ref="A11:H11"/>
    <mergeCell ref="A21:H21"/>
    <mergeCell ref="A19:H19"/>
    <mergeCell ref="A13:H13"/>
    <mergeCell ref="A15:H15"/>
    <mergeCell ref="T19:W19"/>
    <mergeCell ref="T13:AA13"/>
    <mergeCell ref="T15:AA15"/>
    <mergeCell ref="Z19:AA19"/>
    <mergeCell ref="X19:Y19"/>
    <mergeCell ref="T17:AA17"/>
    <mergeCell ref="I21:S21"/>
    <mergeCell ref="I22:S22"/>
    <mergeCell ref="I18:S18"/>
    <mergeCell ref="A17:H17"/>
    <mergeCell ref="A25:H25"/>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I42:O42"/>
    <mergeCell ref="I39:M39"/>
    <mergeCell ref="A39:B39"/>
    <mergeCell ref="I44:S44"/>
    <mergeCell ref="D42:H42"/>
    <mergeCell ref="A40:H40"/>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42" sqref="D42:H4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1951</v>
      </c>
      <c r="C2" s="714" t="s">
        <v>1952</v>
      </c>
      <c r="D2" s="714" t="s">
        <v>1953</v>
      </c>
      <c r="E2" s="714" t="s">
        <v>1954</v>
      </c>
      <c r="F2" s="714" t="s">
        <v>1955</v>
      </c>
    </row>
    <row r="3" spans="1:6" ht="12" customHeight="1" x14ac:dyDescent="0.2">
      <c r="A3" s="2188"/>
      <c r="B3" s="1525"/>
      <c r="C3" s="1526"/>
      <c r="D3" s="1527" t="s">
        <v>256</v>
      </c>
      <c r="E3" s="1526"/>
      <c r="F3" s="1527" t="s">
        <v>257</v>
      </c>
    </row>
    <row r="4" spans="1:6" ht="13.7" customHeight="1" x14ac:dyDescent="0.2">
      <c r="A4" s="715" t="s">
        <v>1155</v>
      </c>
      <c r="B4" s="1749">
        <f>'Revenues 9-14'!C5</f>
        <v>6067175</v>
      </c>
      <c r="C4" s="1524">
        <v>3002784</v>
      </c>
      <c r="D4" s="1752">
        <f>B4-C4</f>
        <v>3064391</v>
      </c>
      <c r="E4" s="1524">
        <v>6670826</v>
      </c>
      <c r="F4" s="1752">
        <f>E4-C4</f>
        <v>3668042</v>
      </c>
    </row>
    <row r="5" spans="1:6" ht="13.7" customHeight="1" x14ac:dyDescent="0.2">
      <c r="A5" s="715" t="s">
        <v>870</v>
      </c>
      <c r="B5" s="1750">
        <f>'Revenues 9-14'!D5</f>
        <v>843006</v>
      </c>
      <c r="C5" s="585">
        <v>456692</v>
      </c>
      <c r="D5" s="1753">
        <f t="shared" ref="D5:D18" si="0">B5-C5</f>
        <v>386314</v>
      </c>
      <c r="E5" s="585">
        <v>1014562</v>
      </c>
      <c r="F5" s="1753">
        <f>E5-C5</f>
        <v>557870</v>
      </c>
    </row>
    <row r="6" spans="1:6" ht="13.7" customHeight="1" x14ac:dyDescent="0.2">
      <c r="A6" s="715" t="s">
        <v>411</v>
      </c>
      <c r="B6" s="1750">
        <f>'Revenues 9-14'!E5</f>
        <v>57444</v>
      </c>
      <c r="C6" s="585">
        <v>27683</v>
      </c>
      <c r="D6" s="1753">
        <f t="shared" si="0"/>
        <v>29761</v>
      </c>
      <c r="E6" s="585">
        <v>61498</v>
      </c>
      <c r="F6" s="1753">
        <f t="shared" ref="F6:F18" si="1">E6-C6</f>
        <v>33815</v>
      </c>
    </row>
    <row r="7" spans="1:6" ht="13.7" customHeight="1" x14ac:dyDescent="0.2">
      <c r="A7" s="715" t="s">
        <v>155</v>
      </c>
      <c r="B7" s="1750">
        <f>'Revenues 9-14'!F5</f>
        <v>171465</v>
      </c>
      <c r="C7" s="585">
        <v>157664</v>
      </c>
      <c r="D7" s="1753">
        <f t="shared" si="0"/>
        <v>13801</v>
      </c>
      <c r="E7" s="585">
        <v>350258</v>
      </c>
      <c r="F7" s="1753">
        <f t="shared" si="1"/>
        <v>192594</v>
      </c>
    </row>
    <row r="8" spans="1:6" ht="13.7" customHeight="1" x14ac:dyDescent="0.2">
      <c r="A8" s="715" t="s">
        <v>1179</v>
      </c>
      <c r="B8" s="1750">
        <f>'Revenues 9-14'!G5</f>
        <v>179645</v>
      </c>
      <c r="C8" s="585">
        <v>96257</v>
      </c>
      <c r="D8" s="1753">
        <f t="shared" si="0"/>
        <v>83388</v>
      </c>
      <c r="E8" s="585">
        <v>213839</v>
      </c>
      <c r="F8" s="1753">
        <f t="shared" si="1"/>
        <v>117582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98800</v>
      </c>
      <c r="C10" s="585">
        <v>40610</v>
      </c>
      <c r="D10" s="1753">
        <f t="shared" si="0"/>
        <v>58190</v>
      </c>
      <c r="E10" s="585">
        <v>90218</v>
      </c>
      <c r="F10" s="1753">
        <f t="shared" si="1"/>
        <v>49608</v>
      </c>
    </row>
    <row r="11" spans="1:6" x14ac:dyDescent="0.2">
      <c r="A11" s="715" t="s">
        <v>409</v>
      </c>
      <c r="B11" s="1750">
        <f>'Revenues 9-14'!J5</f>
        <v>26673</v>
      </c>
      <c r="C11" s="585">
        <v>12647</v>
      </c>
      <c r="D11" s="1753">
        <f t="shared" si="0"/>
        <v>14026</v>
      </c>
      <c r="E11" s="585">
        <v>28096</v>
      </c>
      <c r="F11" s="1753">
        <f t="shared" si="1"/>
        <v>15449</v>
      </c>
    </row>
    <row r="12" spans="1:6" ht="13.7" customHeight="1" x14ac:dyDescent="0.2">
      <c r="A12" s="715" t="s">
        <v>157</v>
      </c>
      <c r="B12" s="1750">
        <f>'Revenues 9-14'!K5</f>
        <v>71938</v>
      </c>
      <c r="C12" s="585">
        <v>702</v>
      </c>
      <c r="D12" s="1753">
        <f t="shared" si="0"/>
        <v>71236</v>
      </c>
      <c r="E12" s="585">
        <v>1560</v>
      </c>
      <c r="F12" s="1753">
        <f t="shared" si="1"/>
        <v>858</v>
      </c>
    </row>
    <row r="13" spans="1:6" ht="13.7" customHeight="1" x14ac:dyDescent="0.2">
      <c r="A13" s="715" t="s">
        <v>936</v>
      </c>
      <c r="B13" s="1750">
        <f>SUM('Revenues 9-14'!C6:D6)</f>
        <v>113194</v>
      </c>
      <c r="C13" s="585">
        <v>42156</v>
      </c>
      <c r="D13" s="1753">
        <f t="shared" si="0"/>
        <v>71038</v>
      </c>
      <c r="E13" s="585">
        <v>93652</v>
      </c>
      <c r="F13" s="1753">
        <f t="shared" si="1"/>
        <v>51496</v>
      </c>
    </row>
    <row r="14" spans="1:6" ht="13.7" customHeight="1" x14ac:dyDescent="0.2">
      <c r="A14" s="715" t="s">
        <v>410</v>
      </c>
      <c r="B14" s="1750">
        <f>SUM('Revenues 9-14'!C7:D7,'Revenues 9-14'!F7:H7)</f>
        <v>62686</v>
      </c>
      <c r="C14" s="585">
        <v>33444</v>
      </c>
      <c r="D14" s="1753">
        <f t="shared" si="0"/>
        <v>29242</v>
      </c>
      <c r="E14" s="585">
        <v>74297</v>
      </c>
      <c r="F14" s="1753">
        <f t="shared" si="1"/>
        <v>40853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179645</v>
      </c>
      <c r="C16" s="585">
        <v>96257</v>
      </c>
      <c r="D16" s="1753">
        <f t="shared" si="0"/>
        <v>83388</v>
      </c>
      <c r="E16" s="585">
        <v>213839</v>
      </c>
      <c r="F16" s="1753">
        <f t="shared" si="1"/>
        <v>117582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7871671</v>
      </c>
      <c r="C19" s="1751">
        <f>SUM(C4:C18)</f>
        <v>3966896</v>
      </c>
      <c r="D19" s="1751">
        <f>SUM(D4:D18)</f>
        <v>3904775</v>
      </c>
      <c r="E19" s="1751">
        <f>SUM(E4:E18)</f>
        <v>8812645</v>
      </c>
      <c r="F19" s="1751">
        <f>SUM(F4:F18)</f>
        <v>4845749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D42" sqref="D42:H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4" t="s">
        <v>1956</v>
      </c>
      <c r="D2" s="723" t="s">
        <v>1957</v>
      </c>
      <c r="E2" s="723" t="s">
        <v>1958</v>
      </c>
      <c r="F2" s="1884" t="s">
        <v>1959</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5">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388</v>
      </c>
      <c r="B19" s="2196"/>
      <c r="C19" s="726"/>
      <c r="D19" s="585"/>
      <c r="E19" s="726"/>
      <c r="F19" s="1755">
        <f>SUM(C19+D19)-E19</f>
        <v>0</v>
      </c>
    </row>
    <row r="20" spans="1:11" ht="12.75" customHeight="1" thickTop="1" thickBot="1" x14ac:dyDescent="0.25">
      <c r="A20" s="2195" t="s">
        <v>448</v>
      </c>
      <c r="B20" s="2196"/>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5">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5">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1941" t="s">
        <v>2078</v>
      </c>
      <c r="B31" s="1942">
        <v>37653</v>
      </c>
      <c r="C31" s="1943">
        <v>695000</v>
      </c>
      <c r="D31" s="1944">
        <v>6</v>
      </c>
      <c r="E31" s="734">
        <v>260000</v>
      </c>
      <c r="F31" s="734"/>
      <c r="G31" s="734"/>
      <c r="H31" s="734">
        <v>45000</v>
      </c>
      <c r="I31" s="1756">
        <f>((E31+F31)-H31)+G31</f>
        <v>215000</v>
      </c>
      <c r="J31" s="734">
        <v>214816</v>
      </c>
      <c r="K31" s="736"/>
    </row>
    <row r="32" spans="1:11" ht="12" customHeight="1" x14ac:dyDescent="0.2">
      <c r="A32" s="1941" t="s">
        <v>2079</v>
      </c>
      <c r="B32" s="1942">
        <v>42734</v>
      </c>
      <c r="C32" s="1943">
        <v>9260000</v>
      </c>
      <c r="D32" s="1944">
        <v>7</v>
      </c>
      <c r="E32" s="734">
        <v>9260000</v>
      </c>
      <c r="F32" s="734"/>
      <c r="G32" s="734"/>
      <c r="H32" s="734"/>
      <c r="I32" s="1756">
        <f>((E32+F32)-H32)+G32</f>
        <v>9260000</v>
      </c>
      <c r="J32" s="734">
        <v>9252065</v>
      </c>
      <c r="K32" s="736"/>
    </row>
    <row r="33" spans="1:11" ht="12" customHeight="1" x14ac:dyDescent="0.2">
      <c r="A33" s="1941" t="s">
        <v>2079</v>
      </c>
      <c r="B33" s="1942">
        <v>42766</v>
      </c>
      <c r="C33" s="1943">
        <v>15730000</v>
      </c>
      <c r="D33" s="1944">
        <v>7</v>
      </c>
      <c r="E33" s="734">
        <v>15475000</v>
      </c>
      <c r="F33" s="734"/>
      <c r="G33" s="734"/>
      <c r="H33" s="734">
        <v>635000</v>
      </c>
      <c r="I33" s="1756">
        <f t="shared" ref="I33:I48" si="1">((E33+F33)-H33)+G33</f>
        <v>14840000</v>
      </c>
      <c r="J33" s="734">
        <v>14827282</v>
      </c>
      <c r="K33" s="736"/>
    </row>
    <row r="34" spans="1:11" ht="12" customHeight="1" x14ac:dyDescent="0.2">
      <c r="A34" s="1941" t="s">
        <v>2079</v>
      </c>
      <c r="B34" s="1942">
        <v>42914</v>
      </c>
      <c r="C34" s="1945">
        <v>10000000</v>
      </c>
      <c r="D34" s="1944">
        <v>7</v>
      </c>
      <c r="E34" s="734">
        <v>9630000</v>
      </c>
      <c r="F34" s="734"/>
      <c r="G34" s="734"/>
      <c r="H34" s="734">
        <v>355000</v>
      </c>
      <c r="I34" s="1756">
        <f t="shared" si="1"/>
        <v>9275000</v>
      </c>
      <c r="J34" s="734">
        <v>9267052</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35685000</v>
      </c>
      <c r="D49" s="745"/>
      <c r="E49" s="1756">
        <f t="shared" ref="E49:J49" si="2">SUM(E31:E48)</f>
        <v>34625000</v>
      </c>
      <c r="F49" s="1756">
        <f t="shared" si="2"/>
        <v>0</v>
      </c>
      <c r="G49" s="1756">
        <f t="shared" si="2"/>
        <v>0</v>
      </c>
      <c r="H49" s="1756">
        <f t="shared" si="2"/>
        <v>1035000</v>
      </c>
      <c r="I49" s="1756">
        <f t="shared" si="2"/>
        <v>33590000</v>
      </c>
      <c r="J49" s="1756">
        <f t="shared" si="2"/>
        <v>33561215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D42" sqref="D42:H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1964</v>
      </c>
      <c r="B3" s="2241"/>
      <c r="C3" s="2241"/>
      <c r="D3" s="2241"/>
      <c r="E3" s="2242"/>
      <c r="F3" s="763"/>
      <c r="G3" s="764"/>
      <c r="H3" s="764">
        <v>0</v>
      </c>
      <c r="I3" s="764"/>
      <c r="J3" s="765"/>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62686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1" t="s">
        <v>1813</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7"/>
      <c r="G12" s="1758">
        <f>SUM(G5:G11)</f>
        <v>0</v>
      </c>
      <c r="H12" s="1758">
        <f>SUM(H5:H11)</f>
        <v>62686</v>
      </c>
      <c r="I12" s="1758">
        <f>SUM(I5:I11)</f>
        <v>0</v>
      </c>
      <c r="J12" s="1758">
        <f>SUM(J5:J11)</f>
        <v>0</v>
      </c>
      <c r="K12" s="1758">
        <f>SUM(K5:K11)</f>
        <v>0</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v>62686</v>
      </c>
      <c r="I14" s="771"/>
      <c r="J14" s="773"/>
      <c r="K14" s="765"/>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1809</v>
      </c>
      <c r="B19" s="2230"/>
      <c r="C19" s="2230"/>
      <c r="D19" s="2230"/>
      <c r="E19" s="2231"/>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9"/>
      <c r="G21" s="792"/>
      <c r="H21" s="796"/>
      <c r="I21" s="796"/>
      <c r="J21" s="1760">
        <f>SUM(J18:J20)</f>
        <v>0</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1"/>
      <c r="G23" s="1758">
        <f>SUM(G14:G16,G21,G22)</f>
        <v>0</v>
      </c>
      <c r="H23" s="1758">
        <f>SUM(H14:H16,H21,H22)</f>
        <v>62686</v>
      </c>
      <c r="I23" s="1758">
        <f>SUM(I14:I16,I21,I22)</f>
        <v>0</v>
      </c>
      <c r="J23" s="1758">
        <f>SUM(J14:J16,J21,J22)</f>
        <v>0</v>
      </c>
      <c r="K23" s="1758">
        <f>SUM(K14:K16,K21,K22)</f>
        <v>0</v>
      </c>
    </row>
    <row r="24" spans="1:11" ht="14.25" thickTop="1" thickBot="1" x14ac:dyDescent="0.25">
      <c r="A24" s="2252" t="s">
        <v>1965</v>
      </c>
      <c r="B24" s="2251"/>
      <c r="C24" s="2251"/>
      <c r="D24" s="2251"/>
      <c r="E24" s="225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42" sqref="D42:H4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1909</v>
      </c>
      <c r="B1" s="2258"/>
      <c r="C1" s="2259"/>
      <c r="D1" s="826"/>
      <c r="E1" s="827"/>
      <c r="F1" s="827"/>
      <c r="G1" s="828"/>
      <c r="H1" s="829"/>
      <c r="I1" s="830"/>
      <c r="J1" s="2255"/>
      <c r="K1" s="2256"/>
      <c r="L1" s="225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v>1360597</v>
      </c>
      <c r="D6" s="765"/>
      <c r="E6" s="765"/>
      <c r="F6" s="1760">
        <f>(C6+D6)-E6</f>
        <v>1360597</v>
      </c>
      <c r="G6" s="837">
        <v>50</v>
      </c>
      <c r="H6" s="765"/>
      <c r="I6" s="765"/>
      <c r="J6" s="765"/>
      <c r="K6" s="1769">
        <f>(H6+I6)-J6</f>
        <v>0</v>
      </c>
      <c r="L6" s="1769">
        <f>F6-K6</f>
        <v>1360597</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5310580</v>
      </c>
      <c r="D8" s="844">
        <v>30817420</v>
      </c>
      <c r="E8" s="844"/>
      <c r="F8" s="1760">
        <f>(C8+D8)-E8</f>
        <v>36128000</v>
      </c>
      <c r="G8" s="843">
        <v>50</v>
      </c>
      <c r="H8" s="765">
        <v>451601</v>
      </c>
      <c r="I8" s="765"/>
      <c r="J8" s="765"/>
      <c r="K8" s="1769">
        <f>(H8+I8)-J8</f>
        <v>451601</v>
      </c>
      <c r="L8" s="1769">
        <f>F8-K8</f>
        <v>35676399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2002114</v>
      </c>
      <c r="D12" s="844"/>
      <c r="E12" s="844">
        <v>32539</v>
      </c>
      <c r="F12" s="1760">
        <f>(C12+D12)-E12</f>
        <v>1969575</v>
      </c>
      <c r="G12" s="843">
        <v>10</v>
      </c>
      <c r="H12" s="765">
        <v>348661</v>
      </c>
      <c r="I12" s="765">
        <v>144620</v>
      </c>
      <c r="J12" s="765"/>
      <c r="K12" s="1769">
        <f>(H12+I12)-J12</f>
        <v>493281</v>
      </c>
      <c r="L12" s="1769">
        <f>F12-K12</f>
        <v>1476294</v>
      </c>
    </row>
    <row r="13" spans="1:14" ht="14.25" thickTop="1" thickBot="1" x14ac:dyDescent="0.25">
      <c r="A13" s="848" t="s">
        <v>1122</v>
      </c>
      <c r="B13" s="840">
        <v>252</v>
      </c>
      <c r="C13" s="844">
        <v>1011107</v>
      </c>
      <c r="D13" s="844"/>
      <c r="E13" s="844"/>
      <c r="F13" s="1760">
        <f>(C13+D13)-E13</f>
        <v>1011107</v>
      </c>
      <c r="G13" s="843">
        <v>5</v>
      </c>
      <c r="H13" s="765">
        <v>255782</v>
      </c>
      <c r="I13" s="765">
        <v>149772</v>
      </c>
      <c r="J13" s="765"/>
      <c r="K13" s="1769">
        <f>(H13+I13)-J13</f>
        <v>405554</v>
      </c>
      <c r="L13" s="1769">
        <f>F13-K13</f>
        <v>605553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28399129</v>
      </c>
      <c r="D15" s="844"/>
      <c r="E15" s="844">
        <v>28399129</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38083527</v>
      </c>
      <c r="D16" s="1760">
        <f>SUM(D3,D5:D6,D8:D10,D12:D15)</f>
        <v>30817420</v>
      </c>
      <c r="E16" s="1760">
        <f>SUM(E3,E5:E6,E8:E10,E12:E15)</f>
        <v>28431668</v>
      </c>
      <c r="F16" s="1760">
        <f>SUM(F3,F5:F6,F8:F10,F12:F15)</f>
        <v>40469279</v>
      </c>
      <c r="G16" s="843"/>
      <c r="H16" s="1760">
        <f>SUM(H3,H6,H8:H10,H12:H14,)</f>
        <v>1056044</v>
      </c>
      <c r="I16" s="1760">
        <f>SUM(I3,I6,I8:I10,I12:I14,)</f>
        <v>294392</v>
      </c>
      <c r="J16" s="1760">
        <f>SUM(J3,J6,J8:J10,J12:J14,)</f>
        <v>0</v>
      </c>
      <c r="K16" s="1760">
        <f>(H16+I16)-J16</f>
        <v>1350436</v>
      </c>
      <c r="L16" s="1760">
        <f>F16-K16</f>
        <v>39118843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294392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D42" sqref="D42:H42"/>
      <selection pane="bottomLeft" activeCell="D42" sqref="D42:H4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1975</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8801411</v>
      </c>
      <c r="G8" s="865"/>
    </row>
    <row r="9" spans="1:7" x14ac:dyDescent="0.2">
      <c r="A9" s="869" t="s">
        <v>460</v>
      </c>
      <c r="B9" s="870" t="s">
        <v>1877</v>
      </c>
      <c r="C9" s="871"/>
      <c r="D9" s="869" t="s">
        <v>501</v>
      </c>
      <c r="E9" s="868"/>
      <c r="F9" s="1909">
        <f>'Expenditures 15-22'!K151</f>
        <v>860717</v>
      </c>
      <c r="G9" s="872"/>
    </row>
    <row r="10" spans="1:7" x14ac:dyDescent="0.2">
      <c r="A10" s="869" t="s">
        <v>499</v>
      </c>
      <c r="B10" s="870" t="s">
        <v>1878</v>
      </c>
      <c r="C10" s="871"/>
      <c r="D10" s="869" t="s">
        <v>501</v>
      </c>
      <c r="E10" s="868"/>
      <c r="F10" s="1909">
        <f>'Expenditures 15-22'!K174</f>
        <v>2343056</v>
      </c>
      <c r="G10" s="872"/>
    </row>
    <row r="11" spans="1:7" x14ac:dyDescent="0.2">
      <c r="A11" s="869" t="s">
        <v>461</v>
      </c>
      <c r="B11" s="870" t="s">
        <v>1879</v>
      </c>
      <c r="C11" s="871"/>
      <c r="D11" s="869" t="s">
        <v>501</v>
      </c>
      <c r="E11" s="868"/>
      <c r="F11" s="1909">
        <f>'Expenditures 15-22'!K210</f>
        <v>901726</v>
      </c>
      <c r="G11" s="872"/>
    </row>
    <row r="12" spans="1:7" x14ac:dyDescent="0.2">
      <c r="A12" s="869" t="s">
        <v>462</v>
      </c>
      <c r="B12" s="870" t="s">
        <v>1880</v>
      </c>
      <c r="C12" s="871"/>
      <c r="D12" s="869" t="s">
        <v>501</v>
      </c>
      <c r="E12" s="868"/>
      <c r="F12" s="1909">
        <f>'Expenditures 15-22'!K295</f>
        <v>299386</v>
      </c>
      <c r="G12" s="872"/>
    </row>
    <row r="13" spans="1:7" x14ac:dyDescent="0.2">
      <c r="A13" s="869" t="s">
        <v>106</v>
      </c>
      <c r="B13" s="870" t="s">
        <v>1881</v>
      </c>
      <c r="C13" s="871"/>
      <c r="D13" s="869" t="s">
        <v>501</v>
      </c>
      <c r="E13" s="868"/>
      <c r="F13" s="1909">
        <f>'Expenditures 15-22'!K342</f>
        <v>198000</v>
      </c>
      <c r="G13" s="873"/>
    </row>
    <row r="14" spans="1:7" ht="12" customHeight="1" thickBot="1" x14ac:dyDescent="0.25">
      <c r="A14" s="1770"/>
      <c r="B14" s="1771"/>
      <c r="C14" s="1772"/>
      <c r="D14" s="1773" t="s">
        <v>501</v>
      </c>
      <c r="E14" s="1774" t="s">
        <v>958</v>
      </c>
      <c r="F14" s="1775">
        <f>SUM(F8:F13)</f>
        <v>13404296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30731</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45814</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5930</v>
      </c>
      <c r="G52" s="865"/>
    </row>
    <row r="53" spans="1:7" x14ac:dyDescent="0.2">
      <c r="A53" s="869" t="s">
        <v>459</v>
      </c>
      <c r="B53" s="869" t="s">
        <v>1475</v>
      </c>
      <c r="C53" s="889">
        <f>'Expenditures 15-22'!B102</f>
        <v>4000</v>
      </c>
      <c r="D53" s="888" t="str">
        <f>'Expenditures 15-22'!A102</f>
        <v>Total Payments to Other Govt Units</v>
      </c>
      <c r="E53" s="868"/>
      <c r="F53" s="1913">
        <f>'Expenditures 15-22'!K102</f>
        <v>925000</v>
      </c>
      <c r="G53" s="865"/>
    </row>
    <row r="54" spans="1:7" x14ac:dyDescent="0.2">
      <c r="A54" s="869" t="s">
        <v>459</v>
      </c>
      <c r="B54" s="869" t="s">
        <v>1476</v>
      </c>
      <c r="C54" s="889" t="s">
        <v>982</v>
      </c>
      <c r="D54" s="885" t="s">
        <v>1095</v>
      </c>
      <c r="E54" s="868"/>
      <c r="F54" s="1913">
        <f>'Expenditures 15-22'!G114</f>
        <v>31215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2422</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1035000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1961</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2078073</v>
      </c>
      <c r="G76" s="865"/>
    </row>
    <row r="77" spans="1:8" s="893" customFormat="1" ht="12" customHeight="1" thickTop="1" thickBot="1" x14ac:dyDescent="0.25">
      <c r="A77" s="1779"/>
      <c r="B77" s="1776"/>
      <c r="C77" s="1772"/>
      <c r="D77" s="1777" t="s">
        <v>1900</v>
      </c>
      <c r="E77" s="1774"/>
      <c r="F77" s="1780">
        <f>(F14-F76)</f>
        <v>11326223</v>
      </c>
      <c r="G77" s="869"/>
    </row>
    <row r="78" spans="1:8" s="893" customFormat="1" ht="12" customHeight="1" thickTop="1" x14ac:dyDescent="0.2">
      <c r="A78" s="1781"/>
      <c r="B78" s="1776"/>
      <c r="C78" s="1772"/>
      <c r="D78" s="1777" t="s">
        <v>2062</v>
      </c>
      <c r="E78" s="1774"/>
      <c r="F78" s="898">
        <v>416.9</v>
      </c>
      <c r="G78" s="899"/>
      <c r="H78" s="869"/>
    </row>
    <row r="79" spans="1:8" s="893" customFormat="1" ht="12" customHeight="1" thickBot="1" x14ac:dyDescent="0.25">
      <c r="A79" s="1782"/>
      <c r="B79" s="1776"/>
      <c r="C79" s="1772"/>
      <c r="D79" s="1777" t="s">
        <v>1901</v>
      </c>
      <c r="E79" s="1774" t="s">
        <v>958</v>
      </c>
      <c r="F79" s="1783">
        <f>IF(F78&gt;0,F77/F78," Complete Line 78")</f>
        <v>27167.721276085394</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220</v>
      </c>
      <c r="G94" s="912"/>
    </row>
    <row r="95" spans="1:7" x14ac:dyDescent="0.2">
      <c r="A95" s="908" t="s">
        <v>140</v>
      </c>
      <c r="B95" s="908" t="s">
        <v>175</v>
      </c>
      <c r="C95" s="910">
        <v>1700</v>
      </c>
      <c r="D95" s="918" t="str">
        <f>'Revenues 9-14'!A82</f>
        <v>Total District/School Activity Income</v>
      </c>
      <c r="E95" s="906"/>
      <c r="F95" s="1789">
        <f>SUM('Revenues 9-14'!C82,'Revenues 9-14'!D82)</f>
        <v>4120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15</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4000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6366</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7446</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420536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32641</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405402</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187049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15773</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78924</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17339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18773</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106710</v>
      </c>
      <c r="G171" s="927"/>
    </row>
    <row r="172" spans="1:7" x14ac:dyDescent="0.2">
      <c r="A172" s="1918" t="s">
        <v>664</v>
      </c>
      <c r="B172" s="1919" t="s">
        <v>1920</v>
      </c>
      <c r="C172" s="1920">
        <v>3300</v>
      </c>
      <c r="D172" s="1921" t="s">
        <v>1923</v>
      </c>
      <c r="E172" s="906"/>
      <c r="F172" s="1906">
        <v>22755</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1328069</v>
      </c>
    </row>
    <row r="175" spans="1:7" ht="12" customHeight="1" x14ac:dyDescent="0.2">
      <c r="A175" s="1770"/>
      <c r="B175" s="1784"/>
      <c r="C175" s="1785"/>
      <c r="D175" s="1786" t="s">
        <v>2057</v>
      </c>
      <c r="E175" s="1787"/>
      <c r="F175" s="1789">
        <f>'PCTC-OEPP 27-28'!F77-F174</f>
        <v>9998154</v>
      </c>
    </row>
    <row r="176" spans="1:7" ht="12" customHeight="1" x14ac:dyDescent="0.2">
      <c r="A176" s="1770"/>
      <c r="B176" s="1784"/>
      <c r="C176" s="1785"/>
      <c r="D176" s="1786" t="s">
        <v>1817</v>
      </c>
      <c r="E176" s="1787"/>
      <c r="F176" s="1789">
        <f>'Cap Outlay Deprec 26'!I18</f>
        <v>294392</v>
      </c>
    </row>
    <row r="177" spans="1:7" ht="12" customHeight="1" x14ac:dyDescent="0.2">
      <c r="A177" s="1770"/>
      <c r="B177" s="1784"/>
      <c r="C177" s="1785"/>
      <c r="D177" s="1786" t="s">
        <v>2058</v>
      </c>
      <c r="E177" s="1787"/>
      <c r="F177" s="1789">
        <f>F175+F176</f>
        <v>10292546</v>
      </c>
    </row>
    <row r="178" spans="1:7" ht="12" customHeight="1" x14ac:dyDescent="0.2">
      <c r="A178" s="1770"/>
      <c r="B178" s="1790"/>
      <c r="C178" s="1785"/>
      <c r="D178" s="1786" t="str">
        <f>D78</f>
        <v>9 Month ADA from District Average Daily Attendance/Prior General State Aid Inquiry 2018-2019</v>
      </c>
      <c r="E178" s="1787"/>
      <c r="F178" s="1791">
        <f>'PCTC-OEPP 27-28'!F78</f>
        <v>416.9</v>
      </c>
      <c r="G178" s="930"/>
    </row>
    <row r="179" spans="1:7" ht="12" customHeight="1" thickBot="1" x14ac:dyDescent="0.25">
      <c r="A179" s="1770"/>
      <c r="B179" s="1790"/>
      <c r="C179" s="1785"/>
      <c r="D179" s="1786" t="s">
        <v>2059</v>
      </c>
      <c r="E179" s="1787" t="s">
        <v>1545</v>
      </c>
      <c r="F179" s="1792">
        <f>F177/F178</f>
        <v>24688.284960422166</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BreakPreview" topLeftCell="A6" zoomScaleNormal="100" zoomScaleSheetLayoutView="100" workbookViewId="0">
      <selection activeCell="D42" sqref="D42:H4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1932</v>
      </c>
      <c r="B7" s="2281"/>
      <c r="C7" s="2281"/>
      <c r="D7" s="2281"/>
      <c r="E7" s="2281"/>
      <c r="F7" s="2281"/>
      <c r="G7" s="2282"/>
    </row>
    <row r="8" spans="1:7" ht="15.75" customHeight="1" x14ac:dyDescent="0.25">
      <c r="A8" s="2283" t="s">
        <v>1907</v>
      </c>
      <c r="B8" s="2284"/>
      <c r="C8" s="2284"/>
      <c r="D8" s="2284"/>
      <c r="E8" s="2284"/>
      <c r="F8" s="2284"/>
      <c r="G8" s="2285"/>
    </row>
    <row r="9" spans="1:7" ht="35.25" customHeight="1" x14ac:dyDescent="0.25">
      <c r="A9" s="2280" t="s">
        <v>1935</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1934</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1976</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6" t="s">
        <v>2088</v>
      </c>
      <c r="B17" s="1940" t="s">
        <v>2087</v>
      </c>
      <c r="C17" s="1939" t="s">
        <v>2085</v>
      </c>
      <c r="D17" s="1844">
        <v>45593</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20593</v>
      </c>
      <c r="H17" s="1647"/>
    </row>
    <row r="18" spans="1:8" x14ac:dyDescent="0.25">
      <c r="A18" s="1946" t="s">
        <v>2088</v>
      </c>
      <c r="B18" s="1940" t="s">
        <v>2087</v>
      </c>
      <c r="C18" s="1939" t="s">
        <v>2086</v>
      </c>
      <c r="D18" s="1844">
        <v>143351</v>
      </c>
      <c r="E18" s="1540">
        <f t="shared" ref="E18:E140" si="2">IF(D18&lt;=25000,D18,IF(D18&gt;25000,25000,0))</f>
        <v>25000</v>
      </c>
      <c r="F18" s="1932">
        <f t="shared" si="1"/>
        <v>25000</v>
      </c>
      <c r="G18" s="1793">
        <f t="shared" ref="G18:G140" si="3">IF(F18=0,0,D18-F18)</f>
        <v>118351</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188944</v>
      </c>
      <c r="E141" s="1541">
        <f t="shared" si="0"/>
        <v>25000</v>
      </c>
      <c r="F141" s="1933">
        <f>SUM(F17:F140)</f>
        <v>50000</v>
      </c>
      <c r="G141" s="1795">
        <f>SUM(G17:G140)</f>
        <v>138944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D42" sqref="D42:H4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136933</v>
      </c>
      <c r="F10" s="974"/>
      <c r="G10" s="975"/>
      <c r="H10" s="162"/>
      <c r="I10" s="162"/>
    </row>
    <row r="11" spans="1:9" s="668" customFormat="1" ht="22.5" customHeight="1" x14ac:dyDescent="0.2">
      <c r="A11" s="2291" t="s">
        <v>1977</v>
      </c>
      <c r="B11" s="2292"/>
      <c r="C11" s="2292"/>
      <c r="D11" s="2293"/>
      <c r="E11" s="977">
        <v>26840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5989600</v>
      </c>
      <c r="F19" s="1799"/>
      <c r="G19" s="1801">
        <f>'Expenditures 15-22'!K33-SUM('Expenditures 15-22'!G33,'Expenditures 15-22'!I33)+'Expenditures 15-22'!D229</f>
        <v>5989600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174957</v>
      </c>
      <c r="F21" s="1802"/>
      <c r="G21" s="1805">
        <f>'Expenditures 15-22'!K42-SUM('Expenditures 15-22'!G42,'Expenditures 15-22'!I42)+'Expenditures 15-22'!K120-SUM('Expenditures 15-22'!G120,'Expenditures 15-22'!I120)+'Expenditures 15-22'!K180-SUM('Expenditures 15-22'!G180,'Expenditures 15-22'!I180)+'Expenditures 15-22'!D238</f>
        <v>174957</v>
      </c>
      <c r="H21" s="987"/>
      <c r="I21" s="162"/>
    </row>
    <row r="22" spans="1:9" s="668" customFormat="1" ht="12" customHeight="1" x14ac:dyDescent="0.2">
      <c r="A22" s="994" t="s">
        <v>564</v>
      </c>
      <c r="B22" s="995"/>
      <c r="C22" s="993">
        <v>2200</v>
      </c>
      <c r="D22" s="1802"/>
      <c r="E22" s="1804">
        <f>'Expenditures 15-22'!K47-SUM('Expenditures 15-22'!G47,'Expenditures 15-22'!I47)+'Expenditures 15-22'!D243</f>
        <v>169283</v>
      </c>
      <c r="F22" s="1802"/>
      <c r="G22" s="1805">
        <f>'Expenditures 15-22'!K47-SUM('Expenditures 15-22'!G47,'Expenditures 15-22'!I47)+'Expenditures 15-22'!D243</f>
        <v>169283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540753</v>
      </c>
      <c r="F23" s="1802"/>
      <c r="G23" s="1804">
        <f>'Expenditures 15-22'!K53-SUM('Expenditures 15-22'!G53,'Expenditures 15-22'!I53)+'Expenditures 15-22'!D257+'Expenditures 15-22'!K330-SUM('Expenditures 15-22'!G330,'Expenditures 15-22'!I330)</f>
        <v>540753</v>
      </c>
      <c r="H23" s="987"/>
      <c r="I23" s="162"/>
    </row>
    <row r="24" spans="1:9" s="668" customFormat="1" ht="12" customHeight="1" x14ac:dyDescent="0.2">
      <c r="A24" s="994" t="s">
        <v>566</v>
      </c>
      <c r="B24" s="995"/>
      <c r="C24" s="993">
        <v>2400</v>
      </c>
      <c r="D24" s="1802"/>
      <c r="E24" s="1804">
        <f>'Expenditures 15-22'!K57-SUM('Expenditures 15-22'!G57,'Expenditures 15-22'!I57)+'Expenditures 15-22'!D261</f>
        <v>454103</v>
      </c>
      <c r="F24" s="1802"/>
      <c r="G24" s="1805">
        <f>'Expenditures 15-22'!K57-SUM('Expenditures 15-22'!G57,'Expenditures 15-22'!I57)+'Expenditures 15-22'!D261</f>
        <v>454103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136466</v>
      </c>
      <c r="E27" s="1804">
        <f>E8</f>
        <v>0</v>
      </c>
      <c r="F27" s="1804">
        <f>'Expenditures 15-22'!K60-SUM('Expenditures 15-22'!G60,'Expenditures 15-22'!I60)+'Expenditures 15-22'!D264-E8</f>
        <v>136466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903584</v>
      </c>
      <c r="F28" s="1806">
        <f>'Expenditures 15-22'!K61-SUM('Expenditures 15-22'!G61,'Expenditures 15-22'!I61)+'Expenditures 15-22'!K124-SUM('Expenditures 15-22'!G124,'Expenditures 15-22'!I124)+'Expenditures 15-22'!D266-E9</f>
        <v>903584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973158</v>
      </c>
      <c r="F29" s="1802"/>
      <c r="G29" s="1805">
        <f>'Expenditures 15-22'!K62-SUM('Expenditures 15-22'!G62,'Expenditures 15-22'!I62)+'Expenditures 15-22'!K125-SUM('Expenditures 15-22'!G125,'Expenditures 15-22'!I125)+'Expenditures 15-22'!K182-SUM('Expenditures 15-22'!G182,'Expenditures 15-22'!I182)+'Expenditures 15-22'!D267</f>
        <v>973158</v>
      </c>
      <c r="H29" s="985"/>
    </row>
    <row r="30" spans="1:9" ht="12" customHeight="1" x14ac:dyDescent="0.2">
      <c r="A30" s="994" t="s">
        <v>100</v>
      </c>
      <c r="B30" s="997"/>
      <c r="C30" s="993">
        <v>2560</v>
      </c>
      <c r="D30" s="1802"/>
      <c r="E30" s="1804">
        <f>'Expenditures 15-22'!K63-SUM('Expenditures 15-22'!G63,'Expenditures 15-22'!I63)+'Expenditures 15-22'!D268-E10</f>
        <v>375330</v>
      </c>
      <c r="F30" s="1802"/>
      <c r="G30" s="1804">
        <f>'Expenditures 15-22'!K63-SUM('Expenditures 15-22'!G63,'Expenditures 15-22'!I63)+'Expenditures 15-22'!D268-E10</f>
        <v>375330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241637</v>
      </c>
      <c r="F35" s="1802"/>
      <c r="G35" s="1804">
        <f>'Expenditures 15-22'!K69-SUM('Expenditures 15-22'!G69,'Expenditures 15-22'!I69)+'Expenditures 15-22'!D274</f>
        <v>241637</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869</v>
      </c>
      <c r="F38" s="1802"/>
      <c r="G38" s="1804">
        <f>'Expenditures 15-22'!K73-SUM('Expenditures 15-22'!G73,'Expenditures 15-22'!I73)+'Expenditures 15-22'!K128-SUM('Expenditures 15-22'!G128,'Expenditures 15-22'!I128)+'Expenditures 15-22'!K183-SUM('Expenditures 15-22'!G183,'Expenditures 15-22'!I183)+'Expenditures 15-22'!D278</f>
        <v>869</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5930</v>
      </c>
      <c r="F39" s="1802"/>
      <c r="G39" s="1804">
        <f>'Expenditures 15-22'!K75-SUM('Expenditures 15-22'!G75,'Expenditures 15-22'!I75)+'Expenditures 15-22'!K130-SUM('Expenditures 15-22'!G130,'Expenditures 15-22'!I130)+'Expenditures 15-22'!K185-SUM('Expenditures 15-22'!G185,'Expenditures 15-22'!I185)+'Expenditures 15-22'!D280</f>
        <v>5930</v>
      </c>
    </row>
    <row r="40" spans="1:7" ht="12" customHeight="1" x14ac:dyDescent="0.2">
      <c r="A40" s="990" t="s">
        <v>1823</v>
      </c>
      <c r="B40" s="991"/>
      <c r="C40" s="993"/>
      <c r="D40" s="1802"/>
      <c r="E40" s="1806">
        <f>-'Contracts Paid in CY 29'!G141</f>
        <v>-138944</v>
      </c>
      <c r="F40" s="1802"/>
      <c r="G40" s="1806">
        <f>-'Contracts Paid in CY 29'!G141</f>
        <v>-138944</v>
      </c>
    </row>
    <row r="41" spans="1:7" ht="12" customHeight="1" x14ac:dyDescent="0.2">
      <c r="A41" s="998" t="s">
        <v>156</v>
      </c>
      <c r="B41" s="999"/>
      <c r="C41" s="1000"/>
      <c r="D41" s="1806">
        <f>SUM(D19:D39)</f>
        <v>136466</v>
      </c>
      <c r="E41" s="1806">
        <f>SUM(E19:E40)</f>
        <v>9690260</v>
      </c>
      <c r="F41" s="1806">
        <f>SUM(F19:F39)</f>
        <v>1040050</v>
      </c>
      <c r="G41" s="1806">
        <f>SUM(G19:G40)</f>
        <v>8786676</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136466</v>
      </c>
      <c r="F43" s="1807" t="s">
        <v>473</v>
      </c>
      <c r="G43" s="1808">
        <f>F41</f>
        <v>1040050</v>
      </c>
    </row>
    <row r="44" spans="1:7" ht="12" customHeight="1" x14ac:dyDescent="0.2">
      <c r="A44" s="987"/>
      <c r="B44" s="162"/>
      <c r="C44" s="1001"/>
      <c r="D44" s="1807" t="s">
        <v>474</v>
      </c>
      <c r="E44" s="1808">
        <f>E41</f>
        <v>9690260</v>
      </c>
      <c r="F44" s="1807" t="s">
        <v>474</v>
      </c>
      <c r="G44" s="1808">
        <f>G41</f>
        <v>8786676</v>
      </c>
    </row>
    <row r="45" spans="1:7" ht="12" customHeight="1" x14ac:dyDescent="0.2">
      <c r="A45" s="987"/>
      <c r="B45" s="162"/>
      <c r="C45" s="162"/>
      <c r="D45" s="1809" t="s">
        <v>1006</v>
      </c>
      <c r="E45" s="1810">
        <f>(E43/E44)</f>
        <v>1.4082800667887136E-2</v>
      </c>
      <c r="F45" s="1809" t="s">
        <v>1006</v>
      </c>
      <c r="G45" s="1810">
        <f>(G43/G44)</f>
        <v>0.11836671797161975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D42" sqref="D42:H42"/>
      <selection pane="bottomLeft" activeCell="A42" sqref="A42:H4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1379</v>
      </c>
      <c r="B1" s="2308"/>
      <c r="C1" s="2308"/>
      <c r="D1" s="2308"/>
      <c r="E1" s="2308"/>
      <c r="F1" s="2308"/>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9" t="s">
        <v>1546</v>
      </c>
      <c r="B5" s="2310"/>
      <c r="C5" s="2311"/>
      <c r="D5" s="2311"/>
      <c r="E5" s="2311"/>
      <c r="F5" s="2311"/>
    </row>
    <row r="6" spans="1:10" ht="12" customHeight="1" x14ac:dyDescent="0.25">
      <c r="A6" s="1850"/>
      <c r="B6" s="1851"/>
      <c r="C6" s="2312" t="str">
        <f>COVER!A17</f>
        <v>Laraway CCSD 70C</v>
      </c>
      <c r="D6" s="2312"/>
      <c r="E6" s="2312"/>
      <c r="F6" s="1852"/>
    </row>
    <row r="7" spans="1:10" ht="11.25" customHeight="1" thickBot="1" x14ac:dyDescent="0.3">
      <c r="A7" s="1850"/>
      <c r="B7" s="1851"/>
      <c r="C7" s="2313" t="str">
        <f>COVER!A13</f>
        <v>56099070C04</v>
      </c>
      <c r="D7" s="2313"/>
      <c r="E7" s="2313"/>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947" t="s">
        <v>2064</v>
      </c>
      <c r="D17" s="1947" t="s">
        <v>2064</v>
      </c>
      <c r="E17" s="1948" t="s">
        <v>2064</v>
      </c>
      <c r="F17" s="1949" t="s">
        <v>2080</v>
      </c>
      <c r="H17" s="1878">
        <f t="shared" si="0"/>
        <v>5</v>
      </c>
      <c r="I17" s="1878">
        <f t="shared" si="1"/>
        <v>5</v>
      </c>
      <c r="J17" s="1878">
        <f t="shared" si="2"/>
        <v>5</v>
      </c>
    </row>
    <row r="18" spans="1:12" ht="12" customHeight="1" x14ac:dyDescent="0.2">
      <c r="A18" s="1863" t="s">
        <v>1390</v>
      </c>
      <c r="B18" s="1864"/>
      <c r="C18" s="1947"/>
      <c r="D18" s="1947"/>
      <c r="E18" s="1948"/>
      <c r="F18" s="1949"/>
      <c r="H18" s="1878">
        <f t="shared" si="0"/>
        <v>0</v>
      </c>
      <c r="I18" s="1878">
        <f t="shared" si="1"/>
        <v>0</v>
      </c>
      <c r="J18" s="1878">
        <f t="shared" si="2"/>
        <v>0</v>
      </c>
    </row>
    <row r="19" spans="1:12" ht="12" customHeight="1" x14ac:dyDescent="0.2">
      <c r="A19" s="1863" t="s">
        <v>1527</v>
      </c>
      <c r="B19" s="1864"/>
      <c r="C19" s="1947" t="s">
        <v>2064</v>
      </c>
      <c r="D19" s="1947" t="s">
        <v>2064</v>
      </c>
      <c r="E19" s="1948" t="s">
        <v>2064</v>
      </c>
      <c r="F19" s="1949" t="s">
        <v>2081</v>
      </c>
      <c r="H19" s="1878">
        <f t="shared" si="0"/>
        <v>5</v>
      </c>
      <c r="I19" s="1878">
        <f t="shared" si="1"/>
        <v>5</v>
      </c>
      <c r="J19" s="1878">
        <f t="shared" si="2"/>
        <v>5</v>
      </c>
    </row>
    <row r="20" spans="1:12" ht="12" customHeight="1" x14ac:dyDescent="0.2">
      <c r="A20" s="1863" t="s">
        <v>1528</v>
      </c>
      <c r="B20" s="1864"/>
      <c r="C20" s="1947" t="s">
        <v>2064</v>
      </c>
      <c r="D20" s="1947" t="s">
        <v>2064</v>
      </c>
      <c r="E20" s="1948" t="s">
        <v>2064</v>
      </c>
      <c r="F20" s="1949" t="s">
        <v>2082</v>
      </c>
      <c r="H20" s="1878">
        <f t="shared" si="0"/>
        <v>5</v>
      </c>
      <c r="I20" s="1878">
        <f t="shared" si="1"/>
        <v>5</v>
      </c>
      <c r="J20" s="1878">
        <f t="shared" si="2"/>
        <v>5</v>
      </c>
    </row>
    <row r="21" spans="1:12" ht="12" customHeight="1" x14ac:dyDescent="0.2">
      <c r="A21" s="1863" t="s">
        <v>1529</v>
      </c>
      <c r="B21" s="1864"/>
      <c r="C21" s="1947"/>
      <c r="D21" s="1947"/>
      <c r="E21" s="1948"/>
      <c r="F21" s="1949"/>
      <c r="H21" s="1878">
        <f t="shared" si="0"/>
        <v>0</v>
      </c>
      <c r="I21" s="1878">
        <f t="shared" si="1"/>
        <v>0</v>
      </c>
      <c r="J21" s="1878">
        <f t="shared" si="2"/>
        <v>0</v>
      </c>
    </row>
    <row r="22" spans="1:12" ht="12" customHeight="1" x14ac:dyDescent="0.2">
      <c r="A22" s="1863" t="s">
        <v>1530</v>
      </c>
      <c r="B22" s="1864"/>
      <c r="C22" s="1947"/>
      <c r="D22" s="1947"/>
      <c r="E22" s="1948"/>
      <c r="F22" s="1949"/>
      <c r="H22" s="1878">
        <f t="shared" si="0"/>
        <v>0</v>
      </c>
      <c r="I22" s="1878">
        <f t="shared" si="1"/>
        <v>0</v>
      </c>
      <c r="J22" s="1878">
        <f t="shared" si="2"/>
        <v>0</v>
      </c>
    </row>
    <row r="23" spans="1:12" ht="12" customHeight="1" x14ac:dyDescent="0.2">
      <c r="A23" s="1863" t="s">
        <v>1531</v>
      </c>
      <c r="B23" s="1864"/>
      <c r="C23" s="1947"/>
      <c r="D23" s="1947"/>
      <c r="E23" s="1948"/>
      <c r="F23" s="1949"/>
      <c r="H23" s="1878">
        <f t="shared" si="0"/>
        <v>0</v>
      </c>
      <c r="I23" s="1878">
        <f t="shared" si="1"/>
        <v>0</v>
      </c>
      <c r="J23" s="1878">
        <f t="shared" si="2"/>
        <v>0</v>
      </c>
    </row>
    <row r="24" spans="1:12" ht="12" customHeight="1" x14ac:dyDescent="0.2">
      <c r="A24" s="1863" t="s">
        <v>1532</v>
      </c>
      <c r="B24" s="1864"/>
      <c r="C24" s="1947" t="s">
        <v>2064</v>
      </c>
      <c r="D24" s="1947" t="s">
        <v>2064</v>
      </c>
      <c r="E24" s="1948" t="s">
        <v>2064</v>
      </c>
      <c r="F24" s="1949" t="s">
        <v>2083</v>
      </c>
      <c r="H24" s="1878">
        <f t="shared" si="0"/>
        <v>5</v>
      </c>
      <c r="I24" s="1878">
        <f t="shared" si="1"/>
        <v>5</v>
      </c>
      <c r="J24" s="1878">
        <f t="shared" si="2"/>
        <v>5</v>
      </c>
    </row>
    <row r="25" spans="1:12" ht="12" customHeight="1" x14ac:dyDescent="0.2">
      <c r="A25" s="1863" t="s">
        <v>1533</v>
      </c>
      <c r="B25" s="1864"/>
      <c r="C25" s="1947"/>
      <c r="D25" s="1947"/>
      <c r="E25" s="1948"/>
      <c r="F25" s="1949"/>
      <c r="H25" s="1878">
        <f t="shared" si="0"/>
        <v>0</v>
      </c>
      <c r="I25" s="1878">
        <f t="shared" si="1"/>
        <v>0</v>
      </c>
      <c r="J25" s="1878">
        <f t="shared" si="2"/>
        <v>0</v>
      </c>
    </row>
    <row r="26" spans="1:12" ht="12" customHeight="1" x14ac:dyDescent="0.2">
      <c r="A26" s="1863" t="s">
        <v>1534</v>
      </c>
      <c r="B26" s="1864"/>
      <c r="C26" s="1947" t="s">
        <v>2064</v>
      </c>
      <c r="D26" s="1947" t="s">
        <v>2064</v>
      </c>
      <c r="E26" s="1948" t="s">
        <v>2064</v>
      </c>
      <c r="F26" s="1949" t="s">
        <v>2084</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1392</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1391</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D42" sqref="D42:H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Laraway CCSD 70C</v>
      </c>
      <c r="J6" s="2322"/>
      <c r="Q6" s="1664"/>
    </row>
    <row r="7" spans="1:17" x14ac:dyDescent="0.2">
      <c r="A7" s="2323" t="s">
        <v>869</v>
      </c>
      <c r="B7" s="2324"/>
      <c r="C7" s="2324"/>
      <c r="D7" s="2324"/>
      <c r="E7" s="2325"/>
      <c r="F7" s="1017"/>
      <c r="G7" s="1009"/>
      <c r="H7" s="1016" t="s">
        <v>372</v>
      </c>
      <c r="I7" s="2326" t="str">
        <f>COVER!A13</f>
        <v>56099070C04</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268833</v>
      </c>
      <c r="F12" s="1039"/>
      <c r="G12" s="1811">
        <f t="shared" ref="G12:G18" si="0">SUM(E12:F12)</f>
        <v>268833</v>
      </c>
      <c r="H12" s="1040">
        <v>282800</v>
      </c>
      <c r="I12" s="1039"/>
      <c r="J12" s="1811">
        <f t="shared" ref="J12:J18" si="1">SUM(H12:I12)</f>
        <v>282800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268833</v>
      </c>
      <c r="F19" s="1813">
        <f t="shared" si="2"/>
        <v>0</v>
      </c>
      <c r="G19" s="1813">
        <f t="shared" si="2"/>
        <v>268833</v>
      </c>
      <c r="H19" s="1813">
        <f t="shared" si="2"/>
        <v>282800</v>
      </c>
      <c r="I19" s="1813">
        <f t="shared" si="2"/>
        <v>0</v>
      </c>
      <c r="J19" s="1813">
        <f t="shared" si="2"/>
        <v>282800</v>
      </c>
    </row>
    <row r="20" spans="1:10" ht="13.5" thickTop="1" x14ac:dyDescent="0.2">
      <c r="A20" s="1035">
        <v>9</v>
      </c>
      <c r="B20" s="2333" t="s">
        <v>1981</v>
      </c>
      <c r="C20" s="2333"/>
      <c r="D20" s="2334"/>
      <c r="E20" s="1046"/>
      <c r="F20" s="1046"/>
      <c r="G20" s="1046"/>
      <c r="H20" s="1046"/>
      <c r="I20" s="1046"/>
      <c r="J20" s="1814">
        <f>IF(AND(G19&gt;0,J19&gt;0),(((J19-G19)/G19)),"Enter Budget Data")</f>
        <v>5.1954187171961777E-2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1983</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42" sqref="D42:H4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Laraway CCSD 70C</v>
      </c>
    </row>
    <row r="65" spans="2:2" x14ac:dyDescent="0.2">
      <c r="B65" s="1070" t="str">
        <f>COVER!A13</f>
        <v>56099070C04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3" zoomScale="110" zoomScaleNormal="110" workbookViewId="0">
      <selection activeCell="A42" sqref="A42:H4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2" sqref="D42:H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42" sqref="D42:H4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1988</v>
      </c>
      <c r="B4" s="2361"/>
      <c r="C4" s="2361"/>
      <c r="D4" s="2361"/>
      <c r="E4" s="2361"/>
      <c r="F4" s="2362"/>
      <c r="G4" s="1074"/>
      <c r="H4" s="1074"/>
    </row>
    <row r="5" spans="1:8" ht="14.25" customHeight="1" x14ac:dyDescent="0.2">
      <c r="A5" s="2363" t="s">
        <v>1984</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8647534</v>
      </c>
      <c r="C8" s="1815">
        <f>'Acct Summary 7-8'!D8</f>
        <v>2712551</v>
      </c>
      <c r="D8" s="1815">
        <f>'Acct Summary 7-8'!F8</f>
        <v>622830</v>
      </c>
      <c r="E8" s="1815">
        <f>'Acct Summary 7-8'!I8</f>
        <v>98800</v>
      </c>
      <c r="F8" s="1815">
        <f>SUM(B8:E8)</f>
        <v>12081715</v>
      </c>
    </row>
    <row r="9" spans="1:8" s="1079" customFormat="1" ht="14.25" customHeight="1" thickBot="1" x14ac:dyDescent="0.25">
      <c r="A9" s="1078" t="s">
        <v>1369</v>
      </c>
      <c r="B9" s="1816">
        <f>'Acct Summary 7-8'!C17</f>
        <v>8801411</v>
      </c>
      <c r="C9" s="1816">
        <f>'Acct Summary 7-8'!D17</f>
        <v>860717</v>
      </c>
      <c r="D9" s="1816">
        <f>'Acct Summary 7-8'!F17</f>
        <v>901726</v>
      </c>
      <c r="E9" s="1815"/>
      <c r="F9" s="1815">
        <f>SUM(B9:E9)</f>
        <v>10563854</v>
      </c>
    </row>
    <row r="10" spans="1:8" s="1079" customFormat="1" ht="14.25" thickTop="1" thickBot="1" x14ac:dyDescent="0.25">
      <c r="A10" s="1080" t="s">
        <v>1370</v>
      </c>
      <c r="B10" s="1817">
        <f>(B8-B9)</f>
        <v>-153877</v>
      </c>
      <c r="C10" s="1817">
        <f>(C8-C9)</f>
        <v>1851834</v>
      </c>
      <c r="D10" s="1817">
        <f>(D8-D9)</f>
        <v>-278896</v>
      </c>
      <c r="E10" s="1816">
        <f>(E8-E9)</f>
        <v>98800</v>
      </c>
      <c r="F10" s="1818">
        <f>SUM(F8-F9)</f>
        <v>1517861</v>
      </c>
    </row>
    <row r="11" spans="1:8" s="1079" customFormat="1" ht="14.25" thickTop="1" thickBot="1" x14ac:dyDescent="0.25">
      <c r="A11" s="1081" t="s">
        <v>1985</v>
      </c>
      <c r="B11" s="1819">
        <f>'Acct Summary 7-8'!C81</f>
        <v>11738498</v>
      </c>
      <c r="C11" s="1819">
        <f>'Acct Summary 7-8'!D81</f>
        <v>391750</v>
      </c>
      <c r="D11" s="1819">
        <f>'Acct Summary 7-8'!F81</f>
        <v>746885</v>
      </c>
      <c r="E11" s="1819">
        <f>'Acct Summary 7-8'!I81</f>
        <v>0</v>
      </c>
      <c r="F11" s="1820">
        <f>SUM(B11:E11)</f>
        <v>12877133</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D42" sqref="D42:H4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56099070C04</v>
      </c>
    </row>
    <row r="3" spans="1:2" x14ac:dyDescent="0.2">
      <c r="A3" t="s">
        <v>956</v>
      </c>
      <c r="B3" s="138" t="str">
        <f>COVER!A15</f>
        <v>WILL</v>
      </c>
    </row>
    <row r="4" spans="1:2" x14ac:dyDescent="0.2">
      <c r="A4" t="s">
        <v>1007</v>
      </c>
      <c r="B4" s="138" t="str">
        <f>COVER!A17</f>
        <v>Laraway CCSD 70C</v>
      </c>
    </row>
    <row r="5" spans="1:2" x14ac:dyDescent="0.2">
      <c r="A5" t="s">
        <v>704</v>
      </c>
      <c r="B5" s="138" t="str">
        <f>COVER!A38</f>
        <v>DR. JOSEPH R SALMIERI III</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v>
      </c>
    </row>
    <row r="19" spans="1:2" x14ac:dyDescent="0.2">
      <c r="A19" t="s">
        <v>886</v>
      </c>
      <c r="B19" s="138">
        <f>COVER!T25</f>
        <v>0</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815-744-6400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2245473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11738498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11738498</v>
      </c>
      <c r="D92" s="2" t="str">
        <f t="shared" si="0"/>
        <v>Error?</v>
      </c>
    </row>
    <row r="93" spans="1:4" x14ac:dyDescent="0.2">
      <c r="A93" s="5">
        <v>32</v>
      </c>
      <c r="B93" s="138">
        <f>'Assets-Liab 5-6'!C41</f>
        <v>11738498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391750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391750</v>
      </c>
      <c r="D123" s="2" t="str">
        <f t="shared" si="0"/>
        <v>Error?</v>
      </c>
    </row>
    <row r="124" spans="1:4" x14ac:dyDescent="0.2">
      <c r="A124" s="5">
        <v>63</v>
      </c>
      <c r="B124" s="138">
        <f>'Assets-Liab 5-6'!D41</f>
        <v>391750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28785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28785</v>
      </c>
      <c r="D140" s="2" t="str">
        <f t="shared" si="1"/>
        <v>Error?</v>
      </c>
    </row>
    <row r="141" spans="1:4" x14ac:dyDescent="0.2">
      <c r="A141" s="5">
        <v>80</v>
      </c>
      <c r="B141" s="138">
        <f>'Assets-Liab 5-6'!E41</f>
        <v>28785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746885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746885</v>
      </c>
      <c r="D170" s="2" t="str">
        <f t="shared" si="1"/>
        <v>Error?</v>
      </c>
    </row>
    <row r="171" spans="1:4" x14ac:dyDescent="0.2">
      <c r="A171" s="5">
        <v>110</v>
      </c>
      <c r="B171" s="138">
        <f>'Assets-Liab 5-6'!F41</f>
        <v>746885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438276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438276</v>
      </c>
      <c r="D189" s="2" t="str">
        <f t="shared" si="1"/>
        <v>Error?</v>
      </c>
    </row>
    <row r="190" spans="1:4" x14ac:dyDescent="0.2">
      <c r="A190" s="5">
        <v>129</v>
      </c>
      <c r="B190" s="138">
        <f>'Assets-Liab 5-6'!G41</f>
        <v>438276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1360597</v>
      </c>
      <c r="D273" s="2" t="str">
        <f t="shared" si="3"/>
        <v>Error?</v>
      </c>
    </row>
    <row r="274" spans="1:4" x14ac:dyDescent="0.2">
      <c r="A274" s="5">
        <v>213</v>
      </c>
      <c r="B274" s="138">
        <f>'Assets-Liab 5-6'!M17</f>
        <v>36128000</v>
      </c>
      <c r="D274" s="2" t="str">
        <f t="shared" si="3"/>
        <v>Error?</v>
      </c>
    </row>
    <row r="275" spans="1:4" x14ac:dyDescent="0.2">
      <c r="A275" s="5">
        <v>214</v>
      </c>
      <c r="B275" s="138">
        <f>'Assets-Liab 5-6'!M18</f>
        <v>0</v>
      </c>
      <c r="D275" s="2" t="str">
        <f t="shared" si="3"/>
        <v>Error?</v>
      </c>
    </row>
    <row r="276" spans="1:4" x14ac:dyDescent="0.2">
      <c r="A276" s="5">
        <v>215</v>
      </c>
      <c r="B276" s="138">
        <f>'Assets-Liab 5-6'!M19</f>
        <v>2980682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40469279</v>
      </c>
      <c r="C279" s="2" t="s">
        <v>573</v>
      </c>
      <c r="D279" s="2" t="str">
        <f t="shared" si="3"/>
        <v>Error?</v>
      </c>
    </row>
    <row r="280" spans="1:4" x14ac:dyDescent="0.2">
      <c r="A280" s="5">
        <v>219</v>
      </c>
      <c r="B280" s="138">
        <f>'Assets-Liab 5-6'!M40</f>
        <v>40469279</v>
      </c>
      <c r="D280" s="2" t="str">
        <f t="shared" si="3"/>
        <v>Error?</v>
      </c>
    </row>
    <row r="281" spans="1:4" x14ac:dyDescent="0.2">
      <c r="A281" s="5">
        <v>220</v>
      </c>
      <c r="B281" s="138">
        <f>'Assets-Liab 5-6'!M41</f>
        <v>40469279</v>
      </c>
      <c r="C281" s="2" t="s">
        <v>573</v>
      </c>
      <c r="D281" s="2" t="str">
        <f t="shared" si="3"/>
        <v>Error?</v>
      </c>
    </row>
    <row r="282" spans="1:4" x14ac:dyDescent="0.2">
      <c r="A282" s="5">
        <v>221</v>
      </c>
      <c r="B282" s="138">
        <f>'Assets-Liab 5-6'!N21</f>
        <v>28785</v>
      </c>
      <c r="D282" s="2" t="str">
        <f t="shared" si="3"/>
        <v>Error?</v>
      </c>
    </row>
    <row r="283" spans="1:4" x14ac:dyDescent="0.2">
      <c r="A283" s="5">
        <v>222</v>
      </c>
      <c r="B283" s="138">
        <f>'Assets-Liab 5-6'!N22</f>
        <v>33561215</v>
      </c>
      <c r="D283" s="2" t="str">
        <f t="shared" si="3"/>
        <v>Error?</v>
      </c>
    </row>
    <row r="284" spans="1:4" x14ac:dyDescent="0.2">
      <c r="A284" s="5">
        <v>223</v>
      </c>
      <c r="B284" s="138">
        <f>'Assets-Liab 5-6'!N23</f>
        <v>33590000</v>
      </c>
      <c r="C284" s="2" t="s">
        <v>573</v>
      </c>
      <c r="D284" s="2" t="str">
        <f t="shared" si="3"/>
        <v>Error?</v>
      </c>
    </row>
    <row r="285" spans="1:4" x14ac:dyDescent="0.2">
      <c r="A285" s="5">
        <v>224</v>
      </c>
      <c r="B285" s="138">
        <f>'Assets-Liab 5-6'!N36</f>
        <v>33590000</v>
      </c>
      <c r="D285" s="2" t="str">
        <f t="shared" si="3"/>
        <v>Error?</v>
      </c>
    </row>
    <row r="286" spans="1:4" x14ac:dyDescent="0.2">
      <c r="A286" s="10">
        <v>225</v>
      </c>
      <c r="D286" s="2" t="str">
        <f t="shared" si="3"/>
        <v>OK</v>
      </c>
    </row>
    <row r="287" spans="1:4" x14ac:dyDescent="0.2">
      <c r="A287" s="5">
        <v>226</v>
      </c>
      <c r="B287" s="138">
        <f>'Assets-Liab 5-6'!N37</f>
        <v>33590000</v>
      </c>
      <c r="C287" s="2" t="s">
        <v>573</v>
      </c>
      <c r="D287" s="2" t="str">
        <f t="shared" si="3"/>
        <v>Error?</v>
      </c>
    </row>
    <row r="288" spans="1:4" x14ac:dyDescent="0.2">
      <c r="A288" s="5">
        <v>227</v>
      </c>
      <c r="B288" s="138">
        <f>'Assets-Liab 5-6'!N41</f>
        <v>33590000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2082136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246484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114639</v>
      </c>
      <c r="D718" s="2" t="str">
        <f t="shared" si="10"/>
        <v>Error?</v>
      </c>
    </row>
    <row r="719" spans="1:4" x14ac:dyDescent="0.2">
      <c r="A719" s="5">
        <v>658</v>
      </c>
      <c r="B719" s="138">
        <f>'Expenditures 15-22'!C15</f>
        <v>37407</v>
      </c>
      <c r="D719" s="2" t="str">
        <f t="shared" si="10"/>
        <v>Error?</v>
      </c>
    </row>
    <row r="720" spans="1:4" x14ac:dyDescent="0.2">
      <c r="A720" s="5">
        <v>659</v>
      </c>
      <c r="B720" s="138">
        <f>'Expenditures 15-22'!C33</f>
        <v>3318616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71775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71775</v>
      </c>
      <c r="C727" s="2" t="s">
        <v>573</v>
      </c>
      <c r="D727" s="2" t="str">
        <f t="shared" si="10"/>
        <v>Error?</v>
      </c>
    </row>
    <row r="728" spans="1:4" x14ac:dyDescent="0.2">
      <c r="A728" s="5">
        <v>667</v>
      </c>
      <c r="B728" s="138">
        <f>'Expenditures 15-22'!C44</f>
        <v>18874</v>
      </c>
      <c r="D728" s="2" t="str">
        <f t="shared" si="10"/>
        <v>Error?</v>
      </c>
    </row>
    <row r="729" spans="1:4" x14ac:dyDescent="0.2">
      <c r="A729" s="5">
        <v>668</v>
      </c>
      <c r="B729" s="138">
        <f>'Expenditures 15-22'!C45</f>
        <v>93650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112524</v>
      </c>
      <c r="C731" s="2" t="s">
        <v>573</v>
      </c>
      <c r="D731" s="2" t="str">
        <f t="shared" si="10"/>
        <v>Error?</v>
      </c>
    </row>
    <row r="732" spans="1:4" x14ac:dyDescent="0.2">
      <c r="A732" s="5">
        <v>671</v>
      </c>
      <c r="B732" s="138">
        <f>'Expenditures 15-22'!C49</f>
        <v>9698</v>
      </c>
      <c r="D732" s="2" t="str">
        <f t="shared" si="10"/>
        <v>Error?</v>
      </c>
    </row>
    <row r="733" spans="1:4" x14ac:dyDescent="0.2">
      <c r="A733" s="5">
        <v>672</v>
      </c>
      <c r="B733" s="138">
        <f>'Expenditures 15-22'!C50</f>
        <v>196415</v>
      </c>
      <c r="D733" s="2" t="str">
        <f t="shared" si="10"/>
        <v>Error?</v>
      </c>
    </row>
    <row r="734" spans="1:4" x14ac:dyDescent="0.2">
      <c r="A734" s="5">
        <v>673</v>
      </c>
      <c r="B734" s="138">
        <f>'Expenditures 15-22'!C53</f>
        <v>206113</v>
      </c>
      <c r="C734" s="2" t="s">
        <v>573</v>
      </c>
      <c r="D734" s="2" t="str">
        <f t="shared" si="10"/>
        <v>Error?</v>
      </c>
    </row>
    <row r="735" spans="1:4" x14ac:dyDescent="0.2">
      <c r="A735" s="5">
        <v>674</v>
      </c>
      <c r="B735" s="138">
        <f>'Expenditures 15-22'!C55</f>
        <v>305160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305160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87617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182331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269948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88363</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88363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1053883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4372499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489223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3488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1330</v>
      </c>
      <c r="D776" s="2" t="str">
        <f t="shared" si="11"/>
        <v>Error?</v>
      </c>
    </row>
    <row r="777" spans="1:4" x14ac:dyDescent="0.2">
      <c r="A777" s="5">
        <v>716</v>
      </c>
      <c r="B777" s="138">
        <f>'Expenditures 15-22'!D15</f>
        <v>2440</v>
      </c>
      <c r="D777" s="2" t="str">
        <f t="shared" si="11"/>
        <v>Error?</v>
      </c>
    </row>
    <row r="778" spans="1:4" x14ac:dyDescent="0.2">
      <c r="A778" s="5">
        <v>717</v>
      </c>
      <c r="B778" s="138">
        <f>'Expenditures 15-22'!D33</f>
        <v>662381</v>
      </c>
      <c r="C778" s="2" t="s">
        <v>573</v>
      </c>
      <c r="D778" s="2" t="str">
        <f t="shared" si="11"/>
        <v>Error?</v>
      </c>
    </row>
    <row r="779" spans="1:4" x14ac:dyDescent="0.2">
      <c r="A779" s="5">
        <v>718</v>
      </c>
      <c r="B779" s="138">
        <f>'Expenditures 15-22'!D36</f>
        <v>69749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14192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83941</v>
      </c>
      <c r="C785" s="2" t="s">
        <v>573</v>
      </c>
      <c r="D785" s="2" t="str">
        <f t="shared" si="11"/>
        <v>Error?</v>
      </c>
    </row>
    <row r="786" spans="1:4" x14ac:dyDescent="0.2">
      <c r="A786" s="5">
        <v>725</v>
      </c>
      <c r="B786" s="138">
        <f>'Expenditures 15-22'!D44</f>
        <v>1494</v>
      </c>
      <c r="D786" s="2" t="str">
        <f t="shared" si="11"/>
        <v>Error?</v>
      </c>
    </row>
    <row r="787" spans="1:4" x14ac:dyDescent="0.2">
      <c r="A787" s="5">
        <v>726</v>
      </c>
      <c r="B787" s="138">
        <f>'Expenditures 15-22'!D45</f>
        <v>21337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22831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58677</v>
      </c>
      <c r="D791" s="2" t="str">
        <f t="shared" si="11"/>
        <v>Error?</v>
      </c>
    </row>
    <row r="792" spans="1:4" x14ac:dyDescent="0.2">
      <c r="A792" s="5">
        <v>731</v>
      </c>
      <c r="B792" s="138">
        <f>'Expenditures 15-22'!D53</f>
        <v>58677</v>
      </c>
      <c r="C792" s="2" t="s">
        <v>573</v>
      </c>
      <c r="D792" s="2" t="str">
        <f t="shared" si="11"/>
        <v>Error?</v>
      </c>
    </row>
    <row r="793" spans="1:4" x14ac:dyDescent="0.2">
      <c r="A793" s="5">
        <v>732</v>
      </c>
      <c r="B793" s="138">
        <f>'Expenditures 15-22'!D55</f>
        <v>125363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125363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27102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17355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44457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18101</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18101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353370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1015751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55187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8412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79259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13000</v>
      </c>
      <c r="D844" s="2" t="str">
        <f t="shared" si="12"/>
        <v>Error?</v>
      </c>
    </row>
    <row r="845" spans="1:4" x14ac:dyDescent="0.2">
      <c r="A845" s="5">
        <v>784</v>
      </c>
      <c r="B845" s="138">
        <f>'Expenditures 15-22'!E45</f>
        <v>1454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14454</v>
      </c>
      <c r="C847" s="2" t="s">
        <v>573</v>
      </c>
      <c r="D847" s="2" t="str">
        <f t="shared" si="12"/>
        <v>Error?</v>
      </c>
    </row>
    <row r="848" spans="1:4" x14ac:dyDescent="0.2">
      <c r="A848" s="5">
        <v>787</v>
      </c>
      <c r="B848" s="138">
        <f>'Expenditures 15-22'!E49</f>
        <v>27083</v>
      </c>
      <c r="D848" s="2" t="str">
        <f t="shared" si="12"/>
        <v>Error?</v>
      </c>
    </row>
    <row r="849" spans="1:4" x14ac:dyDescent="0.2">
      <c r="A849" s="5">
        <v>788</v>
      </c>
      <c r="B849" s="138">
        <f>'Expenditures 15-22'!E50</f>
        <v>2500</v>
      </c>
      <c r="D849" s="2" t="str">
        <f t="shared" si="12"/>
        <v>Error?</v>
      </c>
    </row>
    <row r="850" spans="1:4" x14ac:dyDescent="0.2">
      <c r="A850" s="5">
        <v>789</v>
      </c>
      <c r="B850" s="138">
        <f>'Expenditures 15-22'!E53</f>
        <v>29583</v>
      </c>
      <c r="C850" s="2" t="s">
        <v>573</v>
      </c>
      <c r="D850" s="2" t="str">
        <f t="shared" si="12"/>
        <v>Error?</v>
      </c>
    </row>
    <row r="851" spans="1:4" x14ac:dyDescent="0.2">
      <c r="A851" s="5">
        <v>790</v>
      </c>
      <c r="B851" s="138">
        <f>'Expenditures 15-22'!E55</f>
        <v>2395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2395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7990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12521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6799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6799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65752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795011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1762707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7338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11591</v>
      </c>
      <c r="D892" s="2" t="str">
        <f t="shared" si="12"/>
        <v>Error?</v>
      </c>
    </row>
    <row r="893" spans="1:4" x14ac:dyDescent="0.2">
      <c r="A893" s="5">
        <v>832</v>
      </c>
      <c r="B893" s="138">
        <f>'Expenditures 15-22'!F15</f>
        <v>5967</v>
      </c>
      <c r="D893" s="2" t="str">
        <f t="shared" si="12"/>
        <v>Error?</v>
      </c>
    </row>
    <row r="894" spans="1:4" x14ac:dyDescent="0.2">
      <c r="A894" s="5">
        <v>833</v>
      </c>
      <c r="B894" s="138">
        <f>'Expenditures 15-22'!F33</f>
        <v>1817013</v>
      </c>
      <c r="C894" s="2" t="s">
        <v>573</v>
      </c>
      <c r="D894" s="2" t="str">
        <f t="shared" si="12"/>
        <v>Error?</v>
      </c>
    </row>
    <row r="895" spans="1:4" x14ac:dyDescent="0.2">
      <c r="A895" s="5">
        <v>834</v>
      </c>
      <c r="B895" s="138">
        <f>'Expenditures 15-22'!F36</f>
        <v>500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2776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3276</v>
      </c>
      <c r="C901" s="2" t="s">
        <v>573</v>
      </c>
      <c r="D901" s="2" t="str">
        <f t="shared" si="13"/>
        <v>Error?</v>
      </c>
    </row>
    <row r="902" spans="1:4" x14ac:dyDescent="0.2">
      <c r="A902" s="5">
        <v>841</v>
      </c>
      <c r="B902" s="138">
        <f>'Expenditures 15-22'!F44</f>
        <v>2816</v>
      </c>
      <c r="D902" s="2" t="str">
        <f t="shared" si="13"/>
        <v>Error?</v>
      </c>
    </row>
    <row r="903" spans="1:4" x14ac:dyDescent="0.2">
      <c r="A903" s="5">
        <v>842</v>
      </c>
      <c r="B903" s="138">
        <f>'Expenditures 15-22'!F45</f>
        <v>11554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14370</v>
      </c>
      <c r="C905" s="2" t="s">
        <v>573</v>
      </c>
      <c r="D905" s="2" t="str">
        <f t="shared" si="13"/>
        <v>Error?</v>
      </c>
    </row>
    <row r="906" spans="1:4" x14ac:dyDescent="0.2">
      <c r="A906" s="5">
        <v>845</v>
      </c>
      <c r="B906" s="138">
        <f>'Expenditures 15-22'!F49</f>
        <v>19069</v>
      </c>
      <c r="D906" s="2" t="str">
        <f t="shared" si="13"/>
        <v>Error?</v>
      </c>
    </row>
    <row r="907" spans="1:4" x14ac:dyDescent="0.2">
      <c r="A907" s="5">
        <v>846</v>
      </c>
      <c r="B907" s="138">
        <f>'Expenditures 15-22'!F50</f>
        <v>10161</v>
      </c>
      <c r="D907" s="2" t="str">
        <f t="shared" si="13"/>
        <v>Error?</v>
      </c>
    </row>
    <row r="908" spans="1:4" x14ac:dyDescent="0.2">
      <c r="A908" s="5">
        <v>847</v>
      </c>
      <c r="B908" s="138">
        <f>'Expenditures 15-22'!F53</f>
        <v>29230</v>
      </c>
      <c r="C908" s="2" t="s">
        <v>573</v>
      </c>
      <c r="D908" s="2" t="str">
        <f t="shared" si="13"/>
        <v>Error?</v>
      </c>
    </row>
    <row r="909" spans="1:4" x14ac:dyDescent="0.2">
      <c r="A909" s="5">
        <v>848</v>
      </c>
      <c r="B909" s="138">
        <f>'Expenditures 15-22'!F55</f>
        <v>2477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2477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1038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273702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274740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128374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128374</v>
      </c>
      <c r="C927" s="2" t="s">
        <v>573</v>
      </c>
      <c r="D927" s="2" t="str">
        <f t="shared" si="13"/>
        <v>Error?</v>
      </c>
    </row>
    <row r="928" spans="1:4" x14ac:dyDescent="0.2">
      <c r="A928" s="5">
        <v>867</v>
      </c>
      <c r="B928" s="138">
        <f>'Expenditures 15-22'!F73</f>
        <v>869</v>
      </c>
      <c r="D928" s="2" t="str">
        <f t="shared" si="13"/>
        <v>Error?</v>
      </c>
    </row>
    <row r="929" spans="1:4" x14ac:dyDescent="0.2">
      <c r="A929" s="5">
        <v>868</v>
      </c>
      <c r="B929" s="138">
        <f>'Expenditures 15-22'!F74</f>
        <v>453336</v>
      </c>
      <c r="C929" s="2" t="s">
        <v>573</v>
      </c>
      <c r="D929" s="2" t="str">
        <f t="shared" si="13"/>
        <v>Error?</v>
      </c>
    </row>
    <row r="930" spans="1:4" x14ac:dyDescent="0.2">
      <c r="A930" s="5">
        <v>869</v>
      </c>
      <c r="B930" s="138">
        <f>'Expenditures 15-22'!F75</f>
        <v>5930</v>
      </c>
      <c r="D930" s="2" t="str">
        <f t="shared" si="13"/>
        <v>Error?</v>
      </c>
    </row>
    <row r="931" spans="1:4" x14ac:dyDescent="0.2">
      <c r="A931" s="5">
        <v>870</v>
      </c>
      <c r="B931" s="138">
        <f>'Expenditures 15-22'!F114</f>
        <v>2276279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3998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3998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2235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2235</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3788</v>
      </c>
      <c r="D964" s="2" t="str">
        <f t="shared" si="14"/>
        <v>Error?</v>
      </c>
    </row>
    <row r="965" spans="1:4" x14ac:dyDescent="0.2">
      <c r="A965" s="5">
        <v>904</v>
      </c>
      <c r="B965" s="138">
        <f>'Expenditures 15-22'!G50</f>
        <v>0</v>
      </c>
      <c r="D965" s="2" t="str">
        <f t="shared" si="14"/>
        <v>Error?</v>
      </c>
    </row>
    <row r="966" spans="1:4" x14ac:dyDescent="0.2">
      <c r="A966" s="5">
        <v>905</v>
      </c>
      <c r="B966" s="138">
        <f>'Expenditures 15-22'!G53</f>
        <v>3788</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4572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4572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16622</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16622</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27217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31215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14626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3404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18159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349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349</v>
      </c>
      <c r="C1021" s="2" t="s">
        <v>573</v>
      </c>
      <c r="D1021" s="2" t="str">
        <f t="shared" si="14"/>
        <v>Error?</v>
      </c>
    </row>
    <row r="1022" spans="1:4" x14ac:dyDescent="0.2">
      <c r="A1022" s="5">
        <v>961</v>
      </c>
      <c r="B1022" s="138">
        <f>'Expenditures 15-22'!H49</f>
        <v>13890</v>
      </c>
      <c r="D1022" s="2" t="str">
        <f t="shared" si="14"/>
        <v>Error?</v>
      </c>
    </row>
    <row r="1023" spans="1:4" x14ac:dyDescent="0.2">
      <c r="A1023" s="5">
        <v>962</v>
      </c>
      <c r="B1023" s="138">
        <f>'Expenditures 15-22'!H50</f>
        <v>1080</v>
      </c>
      <c r="D1023" s="2" t="str">
        <f t="shared" ref="D1023:D1086" si="15">IF(ISBLANK(B1023),"OK",IF(A1023-B1023=0,"OK","Error?"))</f>
        <v>Error?</v>
      </c>
    </row>
    <row r="1024" spans="1:4" x14ac:dyDescent="0.2">
      <c r="A1024" s="5">
        <v>963</v>
      </c>
      <c r="B1024" s="138">
        <f>'Expenditures 15-22'!H53</f>
        <v>14970</v>
      </c>
      <c r="C1024" s="2" t="s">
        <v>573</v>
      </c>
      <c r="D1024" s="2" t="str">
        <f t="shared" si="15"/>
        <v>Error?</v>
      </c>
    </row>
    <row r="1025" spans="1:4" x14ac:dyDescent="0.2">
      <c r="A1025" s="5">
        <v>964</v>
      </c>
      <c r="B1025" s="138">
        <f>'Expenditures 15-22'!H55</f>
        <v>584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584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689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905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1594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17497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275000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310656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4403879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257310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143374</v>
      </c>
      <c r="C1106" s="2" t="s">
        <v>573</v>
      </c>
      <c r="D1106" s="2" t="str">
        <f t="shared" si="16"/>
        <v>Error?</v>
      </c>
    </row>
    <row r="1107" spans="1:4" x14ac:dyDescent="0.2">
      <c r="A1107" s="5">
        <v>1046</v>
      </c>
      <c r="B1107" s="138">
        <f>'Expenditures 15-22'!K15</f>
        <v>45814</v>
      </c>
      <c r="C1107" s="2" t="s">
        <v>573</v>
      </c>
      <c r="D1107" s="2" t="str">
        <f t="shared" si="16"/>
        <v>Error?</v>
      </c>
    </row>
    <row r="1108" spans="1:4" x14ac:dyDescent="0.2">
      <c r="A1108" s="5">
        <v>1047</v>
      </c>
      <c r="B1108" s="138">
        <f>'Expenditures 15-22'!K33</f>
        <v>5899426</v>
      </c>
      <c r="C1108" s="2" t="s">
        <v>573</v>
      </c>
      <c r="D1108" s="2" t="str">
        <f t="shared" si="16"/>
        <v>Error?</v>
      </c>
    </row>
    <row r="1109" spans="1:4" x14ac:dyDescent="0.2">
      <c r="A1109" s="5">
        <v>1048</v>
      </c>
      <c r="B1109" s="138">
        <f>'Expenditures 15-22'!K36</f>
        <v>70249</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90978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161227</v>
      </c>
      <c r="C1115" s="2" t="s">
        <v>573</v>
      </c>
      <c r="D1115" s="2" t="str">
        <f t="shared" si="16"/>
        <v>Error?</v>
      </c>
    </row>
    <row r="1116" spans="1:4" x14ac:dyDescent="0.2">
      <c r="A1116" s="5">
        <v>1055</v>
      </c>
      <c r="B1116" s="138">
        <f>'Expenditures 15-22'!K44</f>
        <v>36184</v>
      </c>
      <c r="C1116" s="2" t="s">
        <v>573</v>
      </c>
      <c r="D1116" s="2" t="str">
        <f t="shared" si="16"/>
        <v>Error?</v>
      </c>
    </row>
    <row r="1117" spans="1:4" x14ac:dyDescent="0.2">
      <c r="A1117" s="5">
        <v>1056</v>
      </c>
      <c r="B1117" s="138">
        <f>'Expenditures 15-22'!K45</f>
        <v>128344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164528</v>
      </c>
      <c r="C1119" s="2" t="s">
        <v>573</v>
      </c>
      <c r="D1119" s="2" t="str">
        <f t="shared" si="16"/>
        <v>Error?</v>
      </c>
    </row>
    <row r="1120" spans="1:4" x14ac:dyDescent="0.2">
      <c r="A1120" s="5">
        <v>1059</v>
      </c>
      <c r="B1120" s="138">
        <f>'Expenditures 15-22'!K49</f>
        <v>73528</v>
      </c>
      <c r="C1120" s="2" t="s">
        <v>573</v>
      </c>
      <c r="D1120" s="2" t="str">
        <f t="shared" si="16"/>
        <v>Error?</v>
      </c>
    </row>
    <row r="1121" spans="1:4" x14ac:dyDescent="0.2">
      <c r="A1121" s="5">
        <v>1060</v>
      </c>
      <c r="B1121" s="138">
        <f>'Expenditures 15-22'!K50</f>
        <v>268833</v>
      </c>
      <c r="C1121" s="2" t="s">
        <v>573</v>
      </c>
      <c r="D1121" s="2" t="str">
        <f t="shared" si="16"/>
        <v>Error?</v>
      </c>
    </row>
    <row r="1122" spans="1:4" x14ac:dyDescent="0.2">
      <c r="A1122" s="5">
        <v>1061</v>
      </c>
      <c r="B1122" s="138">
        <f>'Expenditures 15-22'!K53</f>
        <v>342361</v>
      </c>
      <c r="C1122" s="2" t="s">
        <v>573</v>
      </c>
      <c r="D1122" s="2" t="str">
        <f t="shared" si="16"/>
        <v>Error?</v>
      </c>
    </row>
    <row r="1123" spans="1:4" x14ac:dyDescent="0.2">
      <c r="A1123" s="5">
        <v>1062</v>
      </c>
      <c r="B1123" s="138">
        <f>'Expenditures 15-22'!K55</f>
        <v>435979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435979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124436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483396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607832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258259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258259</v>
      </c>
      <c r="C1141" s="2" t="s">
        <v>573</v>
      </c>
      <c r="D1141" s="2" t="str">
        <f t="shared" si="16"/>
        <v>Error?</v>
      </c>
    </row>
    <row r="1142" spans="1:4" x14ac:dyDescent="0.2">
      <c r="A1142" s="5">
        <v>1081</v>
      </c>
      <c r="B1142" s="138">
        <f>'Expenditures 15-22'!K73</f>
        <v>869</v>
      </c>
      <c r="C1142" s="2" t="s">
        <v>573</v>
      </c>
      <c r="D1142" s="2" t="str">
        <f t="shared" si="16"/>
        <v>Error?</v>
      </c>
    </row>
    <row r="1143" spans="1:4" x14ac:dyDescent="0.2">
      <c r="A1143" s="5">
        <v>1082</v>
      </c>
      <c r="B1143" s="138">
        <f>'Expenditures 15-22'!K74</f>
        <v>1971055</v>
      </c>
      <c r="C1143" s="2" t="s">
        <v>573</v>
      </c>
      <c r="D1143" s="2" t="str">
        <f t="shared" si="16"/>
        <v>Error?</v>
      </c>
    </row>
    <row r="1144" spans="1:4" x14ac:dyDescent="0.2">
      <c r="A1144" s="5">
        <v>1083</v>
      </c>
      <c r="B1144" s="138">
        <f>'Expenditures 15-22'!K75</f>
        <v>5930</v>
      </c>
      <c r="C1144" s="2" t="s">
        <v>573</v>
      </c>
      <c r="D1144" s="2" t="str">
        <f t="shared" si="16"/>
        <v>Error?</v>
      </c>
    </row>
    <row r="1145" spans="1:4" x14ac:dyDescent="0.2">
      <c r="A1145" s="5">
        <v>1084</v>
      </c>
      <c r="B1145" s="138">
        <f>'Expenditures 15-22'!K102</f>
        <v>925000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8801411</v>
      </c>
      <c r="C1152" s="2" t="s">
        <v>573</v>
      </c>
      <c r="D1152" s="2" t="str">
        <f t="shared" si="17"/>
        <v>Error?</v>
      </c>
    </row>
    <row r="1153" spans="1:4" x14ac:dyDescent="0.2">
      <c r="A1153" s="5">
        <v>1092</v>
      </c>
      <c r="B1153" s="138">
        <f>'Expenditures 15-22'!K115</f>
        <v>-153877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339758</v>
      </c>
      <c r="D1221" s="2" t="str">
        <f t="shared" si="18"/>
        <v>Error?</v>
      </c>
    </row>
    <row r="1222" spans="1:4" x14ac:dyDescent="0.2">
      <c r="A1222" s="10">
        <v>1161</v>
      </c>
      <c r="D1222" s="2" t="str">
        <f t="shared" si="18"/>
        <v>OK</v>
      </c>
    </row>
    <row r="1223" spans="1:4" x14ac:dyDescent="0.2">
      <c r="A1223" s="5">
        <v>1162</v>
      </c>
      <c r="B1223" s="138">
        <f>'Expenditures 15-22'!C127</f>
        <v>339758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339758</v>
      </c>
      <c r="C1225" s="2" t="s">
        <v>573</v>
      </c>
      <c r="D1225" s="2" t="str">
        <f t="shared" si="18"/>
        <v>Error?</v>
      </c>
    </row>
    <row r="1226" spans="1:4" x14ac:dyDescent="0.2">
      <c r="A1226" s="5">
        <v>1165</v>
      </c>
      <c r="B1226" s="138">
        <f>'Expenditures 15-22'!C151</f>
        <v>339758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118051</v>
      </c>
      <c r="D1229" s="2" t="str">
        <f t="shared" si="18"/>
        <v>Error?</v>
      </c>
    </row>
    <row r="1230" spans="1:4" x14ac:dyDescent="0.2">
      <c r="A1230" s="10">
        <v>1169</v>
      </c>
      <c r="D1230" s="2" t="str">
        <f t="shared" si="18"/>
        <v>OK</v>
      </c>
    </row>
    <row r="1231" spans="1:4" x14ac:dyDescent="0.2">
      <c r="A1231" s="5">
        <v>1170</v>
      </c>
      <c r="B1231" s="138">
        <f>'Expenditures 15-22'!D127</f>
        <v>118051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118051</v>
      </c>
      <c r="C1233" s="2" t="s">
        <v>573</v>
      </c>
      <c r="D1233" s="2" t="str">
        <f t="shared" si="18"/>
        <v>Error?</v>
      </c>
    </row>
    <row r="1234" spans="1:4" x14ac:dyDescent="0.2">
      <c r="A1234" s="5">
        <v>1173</v>
      </c>
      <c r="B1234" s="138">
        <f>'Expenditures 15-22'!D151</f>
        <v>118051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193070</v>
      </c>
      <c r="D1237" s="2" t="str">
        <f t="shared" si="18"/>
        <v>Error?</v>
      </c>
    </row>
    <row r="1238" spans="1:4" x14ac:dyDescent="0.2">
      <c r="A1238" s="10">
        <v>1177</v>
      </c>
      <c r="D1238" s="2" t="str">
        <f t="shared" si="18"/>
        <v>OK</v>
      </c>
    </row>
    <row r="1239" spans="1:4" x14ac:dyDescent="0.2">
      <c r="A1239" s="5">
        <v>1178</v>
      </c>
      <c r="B1239" s="138">
        <f>'Expenditures 15-22'!E127</f>
        <v>193070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193070</v>
      </c>
      <c r="C1241" s="2" t="s">
        <v>573</v>
      </c>
      <c r="D1241" s="2" t="str">
        <f t="shared" si="18"/>
        <v>Error?</v>
      </c>
    </row>
    <row r="1242" spans="1:4" x14ac:dyDescent="0.2">
      <c r="A1242" s="5">
        <v>1181</v>
      </c>
      <c r="B1242" s="138">
        <f>'Expenditures 15-22'!E151</f>
        <v>193070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205392</v>
      </c>
      <c r="D1245" s="2" t="str">
        <f t="shared" si="18"/>
        <v>Error?</v>
      </c>
    </row>
    <row r="1246" spans="1:4" x14ac:dyDescent="0.2">
      <c r="A1246" s="10">
        <v>1185</v>
      </c>
      <c r="D1246" s="2" t="str">
        <f t="shared" si="18"/>
        <v>OK</v>
      </c>
    </row>
    <row r="1247" spans="1:4" x14ac:dyDescent="0.2">
      <c r="A1247" s="5">
        <v>1186</v>
      </c>
      <c r="B1247" s="138">
        <f>'Expenditures 15-22'!F127</f>
        <v>205392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205392</v>
      </c>
      <c r="C1249" s="2" t="s">
        <v>573</v>
      </c>
      <c r="D1249" s="2" t="str">
        <f t="shared" si="18"/>
        <v>Error?</v>
      </c>
    </row>
    <row r="1250" spans="1:4" x14ac:dyDescent="0.2">
      <c r="A1250" s="5">
        <v>1189</v>
      </c>
      <c r="B1250" s="138">
        <f>'Expenditures 15-22'!F151</f>
        <v>205392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2422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2422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2422</v>
      </c>
      <c r="C1258" s="2" t="s">
        <v>573</v>
      </c>
      <c r="D1258" s="2" t="str">
        <f t="shared" si="18"/>
        <v>Error?</v>
      </c>
    </row>
    <row r="1259" spans="1:4" x14ac:dyDescent="0.2">
      <c r="A1259" s="5">
        <v>1198</v>
      </c>
      <c r="B1259" s="138">
        <f>'Expenditures 15-22'!G151</f>
        <v>2422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2024</v>
      </c>
      <c r="D1262" s="2" t="str">
        <f t="shared" si="18"/>
        <v>Error?</v>
      </c>
    </row>
    <row r="1263" spans="1:4" x14ac:dyDescent="0.2">
      <c r="A1263" s="10">
        <v>1202</v>
      </c>
      <c r="D1263" s="2" t="str">
        <f t="shared" si="18"/>
        <v>OK</v>
      </c>
    </row>
    <row r="1264" spans="1:4" x14ac:dyDescent="0.2">
      <c r="A1264" s="5">
        <v>1203</v>
      </c>
      <c r="B1264" s="138">
        <f>'Expenditures 15-22'!H127</f>
        <v>2024</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2024</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2024</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860717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860717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860717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860717</v>
      </c>
      <c r="C1288" s="2" t="s">
        <v>573</v>
      </c>
      <c r="D1288" s="2" t="str">
        <f t="shared" si="19"/>
        <v>Error?</v>
      </c>
    </row>
    <row r="1289" spans="1:4" x14ac:dyDescent="0.2">
      <c r="A1289" s="5">
        <v>1228</v>
      </c>
      <c r="B1289" s="138">
        <f>'Expenditures 15-22'!K152</f>
        <v>1851834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1308056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1035000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2343056</v>
      </c>
      <c r="C1317" s="2" t="s">
        <v>573</v>
      </c>
      <c r="D1317" s="2" t="str">
        <f t="shared" si="19"/>
        <v>Error?</v>
      </c>
    </row>
    <row r="1318" spans="1:4" x14ac:dyDescent="0.2">
      <c r="A1318" s="5">
        <v>1257</v>
      </c>
      <c r="B1318" s="138">
        <f>'Expenditures 15-22'!H174</f>
        <v>2343056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1308056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1035000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2343056</v>
      </c>
      <c r="C1331" s="2" t="s">
        <v>573</v>
      </c>
      <c r="D1331" s="2" t="str">
        <f t="shared" si="19"/>
        <v>Error?</v>
      </c>
    </row>
    <row r="1332" spans="1:4" x14ac:dyDescent="0.2">
      <c r="A1332" s="5">
        <v>1271</v>
      </c>
      <c r="B1332" s="138">
        <f>'Expenditures 15-22'!K174</f>
        <v>2343056</v>
      </c>
      <c r="C1332" s="2" t="s">
        <v>573</v>
      </c>
      <c r="D1332" s="2" t="str">
        <f t="shared" si="19"/>
        <v>Error?</v>
      </c>
    </row>
    <row r="1333" spans="1:4" x14ac:dyDescent="0.2">
      <c r="A1333" s="5">
        <v>1272</v>
      </c>
      <c r="B1333" s="138">
        <f>'Expenditures 15-22'!K175</f>
        <v>-2285612</v>
      </c>
      <c r="C1333" s="2" t="s">
        <v>573</v>
      </c>
      <c r="D1333" s="2" t="str">
        <f t="shared" si="19"/>
        <v>Error?</v>
      </c>
    </row>
    <row r="1334" spans="1:4" x14ac:dyDescent="0.2">
      <c r="A1334" s="10">
        <v>1273</v>
      </c>
      <c r="D1334" s="2" t="str">
        <f t="shared" si="19"/>
        <v>OK</v>
      </c>
    </row>
    <row r="1335" spans="1:4" x14ac:dyDescent="0.2">
      <c r="A1335" s="5">
        <v>1274</v>
      </c>
      <c r="B1335" s="138">
        <f>'Expenditures 15-22'!C182</f>
        <v>573578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573578</v>
      </c>
      <c r="C1339" s="2" t="s">
        <v>573</v>
      </c>
      <c r="D1339" s="2" t="str">
        <f t="shared" si="19"/>
        <v>Error?</v>
      </c>
    </row>
    <row r="1340" spans="1:4" x14ac:dyDescent="0.2">
      <c r="A1340" s="5">
        <v>1279</v>
      </c>
      <c r="B1340" s="138">
        <f>'Expenditures 15-22'!C210</f>
        <v>573578</v>
      </c>
      <c r="C1340" s="2" t="s">
        <v>573</v>
      </c>
      <c r="D1340" s="2" t="str">
        <f t="shared" si="19"/>
        <v>Error?</v>
      </c>
    </row>
    <row r="1341" spans="1:4" x14ac:dyDescent="0.2">
      <c r="A1341" s="5">
        <v>1280</v>
      </c>
      <c r="B1341" s="138">
        <f>'Expenditures 15-22'!D182</f>
        <v>10561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10561</v>
      </c>
      <c r="C1345" s="2" t="s">
        <v>573</v>
      </c>
      <c r="D1345" s="2" t="str">
        <f t="shared" si="20"/>
        <v>Error?</v>
      </c>
    </row>
    <row r="1346" spans="1:4" x14ac:dyDescent="0.2">
      <c r="A1346" s="5">
        <v>1285</v>
      </c>
      <c r="B1346" s="138">
        <f>'Expenditures 15-22'!D210</f>
        <v>10561</v>
      </c>
      <c r="C1346" s="2" t="s">
        <v>573</v>
      </c>
      <c r="D1346" s="2" t="str">
        <f t="shared" si="20"/>
        <v>Error?</v>
      </c>
    </row>
    <row r="1347" spans="1:4" x14ac:dyDescent="0.2">
      <c r="A1347" s="5">
        <v>1286</v>
      </c>
      <c r="B1347" s="138">
        <f>'Expenditures 15-22'!E182</f>
        <v>223372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226274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226274</v>
      </c>
      <c r="C1353" s="2" t="s">
        <v>573</v>
      </c>
      <c r="D1353" s="2" t="str">
        <f t="shared" si="20"/>
        <v>Error?</v>
      </c>
    </row>
    <row r="1354" spans="1:4" x14ac:dyDescent="0.2">
      <c r="A1354" s="5">
        <v>1293</v>
      </c>
      <c r="B1354" s="138">
        <f>'Expenditures 15-22'!F182</f>
        <v>88198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90517</v>
      </c>
      <c r="C1358" s="2" t="s">
        <v>573</v>
      </c>
      <c r="D1358" s="2" t="str">
        <f t="shared" si="20"/>
        <v>Error?</v>
      </c>
    </row>
    <row r="1359" spans="1:4" x14ac:dyDescent="0.2">
      <c r="A1359" s="5">
        <v>1298</v>
      </c>
      <c r="B1359" s="138">
        <f>'Expenditures 15-22'!F210</f>
        <v>90517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796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796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796</v>
      </c>
      <c r="C1376" s="2" t="s">
        <v>573</v>
      </c>
      <c r="D1376" s="2" t="str">
        <f t="shared" si="20"/>
        <v>Error?</v>
      </c>
    </row>
    <row r="1377" spans="1:4" x14ac:dyDescent="0.2">
      <c r="A1377" s="5">
        <v>1316</v>
      </c>
      <c r="B1377" s="138">
        <f>'Expenditures 15-22'!K182</f>
        <v>896505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901726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901726</v>
      </c>
      <c r="C1388" s="2" t="s">
        <v>573</v>
      </c>
      <c r="D1388" s="2" t="str">
        <f t="shared" si="20"/>
        <v>Error?</v>
      </c>
    </row>
    <row r="1389" spans="1:4" x14ac:dyDescent="0.2">
      <c r="A1389" s="5">
        <v>1328</v>
      </c>
      <c r="B1389" s="138">
        <f>'Expenditures 15-22'!K211</f>
        <v>-278896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5536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4958</v>
      </c>
      <c r="D1408" s="2" t="str">
        <f t="shared" si="21"/>
        <v>Error?</v>
      </c>
    </row>
    <row r="1409" spans="1:4" x14ac:dyDescent="0.2">
      <c r="A1409" s="5">
        <v>1348</v>
      </c>
      <c r="B1409" s="138">
        <f>'Expenditures 15-22'!D224</f>
        <v>1961</v>
      </c>
      <c r="D1409" s="2" t="str">
        <f t="shared" si="21"/>
        <v>Error?</v>
      </c>
    </row>
    <row r="1410" spans="1:4" x14ac:dyDescent="0.2">
      <c r="A1410" s="5">
        <v>1349</v>
      </c>
      <c r="B1410" s="138">
        <f>'Expenditures 15-22'!D229</f>
        <v>94172</v>
      </c>
      <c r="C1410" s="2" t="s">
        <v>573</v>
      </c>
      <c r="D1410" s="2" t="str">
        <f t="shared" si="21"/>
        <v>Error?</v>
      </c>
    </row>
    <row r="1411" spans="1:4" x14ac:dyDescent="0.2">
      <c r="A1411" s="5">
        <v>1350</v>
      </c>
      <c r="B1411" s="138">
        <f>'Expenditures 15-22'!D232</f>
        <v>876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9868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10744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4755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4755</v>
      </c>
      <c r="C1421" s="2" t="s">
        <v>573</v>
      </c>
      <c r="D1421" s="2" t="str">
        <f t="shared" si="21"/>
        <v>Error?</v>
      </c>
    </row>
    <row r="1422" spans="1:4" x14ac:dyDescent="0.2">
      <c r="A1422" s="5">
        <v>1361</v>
      </c>
      <c r="B1422" s="138">
        <f>'Expenditures 15-22'!D245</f>
        <v>1332</v>
      </c>
      <c r="D1422" s="2" t="str">
        <f t="shared" si="21"/>
        <v>Error?</v>
      </c>
    </row>
    <row r="1423" spans="1:4" x14ac:dyDescent="0.2">
      <c r="A1423" s="5">
        <v>1362</v>
      </c>
      <c r="B1423" s="138">
        <f>'Expenditures 15-22'!D246</f>
        <v>2848</v>
      </c>
      <c r="D1423" s="2" t="str">
        <f t="shared" si="21"/>
        <v>Error?</v>
      </c>
    </row>
    <row r="1424" spans="1:4" x14ac:dyDescent="0.2">
      <c r="A1424" s="5">
        <v>1363</v>
      </c>
      <c r="B1424" s="138">
        <f>'Expenditures 15-22'!D257</f>
        <v>4180</v>
      </c>
      <c r="C1424" s="2" t="s">
        <v>573</v>
      </c>
      <c r="D1424" s="2" t="str">
        <f t="shared" si="21"/>
        <v>Error?</v>
      </c>
    </row>
    <row r="1425" spans="1:4" x14ac:dyDescent="0.2">
      <c r="A1425" s="5">
        <v>1364</v>
      </c>
      <c r="B1425" s="138">
        <f>'Expenditures 15-22'!D259</f>
        <v>18124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18124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12030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45289</v>
      </c>
      <c r="D1431" s="2" t="str">
        <f t="shared" si="21"/>
        <v>Error?</v>
      </c>
    </row>
    <row r="1432" spans="1:4" x14ac:dyDescent="0.2">
      <c r="A1432" s="5">
        <v>1371</v>
      </c>
      <c r="B1432" s="138">
        <f>'Expenditures 15-22'!D267</f>
        <v>76653</v>
      </c>
      <c r="D1432" s="2" t="str">
        <f t="shared" si="21"/>
        <v>Error?</v>
      </c>
    </row>
    <row r="1433" spans="1:4" x14ac:dyDescent="0.2">
      <c r="A1433" s="5">
        <v>1372</v>
      </c>
      <c r="B1433" s="138">
        <f>'Expenditures 15-22'!D268</f>
        <v>33439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167411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205214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299386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5536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4958</v>
      </c>
      <c r="C1472" s="2" t="s">
        <v>573</v>
      </c>
      <c r="D1472" s="2" t="str">
        <f t="shared" si="22"/>
        <v>Error?</v>
      </c>
    </row>
    <row r="1473" spans="1:4" x14ac:dyDescent="0.2">
      <c r="A1473" s="5">
        <v>1412</v>
      </c>
      <c r="B1473" s="138">
        <f>'Expenditures 15-22'!K224</f>
        <v>1961</v>
      </c>
      <c r="C1473" s="2" t="s">
        <v>573</v>
      </c>
      <c r="D1473" s="2" t="str">
        <f t="shared" si="22"/>
        <v>Error?</v>
      </c>
    </row>
    <row r="1474" spans="1:4" x14ac:dyDescent="0.2">
      <c r="A1474" s="5">
        <v>1413</v>
      </c>
      <c r="B1474" s="138">
        <f>'Expenditures 15-22'!K229</f>
        <v>94172</v>
      </c>
      <c r="C1474" s="2" t="s">
        <v>573</v>
      </c>
      <c r="D1474" s="2" t="str">
        <f t="shared" si="22"/>
        <v>Error?</v>
      </c>
    </row>
    <row r="1475" spans="1:4" x14ac:dyDescent="0.2">
      <c r="A1475" s="5">
        <v>1414</v>
      </c>
      <c r="B1475" s="138">
        <f>'Expenditures 15-22'!K232</f>
        <v>876</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9868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10744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4755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4755</v>
      </c>
      <c r="C1485" s="2" t="s">
        <v>573</v>
      </c>
      <c r="D1485" s="2" t="str">
        <f t="shared" si="22"/>
        <v>Error?</v>
      </c>
    </row>
    <row r="1486" spans="1:4" x14ac:dyDescent="0.2">
      <c r="A1486" s="5">
        <v>1425</v>
      </c>
      <c r="B1486" s="138">
        <f>'Expenditures 15-22'!K245</f>
        <v>1332</v>
      </c>
      <c r="C1486" s="2" t="s">
        <v>573</v>
      </c>
      <c r="D1486" s="2" t="str">
        <f t="shared" si="22"/>
        <v>Error?</v>
      </c>
    </row>
    <row r="1487" spans="1:4" x14ac:dyDescent="0.2">
      <c r="A1487" s="5">
        <v>1426</v>
      </c>
      <c r="B1487" s="138">
        <f>'Expenditures 15-22'!K246</f>
        <v>2848</v>
      </c>
      <c r="C1487" s="2" t="s">
        <v>573</v>
      </c>
      <c r="D1487" s="2" t="str">
        <f t="shared" si="22"/>
        <v>Error?</v>
      </c>
    </row>
    <row r="1488" spans="1:4" x14ac:dyDescent="0.2">
      <c r="A1488" s="5">
        <v>1427</v>
      </c>
      <c r="B1488" s="138">
        <f>'Expenditures 15-22'!K257</f>
        <v>4180</v>
      </c>
      <c r="C1488" s="2" t="s">
        <v>573</v>
      </c>
      <c r="D1488" s="2" t="str">
        <f t="shared" si="22"/>
        <v>Error?</v>
      </c>
    </row>
    <row r="1489" spans="1:4" x14ac:dyDescent="0.2">
      <c r="A1489" s="5">
        <v>1428</v>
      </c>
      <c r="B1489" s="138">
        <f>'Expenditures 15-22'!K259</f>
        <v>18124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18124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12030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45289</v>
      </c>
      <c r="C1495" s="2" t="s">
        <v>573</v>
      </c>
      <c r="D1495" s="2" t="str">
        <f t="shared" si="22"/>
        <v>Error?</v>
      </c>
    </row>
    <row r="1496" spans="1:4" x14ac:dyDescent="0.2">
      <c r="A1496" s="5">
        <v>1435</v>
      </c>
      <c r="B1496" s="138">
        <f>'Expenditures 15-22'!K267</f>
        <v>76653</v>
      </c>
      <c r="C1496" s="2" t="s">
        <v>573</v>
      </c>
      <c r="D1496" s="2" t="str">
        <f t="shared" si="22"/>
        <v>Error?</v>
      </c>
    </row>
    <row r="1497" spans="1:4" x14ac:dyDescent="0.2">
      <c r="A1497" s="5">
        <v>1436</v>
      </c>
      <c r="B1497" s="138">
        <f>'Expenditures 15-22'!K268</f>
        <v>33439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167411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205214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299386</v>
      </c>
      <c r="C1517" s="2" t="s">
        <v>573</v>
      </c>
      <c r="D1517" s="2" t="str">
        <f t="shared" si="22"/>
        <v>Error?</v>
      </c>
    </row>
    <row r="1518" spans="1:4" x14ac:dyDescent="0.2">
      <c r="A1518" s="5">
        <v>1457</v>
      </c>
      <c r="B1518" s="138">
        <f>'Expenditures 15-22'!K296</f>
        <v>157917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7023955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7023955</v>
      </c>
      <c r="C1547" s="2" t="s">
        <v>573</v>
      </c>
      <c r="D1547" s="2" t="str">
        <f t="shared" si="23"/>
        <v>Error?</v>
      </c>
    </row>
    <row r="1548" spans="1:4" x14ac:dyDescent="0.2">
      <c r="A1548" s="5">
        <v>1487</v>
      </c>
      <c r="B1548" s="138">
        <f>'Expenditures 15-22'!G312</f>
        <v>7023955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7023955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7023955</v>
      </c>
      <c r="C1559" s="2" t="s">
        <v>573</v>
      </c>
      <c r="D1559" s="2" t="str">
        <f t="shared" si="23"/>
        <v>Error?</v>
      </c>
    </row>
    <row r="1560" spans="1:4" x14ac:dyDescent="0.2">
      <c r="A1560" s="5">
        <v>1499</v>
      </c>
      <c r="B1560" s="138">
        <f>'Expenditures 15-22'!K312</f>
        <v>7023955</v>
      </c>
      <c r="C1560" s="2" t="s">
        <v>573</v>
      </c>
      <c r="D1560" s="2" t="str">
        <f t="shared" si="23"/>
        <v>Error?</v>
      </c>
    </row>
    <row r="1561" spans="1:4" x14ac:dyDescent="0.2">
      <c r="A1561" s="5">
        <v>1500</v>
      </c>
      <c r="B1561" s="138">
        <f>'Expenditures 15-22'!K313</f>
        <v>-7023955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11793575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11738498</v>
      </c>
      <c r="C1630" s="2" t="s">
        <v>573</v>
      </c>
      <c r="D1630" s="2" t="str">
        <f t="shared" si="24"/>
        <v>Error?</v>
      </c>
    </row>
    <row r="1631" spans="1:4" x14ac:dyDescent="0.2">
      <c r="A1631" s="5">
        <v>1570</v>
      </c>
      <c r="B1631" s="138">
        <f>'Acct Summary 7-8'!D79</f>
        <v>823778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391750</v>
      </c>
      <c r="C1644" s="2" t="s">
        <v>573</v>
      </c>
      <c r="D1644" s="2" t="str">
        <f t="shared" si="24"/>
        <v>Error?</v>
      </c>
    </row>
    <row r="1645" spans="1:4" x14ac:dyDescent="0.2">
      <c r="A1645" s="5">
        <v>1584</v>
      </c>
      <c r="B1645" s="138">
        <f>'Acct Summary 7-8'!E79</f>
        <v>30535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28785</v>
      </c>
      <c r="C1658" s="2" t="s">
        <v>573</v>
      </c>
      <c r="D1658" s="2" t="str">
        <f t="shared" si="24"/>
        <v>Error?</v>
      </c>
    </row>
    <row r="1659" spans="1:4" x14ac:dyDescent="0.2">
      <c r="A1659" s="5">
        <v>1598</v>
      </c>
      <c r="B1659" s="138">
        <f>'Acct Summary 7-8'!F79</f>
        <v>1025781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746885</v>
      </c>
      <c r="C1672" s="2" t="s">
        <v>573</v>
      </c>
      <c r="D1672" s="2" t="str">
        <f t="shared" si="25"/>
        <v>Error?</v>
      </c>
    </row>
    <row r="1673" spans="1:4" x14ac:dyDescent="0.2">
      <c r="A1673" s="5">
        <v>1612</v>
      </c>
      <c r="B1673" s="138">
        <f>'Acct Summary 7-8'!G79</f>
        <v>280359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438276</v>
      </c>
      <c r="C1686" s="2" t="s">
        <v>573</v>
      </c>
      <c r="D1686" s="2" t="str">
        <f t="shared" si="25"/>
        <v>Error?</v>
      </c>
    </row>
    <row r="1687" spans="1:4" x14ac:dyDescent="0.2">
      <c r="A1687" s="5">
        <v>1626</v>
      </c>
      <c r="B1687" s="138">
        <f>'Acct Summary 7-8'!H79</f>
        <v>7023955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6067175</v>
      </c>
      <c r="C1744" s="2" t="s">
        <v>573</v>
      </c>
      <c r="D1744" s="2" t="str">
        <f t="shared" si="26"/>
        <v>Error?</v>
      </c>
    </row>
    <row r="1745" spans="1:5" x14ac:dyDescent="0.2">
      <c r="A1745" s="5">
        <v>1684</v>
      </c>
      <c r="B1745" s="138">
        <f>'Tax Sched 23'!B5</f>
        <v>843006</v>
      </c>
      <c r="C1745" s="2" t="s">
        <v>573</v>
      </c>
      <c r="D1745" s="2" t="str">
        <f t="shared" si="26"/>
        <v>Error?</v>
      </c>
    </row>
    <row r="1746" spans="1:5" x14ac:dyDescent="0.2">
      <c r="A1746" s="5">
        <v>1685</v>
      </c>
      <c r="B1746" s="138">
        <f>'Tax Sched 23'!B6</f>
        <v>57444</v>
      </c>
      <c r="C1746" s="2" t="s">
        <v>573</v>
      </c>
      <c r="D1746" s="2" t="str">
        <f t="shared" si="26"/>
        <v>Error?</v>
      </c>
    </row>
    <row r="1747" spans="1:5" x14ac:dyDescent="0.2">
      <c r="A1747" s="5">
        <v>1686</v>
      </c>
      <c r="B1747" s="138">
        <f>'Tax Sched 23'!B7</f>
        <v>171465</v>
      </c>
      <c r="C1747" s="2" t="s">
        <v>573</v>
      </c>
      <c r="D1747" s="2" t="str">
        <f t="shared" si="26"/>
        <v>Error?</v>
      </c>
    </row>
    <row r="1748" spans="1:5" x14ac:dyDescent="0.2">
      <c r="A1748" s="5">
        <v>1687</v>
      </c>
      <c r="B1748" s="138">
        <f>'Tax Sched 23'!B8</f>
        <v>179645</v>
      </c>
      <c r="C1748" s="2" t="s">
        <v>573</v>
      </c>
      <c r="D1748" s="2" t="str">
        <f t="shared" si="26"/>
        <v>Error?</v>
      </c>
    </row>
    <row r="1749" spans="1:5" x14ac:dyDescent="0.2">
      <c r="A1749" s="5">
        <v>1688</v>
      </c>
      <c r="B1749" s="138">
        <f>'Tax Sched 23'!B10</f>
        <v>98800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26673</v>
      </c>
      <c r="C1752" s="2" t="s">
        <v>573</v>
      </c>
      <c r="D1752" s="2" t="str">
        <f t="shared" si="26"/>
        <v>Error?</v>
      </c>
    </row>
    <row r="1753" spans="1:5" x14ac:dyDescent="0.2">
      <c r="A1753" s="5">
        <v>1692</v>
      </c>
      <c r="B1753" s="138">
        <f>'Tax Sched 23'!B12</f>
        <v>71938</v>
      </c>
      <c r="C1753" s="2" t="s">
        <v>573</v>
      </c>
      <c r="D1753" s="2" t="str">
        <f t="shared" si="26"/>
        <v>Error?</v>
      </c>
    </row>
    <row r="1754" spans="1:5" x14ac:dyDescent="0.2">
      <c r="A1754" s="5">
        <v>1693</v>
      </c>
      <c r="B1754" s="138">
        <f>'Tax Sched 23'!B14</f>
        <v>62686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7871671</v>
      </c>
      <c r="C1759" s="2" t="s">
        <v>573</v>
      </c>
      <c r="D1759" s="2" t="str">
        <f t="shared" si="26"/>
        <v>Error?</v>
      </c>
    </row>
    <row r="1760" spans="1:5" x14ac:dyDescent="0.2">
      <c r="A1760" s="5">
        <v>1699</v>
      </c>
      <c r="B1760" s="138">
        <f>'Tax Sched 23'!D4</f>
        <v>3064391</v>
      </c>
      <c r="C1760" s="2" t="s">
        <v>573</v>
      </c>
      <c r="D1760" s="2" t="str">
        <f t="shared" si="26"/>
        <v>Error?</v>
      </c>
    </row>
    <row r="1761" spans="1:5" x14ac:dyDescent="0.2">
      <c r="A1761" s="5">
        <v>1700</v>
      </c>
      <c r="B1761" s="138">
        <f>'Tax Sched 23'!D5</f>
        <v>386314</v>
      </c>
      <c r="C1761" s="2" t="s">
        <v>573</v>
      </c>
      <c r="D1761" s="2" t="str">
        <f t="shared" si="26"/>
        <v>Error?</v>
      </c>
    </row>
    <row r="1762" spans="1:5" s="8" customFormat="1" x14ac:dyDescent="0.2">
      <c r="A1762" s="5">
        <v>1701</v>
      </c>
      <c r="B1762" s="138">
        <f>'Tax Sched 23'!D6</f>
        <v>29761</v>
      </c>
      <c r="C1762" s="2" t="s">
        <v>573</v>
      </c>
      <c r="D1762" s="2" t="str">
        <f t="shared" si="26"/>
        <v>Error?</v>
      </c>
      <c r="E1762" s="9"/>
    </row>
    <row r="1763" spans="1:5" x14ac:dyDescent="0.2">
      <c r="A1763" s="5">
        <v>1702</v>
      </c>
      <c r="B1763" s="138">
        <f>'Tax Sched 23'!D7</f>
        <v>13801</v>
      </c>
      <c r="C1763" s="2" t="s">
        <v>573</v>
      </c>
      <c r="D1763" s="2" t="str">
        <f t="shared" si="26"/>
        <v>Error?</v>
      </c>
    </row>
    <row r="1764" spans="1:5" x14ac:dyDescent="0.2">
      <c r="A1764" s="5">
        <v>1703</v>
      </c>
      <c r="B1764" s="138">
        <f>'Tax Sched 23'!D8</f>
        <v>83388</v>
      </c>
      <c r="C1764" s="2" t="s">
        <v>573</v>
      </c>
      <c r="D1764" s="2" t="str">
        <f t="shared" si="26"/>
        <v>Error?</v>
      </c>
    </row>
    <row r="1765" spans="1:5" x14ac:dyDescent="0.2">
      <c r="A1765" s="5">
        <v>1704</v>
      </c>
      <c r="B1765" s="138">
        <f>'Tax Sched 23'!D10</f>
        <v>58190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14026</v>
      </c>
      <c r="C1768" s="2" t="s">
        <v>573</v>
      </c>
      <c r="D1768" s="2" t="str">
        <f t="shared" si="26"/>
        <v>Error?</v>
      </c>
    </row>
    <row r="1769" spans="1:5" x14ac:dyDescent="0.2">
      <c r="A1769" s="5">
        <v>1708</v>
      </c>
      <c r="B1769" s="138">
        <f>'Tax Sched 23'!D12</f>
        <v>71236</v>
      </c>
      <c r="C1769" s="2" t="s">
        <v>573</v>
      </c>
      <c r="D1769" s="2" t="str">
        <f t="shared" si="26"/>
        <v>Error?</v>
      </c>
    </row>
    <row r="1770" spans="1:5" x14ac:dyDescent="0.2">
      <c r="A1770" s="5">
        <v>1709</v>
      </c>
      <c r="B1770" s="138">
        <f>'Tax Sched 23'!D14</f>
        <v>29242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3904775</v>
      </c>
      <c r="C1775" s="2" t="s">
        <v>573</v>
      </c>
      <c r="D1775" s="2" t="str">
        <f t="shared" si="26"/>
        <v>Error?</v>
      </c>
    </row>
    <row r="1776" spans="1:5" x14ac:dyDescent="0.2">
      <c r="A1776" s="5">
        <v>1715</v>
      </c>
      <c r="B1776" s="138">
        <f>'Tax Sched 23'!C4</f>
        <v>3002784</v>
      </c>
      <c r="D1776" s="2" t="str">
        <f t="shared" si="26"/>
        <v>Error?</v>
      </c>
    </row>
    <row r="1777" spans="1:4" x14ac:dyDescent="0.2">
      <c r="A1777" s="5">
        <v>1716</v>
      </c>
      <c r="B1777" s="138">
        <f>'Tax Sched 23'!C5</f>
        <v>456692</v>
      </c>
      <c r="D1777" s="2" t="str">
        <f t="shared" si="26"/>
        <v>Error?</v>
      </c>
    </row>
    <row r="1778" spans="1:4" x14ac:dyDescent="0.2">
      <c r="A1778" s="5">
        <v>1717</v>
      </c>
      <c r="B1778" s="138">
        <f>'Tax Sched 23'!C6</f>
        <v>27683</v>
      </c>
      <c r="D1778" s="2" t="str">
        <f t="shared" si="26"/>
        <v>Error?</v>
      </c>
    </row>
    <row r="1779" spans="1:4" x14ac:dyDescent="0.2">
      <c r="A1779" s="5">
        <v>1718</v>
      </c>
      <c r="B1779" s="138">
        <f>'Tax Sched 23'!C7</f>
        <v>157664</v>
      </c>
      <c r="D1779" s="2" t="str">
        <f t="shared" si="26"/>
        <v>Error?</v>
      </c>
    </row>
    <row r="1780" spans="1:4" x14ac:dyDescent="0.2">
      <c r="A1780" s="5">
        <v>1719</v>
      </c>
      <c r="B1780" s="138">
        <f>'Tax Sched 23'!C8</f>
        <v>96257</v>
      </c>
      <c r="D1780" s="2" t="str">
        <f t="shared" si="26"/>
        <v>Error?</v>
      </c>
    </row>
    <row r="1781" spans="1:4" x14ac:dyDescent="0.2">
      <c r="A1781" s="5">
        <v>1720</v>
      </c>
      <c r="B1781" s="138">
        <f>'Tax Sched 23'!C10</f>
        <v>40610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12647</v>
      </c>
      <c r="D1784" s="2" t="str">
        <f t="shared" si="26"/>
        <v>Error?</v>
      </c>
    </row>
    <row r="1785" spans="1:4" x14ac:dyDescent="0.2">
      <c r="A1785" s="5">
        <v>1724</v>
      </c>
      <c r="B1785" s="138">
        <f>'Tax Sched 23'!C12</f>
        <v>702</v>
      </c>
      <c r="D1785" s="2" t="str">
        <f t="shared" si="26"/>
        <v>Error?</v>
      </c>
    </row>
    <row r="1786" spans="1:4" x14ac:dyDescent="0.2">
      <c r="A1786" s="5">
        <v>1725</v>
      </c>
      <c r="B1786" s="138">
        <f>'Tax Sched 23'!C14</f>
        <v>33444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3966896</v>
      </c>
      <c r="C1791" s="2" t="s">
        <v>573</v>
      </c>
      <c r="D1791" s="2" t="str">
        <f t="shared" ref="D1791:D1854" si="27">IF(ISBLANK(B1791),"OK",IF(A1791-B1791=0,"OK","Error?"))</f>
        <v>Error?</v>
      </c>
    </row>
    <row r="1792" spans="1:4" x14ac:dyDescent="0.2">
      <c r="A1792" s="5">
        <v>1731</v>
      </c>
      <c r="B1792" s="138">
        <f>'Tax Sched 23'!F4</f>
        <v>3668042</v>
      </c>
      <c r="C1792" s="2" t="s">
        <v>573</v>
      </c>
      <c r="D1792" s="2" t="str">
        <f t="shared" si="27"/>
        <v>Error?</v>
      </c>
    </row>
    <row r="1793" spans="1:4" x14ac:dyDescent="0.2">
      <c r="A1793" s="5">
        <v>1732</v>
      </c>
      <c r="B1793" s="138">
        <f>'Tax Sched 23'!F5</f>
        <v>557870</v>
      </c>
      <c r="C1793" s="2" t="s">
        <v>573</v>
      </c>
      <c r="D1793" s="2" t="str">
        <f t="shared" si="27"/>
        <v>Error?</v>
      </c>
    </row>
    <row r="1794" spans="1:4" x14ac:dyDescent="0.2">
      <c r="A1794" s="5">
        <v>1733</v>
      </c>
      <c r="B1794" s="138">
        <f>'Tax Sched 23'!F6</f>
        <v>33815</v>
      </c>
      <c r="C1794" s="2" t="s">
        <v>573</v>
      </c>
      <c r="D1794" s="2" t="str">
        <f t="shared" si="27"/>
        <v>Error?</v>
      </c>
    </row>
    <row r="1795" spans="1:4" x14ac:dyDescent="0.2">
      <c r="A1795" s="5">
        <v>1734</v>
      </c>
      <c r="B1795" s="138">
        <f>'Tax Sched 23'!F7</f>
        <v>192594</v>
      </c>
      <c r="C1795" s="2" t="s">
        <v>573</v>
      </c>
      <c r="D1795" s="2" t="str">
        <f t="shared" si="27"/>
        <v>Error?</v>
      </c>
    </row>
    <row r="1796" spans="1:4" x14ac:dyDescent="0.2">
      <c r="A1796" s="5">
        <v>1735</v>
      </c>
      <c r="B1796" s="138">
        <f>'Tax Sched 23'!F8</f>
        <v>117582</v>
      </c>
      <c r="C1796" s="2" t="s">
        <v>573</v>
      </c>
      <c r="D1796" s="2" t="str">
        <f t="shared" si="27"/>
        <v>Error?</v>
      </c>
    </row>
    <row r="1797" spans="1:4" x14ac:dyDescent="0.2">
      <c r="A1797" s="5">
        <v>1736</v>
      </c>
      <c r="B1797" s="138">
        <f>'Tax Sched 23'!F10</f>
        <v>49608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15449</v>
      </c>
      <c r="C1800" s="2" t="s">
        <v>573</v>
      </c>
      <c r="D1800" s="2" t="str">
        <f t="shared" si="27"/>
        <v>Error?</v>
      </c>
    </row>
    <row r="1801" spans="1:4" x14ac:dyDescent="0.2">
      <c r="A1801" s="5">
        <v>1740</v>
      </c>
      <c r="B1801" s="138">
        <f>'Tax Sched 23'!F12</f>
        <v>858</v>
      </c>
      <c r="C1801" s="2" t="s">
        <v>573</v>
      </c>
      <c r="D1801" s="2" t="str">
        <f t="shared" si="27"/>
        <v>Error?</v>
      </c>
    </row>
    <row r="1802" spans="1:4" x14ac:dyDescent="0.2">
      <c r="A1802" s="5">
        <v>1741</v>
      </c>
      <c r="B1802" s="138">
        <f>'Tax Sched 23'!F14</f>
        <v>40853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4845749</v>
      </c>
      <c r="C1807" s="2" t="s">
        <v>573</v>
      </c>
      <c r="D1807" s="2" t="str">
        <f t="shared" si="27"/>
        <v>Error?</v>
      </c>
    </row>
    <row r="1808" spans="1:4" x14ac:dyDescent="0.2">
      <c r="A1808" s="5">
        <v>1747</v>
      </c>
      <c r="B1808" s="138">
        <f>'Tax Sched 23'!E4</f>
        <v>6670826</v>
      </c>
      <c r="D1808" s="2" t="str">
        <f t="shared" si="27"/>
        <v>Error?</v>
      </c>
    </row>
    <row r="1809" spans="1:4" x14ac:dyDescent="0.2">
      <c r="A1809" s="5">
        <v>1748</v>
      </c>
      <c r="B1809" s="138">
        <f>'Tax Sched 23'!E5</f>
        <v>1014562</v>
      </c>
      <c r="D1809" s="2" t="str">
        <f t="shared" si="27"/>
        <v>Error?</v>
      </c>
    </row>
    <row r="1810" spans="1:4" x14ac:dyDescent="0.2">
      <c r="A1810" s="5">
        <v>1749</v>
      </c>
      <c r="B1810" s="138">
        <f>'Tax Sched 23'!E6</f>
        <v>61498</v>
      </c>
      <c r="D1810" s="2" t="str">
        <f t="shared" si="27"/>
        <v>Error?</v>
      </c>
    </row>
    <row r="1811" spans="1:4" x14ac:dyDescent="0.2">
      <c r="A1811" s="5">
        <v>1750</v>
      </c>
      <c r="B1811" s="138">
        <f>'Tax Sched 23'!E7</f>
        <v>350258</v>
      </c>
      <c r="D1811" s="2" t="str">
        <f t="shared" si="27"/>
        <v>Error?</v>
      </c>
    </row>
    <row r="1812" spans="1:4" x14ac:dyDescent="0.2">
      <c r="A1812" s="5">
        <v>1751</v>
      </c>
      <c r="B1812" s="138">
        <f>'Tax Sched 23'!E8</f>
        <v>213839</v>
      </c>
      <c r="D1812" s="2" t="str">
        <f t="shared" si="27"/>
        <v>Error?</v>
      </c>
    </row>
    <row r="1813" spans="1:4" x14ac:dyDescent="0.2">
      <c r="A1813" s="5">
        <v>1752</v>
      </c>
      <c r="B1813" s="138">
        <f>'Tax Sched 23'!E10</f>
        <v>90218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28096</v>
      </c>
      <c r="D1816" s="2" t="str">
        <f t="shared" si="27"/>
        <v>Error?</v>
      </c>
    </row>
    <row r="1817" spans="1:4" x14ac:dyDescent="0.2">
      <c r="A1817" s="5">
        <v>1756</v>
      </c>
      <c r="B1817" s="138">
        <f>'Tax Sched 23'!E12</f>
        <v>1560</v>
      </c>
      <c r="D1817" s="2" t="str">
        <f t="shared" si="27"/>
        <v>Error?</v>
      </c>
    </row>
    <row r="1818" spans="1:4" x14ac:dyDescent="0.2">
      <c r="A1818" s="5">
        <v>1757</v>
      </c>
      <c r="B1818" s="138">
        <f>'Tax Sched 23'!E14</f>
        <v>74297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8812645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34625000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62686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62686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62686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5310580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2002114</v>
      </c>
      <c r="D2011" s="2" t="str">
        <f t="shared" si="30"/>
        <v>Error?</v>
      </c>
    </row>
    <row r="2012" spans="1:4" x14ac:dyDescent="0.2">
      <c r="A2012" s="5">
        <v>1951</v>
      </c>
      <c r="B2012" s="138">
        <f>'Cap Outlay Deprec 26'!C13</f>
        <v>1011107</v>
      </c>
      <c r="D2012" s="2" t="str">
        <f t="shared" si="30"/>
        <v>Error?</v>
      </c>
    </row>
    <row r="2013" spans="1:4" x14ac:dyDescent="0.2">
      <c r="A2013" s="5">
        <v>1952</v>
      </c>
      <c r="B2013" s="138">
        <f>'Cap Outlay Deprec 26'!C16</f>
        <v>38083527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30817420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30817420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32539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28431668</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36128000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1969575</v>
      </c>
      <c r="C2029" s="2" t="s">
        <v>573</v>
      </c>
      <c r="D2029" s="2" t="str">
        <f t="shared" si="30"/>
        <v>Error?</v>
      </c>
    </row>
    <row r="2030" spans="1:4" x14ac:dyDescent="0.2">
      <c r="A2030" s="5">
        <v>1969</v>
      </c>
      <c r="B2030" s="138">
        <f>'Cap Outlay Deprec 26'!F13</f>
        <v>1011107</v>
      </c>
      <c r="C2030" s="2" t="s">
        <v>573</v>
      </c>
      <c r="D2030" s="2" t="str">
        <f t="shared" si="30"/>
        <v>Error?</v>
      </c>
    </row>
    <row r="2031" spans="1:4" x14ac:dyDescent="0.2">
      <c r="A2031" s="5">
        <v>1970</v>
      </c>
      <c r="B2031" s="138">
        <f>'Cap Outlay Deprec 26'!F16</f>
        <v>40469279</v>
      </c>
      <c r="C2031" s="2" t="s">
        <v>573</v>
      </c>
      <c r="D2031" s="2" t="str">
        <f t="shared" si="30"/>
        <v>Error?</v>
      </c>
    </row>
    <row r="2032" spans="1:4" x14ac:dyDescent="0.2">
      <c r="A2032" s="10">
        <v>1971</v>
      </c>
      <c r="D2032" s="2" t="str">
        <f t="shared" si="30"/>
        <v>OK</v>
      </c>
    </row>
    <row r="2033" spans="1:4" x14ac:dyDescent="0.2">
      <c r="A2033" s="5">
        <v>1972</v>
      </c>
      <c r="B2033" s="138">
        <f>'Cap Outlay Deprec 26'!H8</f>
        <v>451601</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348661</v>
      </c>
      <c r="D2035" s="2" t="str">
        <f t="shared" si="30"/>
        <v>Error?</v>
      </c>
    </row>
    <row r="2036" spans="1:4" x14ac:dyDescent="0.2">
      <c r="A2036" s="5">
        <v>1975</v>
      </c>
      <c r="B2036" s="138">
        <f>'Cap Outlay Deprec 26'!H13</f>
        <v>255782</v>
      </c>
      <c r="D2036" s="2" t="str">
        <f t="shared" si="30"/>
        <v>Error?</v>
      </c>
    </row>
    <row r="2037" spans="1:4" x14ac:dyDescent="0.2">
      <c r="A2037" s="5">
        <v>1976</v>
      </c>
      <c r="B2037" s="138">
        <f>'Cap Outlay Deprec 26'!H16</f>
        <v>1056044</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144620</v>
      </c>
      <c r="D2041" s="2" t="str">
        <f t="shared" si="30"/>
        <v>Error?</v>
      </c>
    </row>
    <row r="2042" spans="1:4" x14ac:dyDescent="0.2">
      <c r="A2042" s="5">
        <v>1981</v>
      </c>
      <c r="B2042" s="138">
        <f>'Cap Outlay Deprec 26'!I13</f>
        <v>149772</v>
      </c>
      <c r="D2042" s="2" t="str">
        <f t="shared" si="30"/>
        <v>Error?</v>
      </c>
    </row>
    <row r="2043" spans="1:4" x14ac:dyDescent="0.2">
      <c r="A2043" s="5">
        <v>1982</v>
      </c>
      <c r="B2043" s="138">
        <f>'Cap Outlay Deprec 26'!I16</f>
        <v>294392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451601</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493281</v>
      </c>
      <c r="C2053" s="2" t="s">
        <v>573</v>
      </c>
      <c r="D2053" s="2" t="str">
        <f t="shared" si="31"/>
        <v>Error?</v>
      </c>
    </row>
    <row r="2054" spans="1:4" x14ac:dyDescent="0.2">
      <c r="A2054" s="5">
        <v>1993</v>
      </c>
      <c r="B2054" s="138">
        <f>'Cap Outlay Deprec 26'!K13</f>
        <v>405554</v>
      </c>
      <c r="C2054" s="2" t="s">
        <v>573</v>
      </c>
      <c r="D2054" s="2" t="str">
        <f t="shared" si="31"/>
        <v>Error?</v>
      </c>
    </row>
    <row r="2055" spans="1:4" x14ac:dyDescent="0.2">
      <c r="A2055" s="5">
        <v>1994</v>
      </c>
      <c r="B2055" s="138">
        <f>'Cap Outlay Deprec 26'!K16</f>
        <v>1350436</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35676399</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1476294</v>
      </c>
      <c r="C2059" s="2" t="s">
        <v>573</v>
      </c>
      <c r="D2059" s="2" t="str">
        <f t="shared" si="31"/>
        <v>Error?</v>
      </c>
    </row>
    <row r="2060" spans="1:4" x14ac:dyDescent="0.2">
      <c r="A2060" s="5">
        <v>1999</v>
      </c>
      <c r="B2060" s="138">
        <f>'Cap Outlay Deprec 26'!L13</f>
        <v>605553</v>
      </c>
      <c r="C2060" s="2" t="s">
        <v>573</v>
      </c>
      <c r="D2060" s="2" t="str">
        <f t="shared" si="31"/>
        <v>Error?</v>
      </c>
    </row>
    <row r="2061" spans="1:4" x14ac:dyDescent="0.2">
      <c r="A2061" s="5">
        <v>2000</v>
      </c>
      <c r="B2061" s="138">
        <f>'Cap Outlay Deprec 26'!L16</f>
        <v>39118843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650000</v>
      </c>
      <c r="C2088" s="2" t="s">
        <v>573</v>
      </c>
      <c r="D2088" s="2" t="str">
        <f t="shared" si="31"/>
        <v>Error?</v>
      </c>
    </row>
    <row r="2089" spans="1:4" x14ac:dyDescent="0.2">
      <c r="A2089" s="5">
        <v>2028</v>
      </c>
      <c r="B2089" s="138">
        <f>'Expenditures 15-22'!K92</f>
        <v>275000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98800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6548476</v>
      </c>
      <c r="C2551" s="2" t="s">
        <v>573</v>
      </c>
      <c r="D2551" s="2" t="str">
        <f t="shared" si="38"/>
        <v>Error?</v>
      </c>
    </row>
    <row r="2552" spans="1:4" x14ac:dyDescent="0.2">
      <c r="A2552" s="10">
        <v>2491</v>
      </c>
      <c r="D2552" s="2" t="str">
        <f t="shared" si="38"/>
        <v>OK</v>
      </c>
    </row>
    <row r="2553" spans="1:4" x14ac:dyDescent="0.2">
      <c r="A2553" s="5">
        <v>2492</v>
      </c>
      <c r="B2553" s="138">
        <f>'Acct Summary 7-8'!C6</f>
        <v>1367848</v>
      </c>
      <c r="C2553" s="2" t="s">
        <v>573</v>
      </c>
      <c r="D2553" s="2" t="str">
        <f t="shared" si="38"/>
        <v>Error?</v>
      </c>
    </row>
    <row r="2554" spans="1:4" x14ac:dyDescent="0.2">
      <c r="A2554" s="5">
        <v>2493</v>
      </c>
      <c r="B2554" s="138">
        <f>'Acct Summary 7-8'!C7</f>
        <v>723260</v>
      </c>
      <c r="C2554" s="2" t="s">
        <v>573</v>
      </c>
      <c r="D2554" s="2" t="str">
        <f t="shared" si="38"/>
        <v>Error?</v>
      </c>
    </row>
    <row r="2555" spans="1:4" x14ac:dyDescent="0.2">
      <c r="A2555" s="5">
        <v>2494</v>
      </c>
      <c r="B2555" s="138">
        <f>'Acct Summary 7-8'!C8</f>
        <v>8647534</v>
      </c>
      <c r="C2555" s="2" t="s">
        <v>573</v>
      </c>
      <c r="D2555" s="2" t="str">
        <f t="shared" si="38"/>
        <v>Error?</v>
      </c>
    </row>
    <row r="2556" spans="1:4" x14ac:dyDescent="0.2">
      <c r="A2556" s="5">
        <v>2495</v>
      </c>
      <c r="B2556" s="138">
        <f>'Acct Summary 7-8'!C12</f>
        <v>5899426</v>
      </c>
      <c r="C2556" s="2" t="s">
        <v>573</v>
      </c>
      <c r="D2556" s="2" t="str">
        <f t="shared" si="38"/>
        <v>Error?</v>
      </c>
    </row>
    <row r="2557" spans="1:4" x14ac:dyDescent="0.2">
      <c r="A2557" s="5">
        <v>2496</v>
      </c>
      <c r="B2557" s="138">
        <f>'Acct Summary 7-8'!C13</f>
        <v>1971055</v>
      </c>
      <c r="C2557" s="2" t="s">
        <v>573</v>
      </c>
      <c r="D2557" s="2" t="str">
        <f t="shared" si="38"/>
        <v>Error?</v>
      </c>
    </row>
    <row r="2558" spans="1:4" x14ac:dyDescent="0.2">
      <c r="A2558" s="5">
        <v>2497</v>
      </c>
      <c r="B2558" s="138">
        <f>'Acct Summary 7-8'!C14</f>
        <v>5930</v>
      </c>
      <c r="C2558" s="2" t="s">
        <v>573</v>
      </c>
      <c r="D2558" s="2" t="str">
        <f t="shared" si="38"/>
        <v>Error?</v>
      </c>
    </row>
    <row r="2559" spans="1:4" x14ac:dyDescent="0.2">
      <c r="A2559" s="5">
        <v>2498</v>
      </c>
      <c r="B2559" s="138">
        <f>'Acct Summary 7-8'!C15</f>
        <v>925000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8801411</v>
      </c>
      <c r="C2561" s="2" t="s">
        <v>573</v>
      </c>
      <c r="D2561" s="2" t="str">
        <f t="shared" si="39"/>
        <v>Error?</v>
      </c>
    </row>
    <row r="2562" spans="1:4" x14ac:dyDescent="0.2">
      <c r="A2562" s="5">
        <v>2501</v>
      </c>
      <c r="B2562" s="138">
        <f>'Acct Summary 7-8'!C20</f>
        <v>-153877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2712551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2712551</v>
      </c>
      <c r="C2568" s="2" t="s">
        <v>573</v>
      </c>
      <c r="D2568" s="2" t="str">
        <f t="shared" si="39"/>
        <v>Error?</v>
      </c>
    </row>
    <row r="2569" spans="1:4" x14ac:dyDescent="0.2">
      <c r="A2569" s="5">
        <v>2508</v>
      </c>
      <c r="B2569" s="138">
        <f>'Acct Summary 7-8'!D13</f>
        <v>860717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860717</v>
      </c>
      <c r="C2573" s="2" t="s">
        <v>573</v>
      </c>
      <c r="D2573" s="2" t="str">
        <f t="shared" si="39"/>
        <v>Error?</v>
      </c>
    </row>
    <row r="2574" spans="1:4" x14ac:dyDescent="0.2">
      <c r="A2574" s="5">
        <v>2513</v>
      </c>
      <c r="B2574" s="138">
        <f>'Acct Summary 7-8'!D20</f>
        <v>1851834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202294</v>
      </c>
      <c r="C2591" s="2" t="s">
        <v>573</v>
      </c>
      <c r="D2591" s="2" t="str">
        <f t="shared" si="39"/>
        <v>Error?</v>
      </c>
    </row>
    <row r="2592" spans="1:4" x14ac:dyDescent="0.2">
      <c r="A2592" s="10">
        <v>2531</v>
      </c>
      <c r="D2592" s="2" t="str">
        <f t="shared" si="39"/>
        <v>OK</v>
      </c>
    </row>
    <row r="2593" spans="1:4" x14ac:dyDescent="0.2">
      <c r="A2593" s="5">
        <v>2532</v>
      </c>
      <c r="B2593" s="138">
        <f>'Acct Summary 7-8'!F6</f>
        <v>420536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622830</v>
      </c>
      <c r="C2595" s="2" t="s">
        <v>573</v>
      </c>
      <c r="D2595" s="2" t="str">
        <f t="shared" si="39"/>
        <v>Error?</v>
      </c>
    </row>
    <row r="2596" spans="1:4" x14ac:dyDescent="0.2">
      <c r="A2596" s="5">
        <v>2535</v>
      </c>
      <c r="B2596" s="138">
        <f>'Acct Summary 7-8'!F13</f>
        <v>901726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901726</v>
      </c>
      <c r="C2600" s="2" t="s">
        <v>573</v>
      </c>
      <c r="D2600" s="2" t="str">
        <f t="shared" si="39"/>
        <v>Error?</v>
      </c>
    </row>
    <row r="2601" spans="1:4" x14ac:dyDescent="0.2">
      <c r="A2601" s="5">
        <v>2540</v>
      </c>
      <c r="B2601" s="138">
        <f>'Acct Summary 7-8'!F20</f>
        <v>-278896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457303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457303</v>
      </c>
      <c r="C2606" s="2" t="s">
        <v>573</v>
      </c>
      <c r="D2606" s="2" t="str">
        <f t="shared" si="39"/>
        <v>Error?</v>
      </c>
    </row>
    <row r="2607" spans="1:4" x14ac:dyDescent="0.2">
      <c r="A2607" s="5">
        <v>2546</v>
      </c>
      <c r="B2607" s="138">
        <f>'Acct Summary 7-8'!G12</f>
        <v>94172</v>
      </c>
      <c r="C2607" s="2" t="s">
        <v>573</v>
      </c>
      <c r="D2607" s="2" t="str">
        <f t="shared" si="39"/>
        <v>Error?</v>
      </c>
    </row>
    <row r="2608" spans="1:4" x14ac:dyDescent="0.2">
      <c r="A2608" s="5">
        <v>2547</v>
      </c>
      <c r="B2608" s="138">
        <f>'Acct Summary 7-8'!G13</f>
        <v>205214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299386</v>
      </c>
      <c r="C2612" s="2" t="s">
        <v>573</v>
      </c>
      <c r="D2612" s="2" t="str">
        <f t="shared" si="39"/>
        <v>Error?</v>
      </c>
    </row>
    <row r="2613" spans="1:4" x14ac:dyDescent="0.2">
      <c r="A2613" s="5">
        <v>2552</v>
      </c>
      <c r="B2613" s="138">
        <f>'Acct Summary 7-8'!G20</f>
        <v>157917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57444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57444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2343056</v>
      </c>
      <c r="C2634" s="2" t="s">
        <v>573</v>
      </c>
      <c r="D2634" s="2" t="str">
        <f t="shared" si="40"/>
        <v>Error?</v>
      </c>
    </row>
    <row r="2635" spans="1:4" x14ac:dyDescent="0.2">
      <c r="A2635" s="5">
        <v>2574</v>
      </c>
      <c r="B2635" s="138">
        <f>'Acct Summary 7-8'!E17</f>
        <v>2343056</v>
      </c>
      <c r="C2635" s="2" t="s">
        <v>573</v>
      </c>
      <c r="D2635" s="2" t="str">
        <f t="shared" si="40"/>
        <v>Error?</v>
      </c>
    </row>
    <row r="2636" spans="1:4" x14ac:dyDescent="0.2">
      <c r="A2636" s="5">
        <v>2575</v>
      </c>
      <c r="B2636" s="138">
        <f>'Acct Summary 7-8'!E20</f>
        <v>-2285612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7023955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7023955</v>
      </c>
      <c r="C2661" s="2" t="s">
        <v>573</v>
      </c>
      <c r="D2661" s="2" t="str">
        <f t="shared" si="40"/>
        <v>Error?</v>
      </c>
    </row>
    <row r="2662" spans="1:4" x14ac:dyDescent="0.2">
      <c r="A2662" s="5">
        <v>2601</v>
      </c>
      <c r="B2662" s="138">
        <f>'Acct Summary 7-8'!H20</f>
        <v>-7023955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650000</v>
      </c>
      <c r="C2789" s="2" t="s">
        <v>573</v>
      </c>
      <c r="D2789" s="2" t="str">
        <f t="shared" si="42"/>
        <v>Error?</v>
      </c>
    </row>
    <row r="2790" spans="1:4" x14ac:dyDescent="0.2">
      <c r="A2790" s="5">
        <v>2729</v>
      </c>
      <c r="B2790" s="138">
        <f>'Expenditures 15-22'!E102</f>
        <v>650000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24635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24635</v>
      </c>
      <c r="D2914" s="2" t="str">
        <f t="shared" si="44"/>
        <v>Error?</v>
      </c>
    </row>
    <row r="2915" spans="1:4" x14ac:dyDescent="0.2">
      <c r="A2915" s="10">
        <v>2854</v>
      </c>
      <c r="D2915" s="2" t="str">
        <f t="shared" si="44"/>
        <v>OK</v>
      </c>
    </row>
    <row r="2916" spans="1:4" x14ac:dyDescent="0.2">
      <c r="A2916" s="5">
        <v>2855</v>
      </c>
      <c r="B2916" s="138">
        <f>'Assets-Liab 5-6'!L34</f>
        <v>24635</v>
      </c>
      <c r="C2916" s="2" t="s">
        <v>573</v>
      </c>
      <c r="D2916" s="2" t="str">
        <f t="shared" si="44"/>
        <v>Error?</v>
      </c>
    </row>
    <row r="2917" spans="1:4" x14ac:dyDescent="0.2">
      <c r="A2917" s="5">
        <v>2856</v>
      </c>
      <c r="B2917" s="138">
        <f>'Assets-Liab 5-6'!L41</f>
        <v>24635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650000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650000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156878</v>
      </c>
      <c r="D3055" s="2" t="str">
        <f t="shared" si="46"/>
        <v>Error?</v>
      </c>
    </row>
    <row r="3056" spans="1:4" x14ac:dyDescent="0.2">
      <c r="A3056" s="5">
        <v>2995</v>
      </c>
      <c r="B3056" s="138">
        <f>'Expenditures 15-22'!D10</f>
        <v>25593</v>
      </c>
      <c r="D3056" s="2" t="str">
        <f t="shared" si="46"/>
        <v>Error?</v>
      </c>
    </row>
    <row r="3057" spans="1:4" x14ac:dyDescent="0.2">
      <c r="A3057" s="5">
        <v>2996</v>
      </c>
      <c r="B3057" s="138">
        <f>'Expenditures 15-22'!E10</f>
        <v>13905</v>
      </c>
      <c r="D3057" s="2" t="str">
        <f t="shared" si="46"/>
        <v>Error?</v>
      </c>
    </row>
    <row r="3058" spans="1:4" x14ac:dyDescent="0.2">
      <c r="A3058" s="5">
        <v>2997</v>
      </c>
      <c r="B3058" s="138">
        <f>'Expenditures 15-22'!F10</f>
        <v>12352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129</v>
      </c>
      <c r="D3060" s="2" t="str">
        <f t="shared" si="46"/>
        <v>Error?</v>
      </c>
    </row>
    <row r="3061" spans="1:4" x14ac:dyDescent="0.2">
      <c r="A3061" s="10">
        <v>3000</v>
      </c>
      <c r="D3061" s="2" t="str">
        <f t="shared" si="46"/>
        <v>OK</v>
      </c>
    </row>
    <row r="3062" spans="1:4" x14ac:dyDescent="0.2">
      <c r="A3062" s="5">
        <v>3001</v>
      </c>
      <c r="B3062" s="138">
        <f>'Expenditures 15-22'!K10</f>
        <v>208857</v>
      </c>
      <c r="C3062" s="2" t="s">
        <v>573</v>
      </c>
      <c r="D3062" s="2" t="str">
        <f t="shared" si="46"/>
        <v>Error?</v>
      </c>
    </row>
    <row r="3063" spans="1:4" x14ac:dyDescent="0.2">
      <c r="A3063" s="10">
        <v>3002</v>
      </c>
      <c r="D3063" s="2" t="str">
        <f t="shared" si="46"/>
        <v>OK</v>
      </c>
    </row>
    <row r="3064" spans="1:4" x14ac:dyDescent="0.2">
      <c r="A3064" s="5">
        <v>3003</v>
      </c>
      <c r="B3064" s="138">
        <f>'Expenditures 15-22'!D219</f>
        <v>5270</v>
      </c>
      <c r="D3064" s="2" t="str">
        <f t="shared" si="46"/>
        <v>Error?</v>
      </c>
    </row>
    <row r="3065" spans="1:4" x14ac:dyDescent="0.2">
      <c r="A3065" s="5">
        <v>3004</v>
      </c>
      <c r="B3065" s="138">
        <f>'Expenditures 15-22'!K219</f>
        <v>5270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98800</v>
      </c>
      <c r="C3225" s="2" t="s">
        <v>573</v>
      </c>
      <c r="D3225" s="2" t="str">
        <f t="shared" si="49"/>
        <v>Error?</v>
      </c>
    </row>
    <row r="3226" spans="1:4" x14ac:dyDescent="0.2">
      <c r="A3226" s="5">
        <v>3165</v>
      </c>
      <c r="B3226" s="138">
        <f>'Acct Summary 7-8'!I8</f>
        <v>98800</v>
      </c>
      <c r="C3226" s="2" t="s">
        <v>573</v>
      </c>
      <c r="D3226" s="2" t="str">
        <f t="shared" si="49"/>
        <v>Error?</v>
      </c>
    </row>
    <row r="3227" spans="1:4" x14ac:dyDescent="0.2">
      <c r="A3227" s="5">
        <v>3166</v>
      </c>
      <c r="B3227" s="138">
        <f>'Acct Summary 7-8'!I20</f>
        <v>98800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98800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98800</v>
      </c>
      <c r="C3232" s="2" t="s">
        <v>573</v>
      </c>
      <c r="D3232" s="2" t="str">
        <f t="shared" si="49"/>
        <v>Error?</v>
      </c>
    </row>
    <row r="3233" spans="1:4" x14ac:dyDescent="0.2">
      <c r="A3233" s="5">
        <v>3172</v>
      </c>
      <c r="B3233" s="138">
        <f>'Acct Summary 7-8'!C78</f>
        <v>-55077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2283862</v>
      </c>
      <c r="C3237" s="2" t="s">
        <v>573</v>
      </c>
      <c r="D3237" s="2" t="str">
        <f t="shared" si="49"/>
        <v>Error?</v>
      </c>
    </row>
    <row r="3238" spans="1:4" x14ac:dyDescent="0.2">
      <c r="A3238" s="5">
        <v>3177</v>
      </c>
      <c r="B3238" s="138">
        <f>'Acct Summary 7-8'!D77</f>
        <v>-2283862</v>
      </c>
      <c r="C3238" s="2" t="s">
        <v>573</v>
      </c>
      <c r="D3238" s="2" t="str">
        <f t="shared" si="49"/>
        <v>Error?</v>
      </c>
    </row>
    <row r="3239" spans="1:4" x14ac:dyDescent="0.2">
      <c r="A3239" s="5">
        <v>3178</v>
      </c>
      <c r="B3239" s="138">
        <f>'Acct Summary 7-8'!D78</f>
        <v>-432028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-278896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157917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2283862</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2283862</v>
      </c>
      <c r="C3277" s="2" t="s">
        <v>573</v>
      </c>
      <c r="D3277" s="2" t="str">
        <f t="shared" si="50"/>
        <v>Error?</v>
      </c>
    </row>
    <row r="3278" spans="1:4" x14ac:dyDescent="0.2">
      <c r="A3278" s="5">
        <v>3217</v>
      </c>
      <c r="B3278" s="138">
        <f>'Acct Summary 7-8'!E78</f>
        <v>-1750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-7023955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98800</v>
      </c>
      <c r="C3318" s="2" t="s">
        <v>573</v>
      </c>
      <c r="D3318" s="2" t="str">
        <f t="shared" si="50"/>
        <v>Error?</v>
      </c>
    </row>
    <row r="3319" spans="1:4" x14ac:dyDescent="0.2">
      <c r="A3319" s="5">
        <v>3258</v>
      </c>
      <c r="B3319" s="138">
        <f>'Acct Summary 7-8'!I77</f>
        <v>-98800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375964</v>
      </c>
      <c r="D3366" s="2" t="str">
        <f t="shared" si="51"/>
        <v>Error?</v>
      </c>
    </row>
    <row r="3367" spans="1:4" x14ac:dyDescent="0.2">
      <c r="A3367" s="5">
        <v>3306</v>
      </c>
      <c r="B3367" s="138">
        <f>'Expenditures 15-22'!C19</f>
        <v>305108</v>
      </c>
      <c r="D3367" s="2" t="str">
        <f t="shared" si="51"/>
        <v>Error?</v>
      </c>
    </row>
    <row r="3368" spans="1:4" x14ac:dyDescent="0.2">
      <c r="A3368" s="5">
        <v>3307</v>
      </c>
      <c r="B3368" s="138">
        <f>'Expenditures 15-22'!D8</f>
        <v>73048</v>
      </c>
      <c r="D3368" s="2" t="str">
        <f t="shared" si="51"/>
        <v>Error?</v>
      </c>
    </row>
    <row r="3369" spans="1:4" x14ac:dyDescent="0.2">
      <c r="A3369" s="5">
        <v>3308</v>
      </c>
      <c r="B3369" s="138">
        <f>'Expenditures 15-22'!D19</f>
        <v>67259</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1755</v>
      </c>
      <c r="D3371" s="2" t="str">
        <f t="shared" si="51"/>
        <v>Error?</v>
      </c>
    </row>
    <row r="3372" spans="1:4" x14ac:dyDescent="0.2">
      <c r="A3372" s="5">
        <v>3311</v>
      </c>
      <c r="B3372" s="138">
        <f>'Expenditures 15-22'!F8</f>
        <v>3710</v>
      </c>
      <c r="D3372" s="2" t="str">
        <f t="shared" si="51"/>
        <v>Error?</v>
      </c>
    </row>
    <row r="3373" spans="1:4" x14ac:dyDescent="0.2">
      <c r="A3373" s="5">
        <v>3312</v>
      </c>
      <c r="B3373" s="138">
        <f>'Expenditures 15-22'!F19</f>
        <v>13348</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452722</v>
      </c>
      <c r="C3380" s="2" t="s">
        <v>573</v>
      </c>
      <c r="D3380" s="2" t="str">
        <f t="shared" si="51"/>
        <v>Error?</v>
      </c>
    </row>
    <row r="3381" spans="1:4" x14ac:dyDescent="0.2">
      <c r="A3381" s="5">
        <v>3320</v>
      </c>
      <c r="B3381" s="138">
        <f>'Expenditures 15-22'!K19</f>
        <v>387470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47193</v>
      </c>
      <c r="D3387" s="2" t="str">
        <f t="shared" si="51"/>
        <v>Error?</v>
      </c>
    </row>
    <row r="3388" spans="1:4" x14ac:dyDescent="0.2">
      <c r="A3388" s="5">
        <v>3327</v>
      </c>
      <c r="B3388" s="138">
        <f>'Expenditures 15-22'!D217</f>
        <v>13931</v>
      </c>
      <c r="D3388" s="2" t="str">
        <f t="shared" si="51"/>
        <v>Error?</v>
      </c>
    </row>
    <row r="3389" spans="1:4" x14ac:dyDescent="0.2">
      <c r="A3389" s="5">
        <v>3328</v>
      </c>
      <c r="B3389" s="138">
        <f>'Expenditures 15-22'!D228</f>
        <v>15323</v>
      </c>
      <c r="D3389" s="2" t="str">
        <f t="shared" si="51"/>
        <v>Error?</v>
      </c>
    </row>
    <row r="3390" spans="1:4" x14ac:dyDescent="0.2">
      <c r="A3390" s="5">
        <v>3329</v>
      </c>
      <c r="B3390" s="138">
        <f>'Expenditures 15-22'!K215</f>
        <v>47193</v>
      </c>
      <c r="C3390" s="2" t="s">
        <v>573</v>
      </c>
      <c r="D3390" s="2" t="str">
        <f t="shared" si="51"/>
        <v>Error?</v>
      </c>
    </row>
    <row r="3391" spans="1:4" x14ac:dyDescent="0.2">
      <c r="A3391" s="5">
        <v>3330</v>
      </c>
      <c r="B3391" s="138">
        <f>'Expenditures 15-22'!K217</f>
        <v>13931</v>
      </c>
      <c r="C3391" s="2" t="s">
        <v>573</v>
      </c>
      <c r="D3391" s="2" t="str">
        <f t="shared" ref="D3391:D3454" si="52">IF(ISBLANK(B3391),"OK",IF(A3391-B3391=0,"OK","Error?"))</f>
        <v>Error?</v>
      </c>
    </row>
    <row r="3392" spans="1:4" x14ac:dyDescent="0.2">
      <c r="A3392" s="5">
        <v>3331</v>
      </c>
      <c r="B3392" s="138">
        <f>'Expenditures 15-22'!K228</f>
        <v>15323</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7950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9493025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391750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28785</v>
      </c>
      <c r="D3417" s="2" t="str">
        <f t="shared" si="52"/>
        <v>Error?</v>
      </c>
    </row>
    <row r="3418" spans="1:4" x14ac:dyDescent="0.2">
      <c r="A3418" s="10">
        <v>3357</v>
      </c>
      <c r="D3418" s="2" t="str">
        <f t="shared" si="52"/>
        <v>OK</v>
      </c>
    </row>
    <row r="3419" spans="1:4" x14ac:dyDescent="0.2">
      <c r="A3419" s="5">
        <v>3358</v>
      </c>
      <c r="B3419" s="138">
        <f>'Assets-Liab 5-6'!F4</f>
        <v>746885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438276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24635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179645</v>
      </c>
      <c r="C3446" s="2" t="s">
        <v>573</v>
      </c>
      <c r="D3446" s="2" t="str">
        <f t="shared" si="52"/>
        <v>Error?</v>
      </c>
    </row>
    <row r="3447" spans="1:4" x14ac:dyDescent="0.2">
      <c r="A3447" s="5">
        <v>3386</v>
      </c>
      <c r="B3447" s="138">
        <f>'Tax Sched 23'!D16</f>
        <v>83388</v>
      </c>
      <c r="C3447" s="2" t="s">
        <v>573</v>
      </c>
      <c r="D3447" s="2" t="str">
        <f t="shared" si="52"/>
        <v>Error?</v>
      </c>
    </row>
    <row r="3448" spans="1:4" x14ac:dyDescent="0.2">
      <c r="A3448" s="5">
        <v>3387</v>
      </c>
      <c r="B3448" s="138">
        <f>'Tax Sched 23'!C16</f>
        <v>96257</v>
      </c>
      <c r="D3448" s="2" t="str">
        <f t="shared" si="52"/>
        <v>Error?</v>
      </c>
    </row>
    <row r="3449" spans="1:4" x14ac:dyDescent="0.2">
      <c r="A3449" s="5">
        <v>3388</v>
      </c>
      <c r="B3449" s="138">
        <f>'Tax Sched 23'!F16</f>
        <v>117582</v>
      </c>
      <c r="C3449" s="2" t="s">
        <v>573</v>
      </c>
      <c r="D3449" s="2" t="str">
        <f t="shared" si="52"/>
        <v>Error?</v>
      </c>
    </row>
    <row r="3450" spans="1:4" x14ac:dyDescent="0.2">
      <c r="A3450" s="5">
        <v>3389</v>
      </c>
      <c r="B3450" s="138">
        <f>'Tax Sched 23'!E16</f>
        <v>213839</v>
      </c>
      <c r="D3450" s="2" t="str">
        <f t="shared" si="52"/>
        <v>Error?</v>
      </c>
    </row>
    <row r="3451" spans="1:4" x14ac:dyDescent="0.2">
      <c r="A3451" s="5">
        <v>3390</v>
      </c>
      <c r="B3451" s="138">
        <f>'Cap Outlay Deprec 26'!C15</f>
        <v>28399129</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28399129</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974369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974369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974369</v>
      </c>
      <c r="D3567" s="2" t="str">
        <f t="shared" si="54"/>
        <v>Error?</v>
      </c>
    </row>
    <row r="3568" spans="1:4" x14ac:dyDescent="0.2">
      <c r="A3568" s="5">
        <v>3507</v>
      </c>
      <c r="B3568" s="138">
        <f>'Assets-Liab 5-6'!K41</f>
        <v>974369</v>
      </c>
      <c r="C3568" s="2" t="s">
        <v>573</v>
      </c>
      <c r="D3568" s="2" t="str">
        <f t="shared" si="54"/>
        <v>Error?</v>
      </c>
    </row>
    <row r="3569" spans="1:4" x14ac:dyDescent="0.2">
      <c r="A3569" s="5">
        <v>3508</v>
      </c>
      <c r="B3569" s="138">
        <f>'Acct Summary 7-8'!K4</f>
        <v>71938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71938</v>
      </c>
      <c r="C3571" s="2" t="s">
        <v>573</v>
      </c>
      <c r="D3571" s="2" t="str">
        <f t="shared" si="54"/>
        <v>Error?</v>
      </c>
    </row>
    <row r="3572" spans="1:4" x14ac:dyDescent="0.2">
      <c r="A3572" s="5">
        <v>3511</v>
      </c>
      <c r="B3572" s="138">
        <f>'Acct Summary 7-8'!K13</f>
        <v>8925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8925</v>
      </c>
      <c r="C3575" s="2" t="s">
        <v>573</v>
      </c>
      <c r="D3575" s="2" t="str">
        <f t="shared" si="54"/>
        <v>Error?</v>
      </c>
    </row>
    <row r="3576" spans="1:4" x14ac:dyDescent="0.2">
      <c r="A3576" s="5">
        <v>3515</v>
      </c>
      <c r="B3576" s="138">
        <f>'Acct Summary 7-8'!K20</f>
        <v>63013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63013</v>
      </c>
      <c r="C3588" s="2" t="s">
        <v>573</v>
      </c>
      <c r="D3588" s="2" t="str">
        <f t="shared" si="55"/>
        <v>Error?</v>
      </c>
    </row>
    <row r="3589" spans="1:4" x14ac:dyDescent="0.2">
      <c r="A3589" s="5">
        <v>3528</v>
      </c>
      <c r="B3589" s="138">
        <f>'Acct Summary 7-8'!K79</f>
        <v>911356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974369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8905</v>
      </c>
      <c r="D3632" s="2" t="str">
        <f t="shared" si="55"/>
        <v>Error?</v>
      </c>
    </row>
    <row r="3633" spans="1:4" x14ac:dyDescent="0.2">
      <c r="A3633" s="5">
        <v>3572</v>
      </c>
      <c r="B3633" s="138">
        <f>'Expenditures 15-22'!E350</f>
        <v>8905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8905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20</v>
      </c>
      <c r="D3639" s="2" t="str">
        <f t="shared" si="55"/>
        <v>Error?</v>
      </c>
    </row>
    <row r="3640" spans="1:4" x14ac:dyDescent="0.2">
      <c r="A3640" s="5">
        <v>3579</v>
      </c>
      <c r="B3640" s="138">
        <f>'Expenditures 15-22'!F350</f>
        <v>20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20</v>
      </c>
      <c r="C3642" s="2" t="s">
        <v>573</v>
      </c>
      <c r="D3642" s="2" t="str">
        <f t="shared" si="55"/>
        <v>Error?</v>
      </c>
    </row>
    <row r="3643" spans="1:4" x14ac:dyDescent="0.2">
      <c r="A3643" s="5">
        <v>3582</v>
      </c>
      <c r="B3643" s="138">
        <f>'Expenditures 15-22'!F367</f>
        <v>20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8925</v>
      </c>
      <c r="C3669" s="2" t="s">
        <v>573</v>
      </c>
      <c r="D3669" s="2" t="str">
        <f t="shared" si="56"/>
        <v>Error?</v>
      </c>
    </row>
    <row r="3670" spans="1:4" x14ac:dyDescent="0.2">
      <c r="A3670" s="5">
        <v>3609</v>
      </c>
      <c r="B3670" s="138">
        <f>'Expenditures 15-22'!K350</f>
        <v>8925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8925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8925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63013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113194</v>
      </c>
      <c r="C3725" s="2" t="s">
        <v>573</v>
      </c>
      <c r="D3725" s="2" t="str">
        <f t="shared" si="57"/>
        <v>Error?</v>
      </c>
    </row>
    <row r="3726" spans="1:4" x14ac:dyDescent="0.2">
      <c r="A3726" s="5">
        <v>3665</v>
      </c>
      <c r="B3726" s="138">
        <f>'Tax Sched 23'!D13</f>
        <v>71038</v>
      </c>
      <c r="C3726" s="2" t="s">
        <v>573</v>
      </c>
      <c r="D3726" s="2" t="str">
        <f t="shared" si="57"/>
        <v>Error?</v>
      </c>
    </row>
    <row r="3727" spans="1:4" x14ac:dyDescent="0.2">
      <c r="A3727" s="5">
        <v>3666</v>
      </c>
      <c r="B3727" s="138">
        <f>'Tax Sched 23'!C13</f>
        <v>42156</v>
      </c>
      <c r="D3727" s="2" t="str">
        <f t="shared" si="57"/>
        <v>Error?</v>
      </c>
    </row>
    <row r="3728" spans="1:4" x14ac:dyDescent="0.2">
      <c r="A3728" s="5">
        <v>3667</v>
      </c>
      <c r="B3728" s="138">
        <f>'Tax Sched 23'!F13</f>
        <v>51496</v>
      </c>
      <c r="C3728" s="2" t="s">
        <v>573</v>
      </c>
      <c r="D3728" s="2" t="str">
        <f t="shared" si="57"/>
        <v>Error?</v>
      </c>
    </row>
    <row r="3729" spans="1:4" x14ac:dyDescent="0.2">
      <c r="A3729" s="5">
        <v>3668</v>
      </c>
      <c r="B3729" s="138">
        <f>'Tax Sched 23'!E13</f>
        <v>93652</v>
      </c>
      <c r="D3729" s="2" t="str">
        <f t="shared" si="57"/>
        <v>Error?</v>
      </c>
    </row>
    <row r="3730" spans="1:4" x14ac:dyDescent="0.2">
      <c r="A3730" s="5">
        <v>3669</v>
      </c>
      <c r="B3730" s="138">
        <f>'ICR Computation 30'!E10</f>
        <v>136933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2902</v>
      </c>
      <c r="D4083" s="2" t="str">
        <f t="shared" si="62"/>
        <v>Error?</v>
      </c>
    </row>
    <row r="4084" spans="1:4" x14ac:dyDescent="0.2">
      <c r="A4084" s="5">
        <v>4023</v>
      </c>
      <c r="B4084" s="138">
        <f>'Expenditures 15-22'!F180</f>
        <v>2319</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5221</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2391348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11038882</v>
      </c>
      <c r="C4122" s="2" t="s">
        <v>573</v>
      </c>
      <c r="D4122" s="2" t="str">
        <f t="shared" si="63"/>
        <v>Error?</v>
      </c>
    </row>
    <row r="4123" spans="1:4" x14ac:dyDescent="0.2">
      <c r="A4123" s="5">
        <v>4062</v>
      </c>
      <c r="B4123" s="138">
        <f>'Acct Summary 7-8'!D10</f>
        <v>2712551</v>
      </c>
      <c r="C4123" s="2" t="s">
        <v>573</v>
      </c>
      <c r="D4123" s="2" t="str">
        <f t="shared" si="63"/>
        <v>Error?</v>
      </c>
    </row>
    <row r="4124" spans="1:4" x14ac:dyDescent="0.2">
      <c r="A4124" s="5">
        <v>4063</v>
      </c>
      <c r="B4124" s="138">
        <f>'Acct Summary 7-8'!E10</f>
        <v>57444</v>
      </c>
      <c r="C4124" s="2" t="s">
        <v>573</v>
      </c>
      <c r="D4124" s="2" t="str">
        <f t="shared" si="63"/>
        <v>Error?</v>
      </c>
    </row>
    <row r="4125" spans="1:4" x14ac:dyDescent="0.2">
      <c r="A4125" s="5">
        <v>4064</v>
      </c>
      <c r="B4125" s="138">
        <f>'Acct Summary 7-8'!F10</f>
        <v>622830</v>
      </c>
      <c r="C4125" s="2" t="s">
        <v>573</v>
      </c>
      <c r="D4125" s="2" t="str">
        <f t="shared" si="63"/>
        <v>Error?</v>
      </c>
    </row>
    <row r="4126" spans="1:4" x14ac:dyDescent="0.2">
      <c r="A4126" s="5">
        <v>4065</v>
      </c>
      <c r="B4126" s="138">
        <f>'Acct Summary 7-8'!G10</f>
        <v>457303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98800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71938</v>
      </c>
      <c r="C4130" s="2" t="s">
        <v>573</v>
      </c>
      <c r="D4130" s="2" t="str">
        <f t="shared" si="63"/>
        <v>Error?</v>
      </c>
    </row>
    <row r="4131" spans="1:4" x14ac:dyDescent="0.2">
      <c r="A4131" s="5">
        <v>4070</v>
      </c>
      <c r="B4131" s="138">
        <f>'Acct Summary 7-8'!C18</f>
        <v>2391348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11192759</v>
      </c>
      <c r="C4136" s="2" t="s">
        <v>573</v>
      </c>
      <c r="D4136" s="2" t="str">
        <f t="shared" si="63"/>
        <v>Error?</v>
      </c>
    </row>
    <row r="4137" spans="1:4" x14ac:dyDescent="0.2">
      <c r="A4137" s="5">
        <v>4076</v>
      </c>
      <c r="B4137" s="138">
        <f>'Acct Summary 7-8'!D19</f>
        <v>860717</v>
      </c>
      <c r="C4137" s="2" t="s">
        <v>573</v>
      </c>
      <c r="D4137" s="2" t="str">
        <f t="shared" si="63"/>
        <v>Error?</v>
      </c>
    </row>
    <row r="4138" spans="1:4" x14ac:dyDescent="0.2">
      <c r="A4138" s="5">
        <v>4077</v>
      </c>
      <c r="B4138" s="138">
        <f>'Acct Summary 7-8'!E19</f>
        <v>2343056</v>
      </c>
      <c r="C4138" s="2" t="s">
        <v>573</v>
      </c>
      <c r="D4138" s="2" t="str">
        <f t="shared" si="63"/>
        <v>Error?</v>
      </c>
    </row>
    <row r="4139" spans="1:4" x14ac:dyDescent="0.2">
      <c r="A4139" s="5">
        <v>4078</v>
      </c>
      <c r="B4139" s="138">
        <f>'Acct Summary 7-8'!F19</f>
        <v>901726</v>
      </c>
      <c r="C4139" s="2" t="s">
        <v>573</v>
      </c>
      <c r="D4139" s="2" t="str">
        <f t="shared" si="63"/>
        <v>Error?</v>
      </c>
    </row>
    <row r="4140" spans="1:4" x14ac:dyDescent="0.2">
      <c r="A4140" s="5">
        <v>4079</v>
      </c>
      <c r="B4140" s="138">
        <f>'Acct Summary 7-8'!G19</f>
        <v>299386</v>
      </c>
      <c r="C4140" s="2" t="s">
        <v>573</v>
      </c>
      <c r="D4140" s="2" t="str">
        <f t="shared" si="63"/>
        <v>Error?</v>
      </c>
    </row>
    <row r="4141" spans="1:4" x14ac:dyDescent="0.2">
      <c r="A4141" s="5">
        <v>4080</v>
      </c>
      <c r="B4141" s="138">
        <f>'Acct Summary 7-8'!H19</f>
        <v>7023955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8925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33590000</v>
      </c>
      <c r="C4171" s="2" t="s">
        <v>573</v>
      </c>
      <c r="D4171" s="2" t="str">
        <f t="shared" si="64"/>
        <v>Error?</v>
      </c>
    </row>
    <row r="4172" spans="1:4" x14ac:dyDescent="0.2">
      <c r="A4172" s="5">
        <v>4111</v>
      </c>
      <c r="B4172" s="138">
        <f>'Short-Term Long-Term Debt 24'!J49</f>
        <v>33561215</v>
      </c>
      <c r="C4172" s="2" t="s">
        <v>573</v>
      </c>
      <c r="D4172" s="2" t="str">
        <f t="shared" si="64"/>
        <v>Error?</v>
      </c>
    </row>
    <row r="4173" spans="1:4" x14ac:dyDescent="0.2">
      <c r="A4173" s="5">
        <v>4112</v>
      </c>
      <c r="B4173" s="138">
        <f>'Short-Term Long-Term Debt 24'!H49</f>
        <v>1035000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2136.9</v>
      </c>
      <c r="C4265" s="2" t="s">
        <v>573</v>
      </c>
      <c r="D4265" s="2" t="str">
        <f t="shared" si="65"/>
        <v>Error?</v>
      </c>
      <c r="E4265" s="128"/>
    </row>
    <row r="4266" spans="1:5" x14ac:dyDescent="0.2">
      <c r="A4266" s="12">
        <v>4205</v>
      </c>
      <c r="B4266" s="138">
        <f>('FP Info 3'!F10)*100000</f>
        <v>325</v>
      </c>
      <c r="C4266" s="2" t="s">
        <v>573</v>
      </c>
      <c r="D4266" s="2" t="str">
        <f t="shared" si="65"/>
        <v>Error?</v>
      </c>
      <c r="E4266" s="128"/>
    </row>
    <row r="4267" spans="1:5" x14ac:dyDescent="0.2">
      <c r="A4267" s="12">
        <v>4206</v>
      </c>
      <c r="B4267" s="138">
        <f>('FP Info 3'!H10)*100000</f>
        <v>112.19999999999999</v>
      </c>
      <c r="C4267" s="2" t="s">
        <v>573</v>
      </c>
      <c r="D4267" s="2" t="str">
        <f t="shared" si="65"/>
        <v>Error?</v>
      </c>
      <c r="E4267" s="128"/>
    </row>
    <row r="4268" spans="1:5" x14ac:dyDescent="0.2">
      <c r="A4268" s="12">
        <v>4207</v>
      </c>
      <c r="B4268" s="138">
        <f>('FP Info 3'!J10)*100000</f>
        <v>2574</v>
      </c>
      <c r="C4268" s="2" t="s">
        <v>573</v>
      </c>
      <c r="D4268" s="2" t="str">
        <f t="shared" si="65"/>
        <v>Error?</v>
      </c>
    </row>
    <row r="4269" spans="1:5" x14ac:dyDescent="0.2">
      <c r="A4269" s="12">
        <v>4208</v>
      </c>
      <c r="B4269" s="138">
        <f>'FP Info 3'!J16</f>
        <v>12877133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18773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15773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17339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28.9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32641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312173037</v>
      </c>
      <c r="D4995" s="2" t="str">
        <f t="shared" si="77"/>
        <v>Error?</v>
      </c>
    </row>
    <row r="4996" spans="1:4" x14ac:dyDescent="0.2">
      <c r="A4996" s="12">
        <v>4935</v>
      </c>
      <c r="B4996" s="138">
        <f>'FP Info 3'!H31</f>
        <v>21539939.553000003</v>
      </c>
      <c r="D4996" s="2" t="str">
        <f t="shared" si="77"/>
        <v>Error?</v>
      </c>
    </row>
    <row r="4997" spans="1:4" x14ac:dyDescent="0.2">
      <c r="A4997" s="12">
        <v>4936</v>
      </c>
      <c r="B4997" s="138">
        <f>'FP Info 3'!H37</f>
        <v>33590000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113194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6067175</v>
      </c>
      <c r="D5061" s="2" t="str">
        <f t="shared" si="78"/>
        <v>Error?</v>
      </c>
    </row>
    <row r="5062" spans="1:4" x14ac:dyDescent="0.2">
      <c r="A5062" s="10">
        <v>5001</v>
      </c>
      <c r="D5062" s="2" t="str">
        <f t="shared" si="78"/>
        <v>OK</v>
      </c>
    </row>
    <row r="5063" spans="1:4" x14ac:dyDescent="0.2">
      <c r="A5063" s="5">
        <v>5002</v>
      </c>
      <c r="B5063" s="138">
        <f>'Revenues 9-14'!C7</f>
        <v>62686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6243055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240314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240314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100</v>
      </c>
      <c r="D5094" s="2" t="str">
        <f t="shared" si="78"/>
        <v>Error?</v>
      </c>
    </row>
    <row r="5095" spans="1:4" x14ac:dyDescent="0.2">
      <c r="A5095" s="5">
        <v>5034</v>
      </c>
      <c r="B5095" s="138">
        <f>'Revenues 9-14'!C74</f>
        <v>120</v>
      </c>
      <c r="D5095" s="2" t="str">
        <f t="shared" si="78"/>
        <v>Error?</v>
      </c>
    </row>
    <row r="5096" spans="1:4" x14ac:dyDescent="0.2">
      <c r="A5096" s="5">
        <v>5035</v>
      </c>
      <c r="B5096" s="138">
        <f>'Revenues 9-14'!C75</f>
        <v>220</v>
      </c>
      <c r="C5096" s="2" t="s">
        <v>573</v>
      </c>
      <c r="D5096" s="2" t="str">
        <f t="shared" si="78"/>
        <v>Error?</v>
      </c>
    </row>
    <row r="5097" spans="1:4" x14ac:dyDescent="0.2">
      <c r="A5097" s="5">
        <v>5036</v>
      </c>
      <c r="B5097" s="138">
        <f>'Revenues 9-14'!C77</f>
        <v>378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890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2852</v>
      </c>
      <c r="D5101" s="2" t="str">
        <f t="shared" si="78"/>
        <v>Error?</v>
      </c>
    </row>
    <row r="5102" spans="1:4" x14ac:dyDescent="0.2">
      <c r="A5102" s="5">
        <v>5041</v>
      </c>
      <c r="B5102" s="138">
        <f>'Revenues 9-14'!C82</f>
        <v>4120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53750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7002</v>
      </c>
      <c r="D5119" s="2" t="str">
        <f t="shared" ref="D5119:D5182" si="79">IF(ISBLANK(B5119),"OK",IF(A5119-B5119=0,"OK","Error?"))</f>
        <v>Error?</v>
      </c>
    </row>
    <row r="5120" spans="1:4" x14ac:dyDescent="0.2">
      <c r="A5120" s="5">
        <v>5059</v>
      </c>
      <c r="B5120" s="138">
        <f>'Revenues 9-14'!C108</f>
        <v>60752</v>
      </c>
      <c r="C5120" s="2" t="s">
        <v>573</v>
      </c>
      <c r="D5120" s="2" t="str">
        <f t="shared" si="79"/>
        <v>Error?</v>
      </c>
    </row>
    <row r="5121" spans="1:4" x14ac:dyDescent="0.2">
      <c r="A5121" s="5">
        <v>5060</v>
      </c>
      <c r="B5121" s="138">
        <f>'Revenues 9-14'!C109</f>
        <v>6548476</v>
      </c>
      <c r="C5121" s="2" t="s">
        <v>573</v>
      </c>
      <c r="D5121" s="2" t="str">
        <f t="shared" si="79"/>
        <v>Error?</v>
      </c>
    </row>
    <row r="5122" spans="1:4" x14ac:dyDescent="0.2">
      <c r="A5122" s="5">
        <v>5061</v>
      </c>
      <c r="B5122" s="138">
        <f>'Revenues 9-14'!C111</f>
        <v>7950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7950</v>
      </c>
      <c r="C5125" s="2" t="s">
        <v>573</v>
      </c>
      <c r="D5125" s="2" t="str">
        <f t="shared" si="79"/>
        <v>Error?</v>
      </c>
    </row>
    <row r="5126" spans="1:4" x14ac:dyDescent="0.2">
      <c r="A5126" s="5">
        <v>5065</v>
      </c>
      <c r="B5126" s="138">
        <f>'Revenues 9-14'!C117</f>
        <v>1002886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1002886</v>
      </c>
      <c r="C5132" s="2" t="s">
        <v>573</v>
      </c>
      <c r="D5132" s="2" t="str">
        <f t="shared" si="79"/>
        <v>Error?</v>
      </c>
    </row>
    <row r="5133" spans="1:4" x14ac:dyDescent="0.2">
      <c r="A5133" s="5">
        <v>5072</v>
      </c>
      <c r="B5133" s="138">
        <f>'Revenues 9-14'!C125</f>
        <v>6366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6366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7446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318509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364962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1367848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235146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143817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6437</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405402</v>
      </c>
      <c r="C5246" s="2" t="s">
        <v>573</v>
      </c>
      <c r="D5246" s="2" t="str">
        <f t="shared" si="80"/>
        <v>Error?</v>
      </c>
    </row>
    <row r="5247" spans="1:4" x14ac:dyDescent="0.2">
      <c r="A5247" s="5">
        <v>5186</v>
      </c>
      <c r="B5247" s="138">
        <f>'Revenues 9-14'!C200</f>
        <v>187049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15773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187049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78924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78924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723260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723260</v>
      </c>
      <c r="C5326" s="2" t="s">
        <v>573</v>
      </c>
      <c r="D5326" s="2" t="str">
        <f t="shared" si="82"/>
        <v>Error?</v>
      </c>
    </row>
    <row r="5327" spans="1:5" x14ac:dyDescent="0.2">
      <c r="A5327" s="5">
        <v>5266</v>
      </c>
      <c r="B5327" s="138">
        <f>'Revenues 9-14'!C268</f>
        <v>8647534</v>
      </c>
      <c r="C5327" s="2" t="s">
        <v>573</v>
      </c>
      <c r="D5327" s="2" t="str">
        <f t="shared" si="82"/>
        <v>Error?</v>
      </c>
    </row>
    <row r="5328" spans="1:5" x14ac:dyDescent="0.2">
      <c r="A5328" s="5">
        <v>5267</v>
      </c>
      <c r="B5328" s="138">
        <f>'Revenues 9-14'!D5</f>
        <v>843006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843006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1862203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1862203</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3342</v>
      </c>
      <c r="D5354" s="2" t="str">
        <f t="shared" si="82"/>
        <v>Error?</v>
      </c>
    </row>
    <row r="5355" spans="1:4" x14ac:dyDescent="0.2">
      <c r="A5355" s="5">
        <v>5294</v>
      </c>
      <c r="B5355" s="138">
        <f>'Revenues 9-14'!D108</f>
        <v>7342</v>
      </c>
      <c r="C5355" s="2" t="s">
        <v>573</v>
      </c>
      <c r="D5355" s="2" t="str">
        <f t="shared" si="82"/>
        <v>Error?</v>
      </c>
    </row>
    <row r="5356" spans="1:4" x14ac:dyDescent="0.2">
      <c r="A5356" s="5">
        <v>5295</v>
      </c>
      <c r="B5356" s="138">
        <f>'Revenues 9-14'!D109</f>
        <v>2712551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2712551</v>
      </c>
      <c r="C5508" s="2" t="s">
        <v>573</v>
      </c>
      <c r="D5508" s="2" t="str">
        <f t="shared" si="85"/>
        <v>Error?</v>
      </c>
    </row>
    <row r="5509" spans="1:4" x14ac:dyDescent="0.2">
      <c r="A5509" s="5">
        <v>5448</v>
      </c>
      <c r="B5509" s="138">
        <f>'Revenues 9-14'!E5</f>
        <v>57444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57444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57444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57444</v>
      </c>
      <c r="C5552" s="2" t="s">
        <v>573</v>
      </c>
      <c r="D5552" s="2" t="str">
        <f t="shared" si="85"/>
        <v>Error?</v>
      </c>
    </row>
    <row r="5553" spans="1:4" x14ac:dyDescent="0.2">
      <c r="A5553" s="5">
        <v>5492</v>
      </c>
      <c r="B5553" s="138">
        <f>'Revenues 9-14'!F5</f>
        <v>171465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171465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30731</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30731</v>
      </c>
      <c r="C5579" s="2" t="s">
        <v>573</v>
      </c>
      <c r="D5579" s="2" t="str">
        <f t="shared" si="86"/>
        <v>Error?</v>
      </c>
    </row>
    <row r="5580" spans="1:4" x14ac:dyDescent="0.2">
      <c r="A5580" s="5">
        <v>5519</v>
      </c>
      <c r="B5580" s="138">
        <f>'Revenues 9-14'!F65</f>
        <v>-1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100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100</v>
      </c>
      <c r="C5587" s="2" t="s">
        <v>573</v>
      </c>
      <c r="D5587" s="2" t="str">
        <f t="shared" si="86"/>
        <v>Error?</v>
      </c>
    </row>
    <row r="5588" spans="1:4" x14ac:dyDescent="0.2">
      <c r="A5588" s="5">
        <v>5527</v>
      </c>
      <c r="B5588" s="138">
        <f>'Revenues 9-14'!F109</f>
        <v>202294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106857</v>
      </c>
      <c r="D5615" s="2" t="str">
        <f t="shared" si="86"/>
        <v>Error?</v>
      </c>
    </row>
    <row r="5616" spans="1:4" x14ac:dyDescent="0.2">
      <c r="A5616" s="10">
        <v>5555</v>
      </c>
      <c r="D5616" s="2" t="str">
        <f t="shared" si="86"/>
        <v>OK</v>
      </c>
    </row>
    <row r="5617" spans="1:5" x14ac:dyDescent="0.2">
      <c r="A5617" s="5">
        <v>5556</v>
      </c>
      <c r="B5617" s="138">
        <f>'Revenues 9-14'!F153</f>
        <v>313679</v>
      </c>
      <c r="D5617" s="2" t="str">
        <f t="shared" si="86"/>
        <v>Error?</v>
      </c>
    </row>
    <row r="5618" spans="1:5" x14ac:dyDescent="0.2">
      <c r="A5618" s="5">
        <v>5557</v>
      </c>
      <c r="B5618" s="138">
        <f>'Revenues 9-14'!F155</f>
        <v>420536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420536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420536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622830</v>
      </c>
      <c r="C5720" s="2" t="s">
        <v>573</v>
      </c>
      <c r="D5720" s="2" t="str">
        <f t="shared" si="88"/>
        <v>Error?</v>
      </c>
    </row>
    <row r="5721" spans="1:4" x14ac:dyDescent="0.2">
      <c r="A5721" s="5">
        <v>5660</v>
      </c>
      <c r="B5721" s="138">
        <f>'Revenues 9-14'!G5</f>
        <v>179645</v>
      </c>
      <c r="D5721" s="2" t="str">
        <f t="shared" si="88"/>
        <v>Error?</v>
      </c>
    </row>
    <row r="5722" spans="1:4" x14ac:dyDescent="0.2">
      <c r="A5722" s="5">
        <v>5661</v>
      </c>
      <c r="B5722" s="138">
        <f>'Revenues 9-14'!G7</f>
        <v>0</v>
      </c>
      <c r="D5722" s="2" t="str">
        <f t="shared" si="88"/>
        <v>Error?</v>
      </c>
    </row>
    <row r="5723" spans="1:4" x14ac:dyDescent="0.2">
      <c r="A5723" s="5">
        <v>5662</v>
      </c>
      <c r="B5723" s="138">
        <f>'Revenues 9-14'!G8</f>
        <v>179645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359290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98013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98013</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457303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98800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98800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98800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71938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71938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71938</v>
      </c>
      <c r="C6023" s="2" t="s">
        <v>573</v>
      </c>
      <c r="D6023" s="2" t="str">
        <f t="shared" si="93"/>
        <v>Error?</v>
      </c>
    </row>
    <row r="6024" spans="1:5" x14ac:dyDescent="0.2">
      <c r="A6024" s="5">
        <v>5963</v>
      </c>
      <c r="B6024" s="138">
        <f>'Revenues 9-14'!G109</f>
        <v>457303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98800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71938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26840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416.9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214080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214080</v>
      </c>
      <c r="D6215" s="2" t="str">
        <f t="shared" si="96"/>
        <v>Error?</v>
      </c>
      <c r="E6215" s="2" t="s">
        <v>190</v>
      </c>
    </row>
    <row r="6216" spans="1:5" x14ac:dyDescent="0.2">
      <c r="A6216">
        <v>6155</v>
      </c>
      <c r="B6216" s="138">
        <f>'Assets-Liab 5-6'!J41</f>
        <v>214080</v>
      </c>
      <c r="D6216" s="2" t="str">
        <f t="shared" si="96"/>
        <v>Error?</v>
      </c>
      <c r="E6216" s="2" t="s">
        <v>190</v>
      </c>
    </row>
    <row r="6217" spans="1:5" x14ac:dyDescent="0.2">
      <c r="A6217">
        <v>6156</v>
      </c>
      <c r="B6217" s="138">
        <f>'Assets-Liab 5-6'!J4</f>
        <v>214080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26673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26673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26673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198000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198000</v>
      </c>
      <c r="D6229" s="2" t="str">
        <f t="shared" si="96"/>
        <v>Error?</v>
      </c>
      <c r="E6229" s="2" t="s">
        <v>190</v>
      </c>
    </row>
    <row r="6230" spans="1:5" x14ac:dyDescent="0.2">
      <c r="A6230">
        <v>6169</v>
      </c>
      <c r="B6230" s="138">
        <f>'Acct Summary 7-8'!J20</f>
        <v>-171327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-171327</v>
      </c>
      <c r="D6263" s="2" t="str">
        <f t="shared" si="96"/>
        <v>Error?</v>
      </c>
      <c r="E6263" s="2" t="s">
        <v>190</v>
      </c>
    </row>
    <row r="6264" spans="1:5" x14ac:dyDescent="0.2">
      <c r="A6264">
        <v>6203</v>
      </c>
      <c r="B6264" s="138">
        <f>'Acct Summary 7-8'!J79</f>
        <v>385407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214080</v>
      </c>
      <c r="D6266" s="2" t="str">
        <f t="shared" si="96"/>
        <v>Error?</v>
      </c>
      <c r="E6266" s="2" t="s">
        <v>190</v>
      </c>
    </row>
    <row r="6267" spans="1:5" x14ac:dyDescent="0.2">
      <c r="A6267">
        <v>6206</v>
      </c>
      <c r="B6267" s="138">
        <f>'Acct Summary 7-8'!C82</f>
        <v>-55077</v>
      </c>
      <c r="D6267" s="2" t="str">
        <f t="shared" si="96"/>
        <v>Error?</v>
      </c>
      <c r="E6267" s="2" t="s">
        <v>190</v>
      </c>
    </row>
    <row r="6268" spans="1:5" x14ac:dyDescent="0.2">
      <c r="A6268">
        <v>6207</v>
      </c>
      <c r="B6268" s="138">
        <f>'Acct Summary 7-8'!D82</f>
        <v>-432028</v>
      </c>
      <c r="D6268" s="2" t="str">
        <f t="shared" si="96"/>
        <v>Error?</v>
      </c>
      <c r="E6268" s="2" t="s">
        <v>190</v>
      </c>
    </row>
    <row r="6269" spans="1:5" x14ac:dyDescent="0.2">
      <c r="A6269">
        <v>6208</v>
      </c>
      <c r="B6269" s="138">
        <f>'Acct Summary 7-8'!E82</f>
        <v>-1750</v>
      </c>
      <c r="D6269" s="2" t="str">
        <f t="shared" si="96"/>
        <v>Error?</v>
      </c>
      <c r="E6269" s="2" t="s">
        <v>190</v>
      </c>
    </row>
    <row r="6270" spans="1:5" x14ac:dyDescent="0.2">
      <c r="A6270">
        <v>6209</v>
      </c>
      <c r="B6270" s="138">
        <f>'Acct Summary 7-8'!F82</f>
        <v>-278896</v>
      </c>
      <c r="D6270" s="2" t="str">
        <f t="shared" si="96"/>
        <v>Error?</v>
      </c>
      <c r="E6270" s="2" t="s">
        <v>190</v>
      </c>
    </row>
    <row r="6271" spans="1:5" x14ac:dyDescent="0.2">
      <c r="A6271">
        <v>6210</v>
      </c>
      <c r="B6271" s="138">
        <f>'Acct Summary 7-8'!G82</f>
        <v>157917</v>
      </c>
      <c r="D6271" s="2" t="str">
        <f t="shared" ref="D6271:D6334" si="97">IF(ISBLANK(B6271),"OK",IF(A6271-B6271=0,"OK","Error?"))</f>
        <v>Error?</v>
      </c>
      <c r="E6271" s="2" t="s">
        <v>190</v>
      </c>
    </row>
    <row r="6272" spans="1:5" x14ac:dyDescent="0.2">
      <c r="A6272">
        <v>6211</v>
      </c>
      <c r="B6272" s="138">
        <f>'Acct Summary 7-8'!H82</f>
        <v>-7023955</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-171327</v>
      </c>
      <c r="D6274" s="2" t="str">
        <f t="shared" si="97"/>
        <v>Error?</v>
      </c>
      <c r="E6274" s="2" t="s">
        <v>190</v>
      </c>
    </row>
    <row r="6275" spans="1:5" x14ac:dyDescent="0.2">
      <c r="A6275">
        <v>6214</v>
      </c>
      <c r="B6275" s="138">
        <f>'Acct Summary 7-8'!K82</f>
        <v>63013</v>
      </c>
      <c r="D6275" s="2" t="str">
        <f t="shared" si="97"/>
        <v>Error?</v>
      </c>
      <c r="E6275" s="2" t="s">
        <v>190</v>
      </c>
    </row>
    <row r="6276" spans="1:5" x14ac:dyDescent="0.2">
      <c r="A6276">
        <v>6215</v>
      </c>
      <c r="B6276" s="138">
        <f>'Acct Summary 7-8'!C83</f>
        <v>-4.6919972214503084E-3</v>
      </c>
      <c r="D6276" s="2" t="str">
        <f t="shared" si="97"/>
        <v>Error?</v>
      </c>
      <c r="E6276" s="2" t="s">
        <v>190</v>
      </c>
    </row>
    <row r="6277" spans="1:5" x14ac:dyDescent="0.2">
      <c r="A6277">
        <v>6216</v>
      </c>
      <c r="B6277" s="138">
        <f>'Acct Summary 7-8'!D83</f>
        <v>-1.1028155711550733</v>
      </c>
      <c r="D6277" s="2" t="str">
        <f t="shared" si="97"/>
        <v>Error?</v>
      </c>
      <c r="E6277" s="2" t="s">
        <v>190</v>
      </c>
    </row>
    <row r="6278" spans="1:5" x14ac:dyDescent="0.2">
      <c r="A6278">
        <v>6217</v>
      </c>
      <c r="B6278" s="138">
        <f>'Acct Summary 7-8'!E83</f>
        <v>-6.0795553239534478E-2</v>
      </c>
      <c r="D6278" s="2" t="str">
        <f t="shared" si="97"/>
        <v>Error?</v>
      </c>
      <c r="E6278" s="2" t="s">
        <v>190</v>
      </c>
    </row>
    <row r="6279" spans="1:5" x14ac:dyDescent="0.2">
      <c r="A6279">
        <v>6218</v>
      </c>
      <c r="B6279" s="138">
        <f>'Acct Summary 7-8'!F83</f>
        <v>-0.37341223883194868</v>
      </c>
      <c r="D6279" s="2" t="str">
        <f t="shared" si="97"/>
        <v>Error?</v>
      </c>
      <c r="E6279" s="2" t="s">
        <v>190</v>
      </c>
    </row>
    <row r="6280" spans="1:5" x14ac:dyDescent="0.2">
      <c r="A6280">
        <v>6219</v>
      </c>
      <c r="B6280" s="138">
        <f>'Acct Summary 7-8'!G83</f>
        <v>0.36031404868165268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-0.80029428251121071</v>
      </c>
      <c r="D6283" s="2" t="str">
        <f t="shared" si="97"/>
        <v>Error?</v>
      </c>
      <c r="E6283" s="2" t="s">
        <v>190</v>
      </c>
    </row>
    <row r="6284" spans="1:5" x14ac:dyDescent="0.2">
      <c r="A6284">
        <v>6223</v>
      </c>
      <c r="B6284" s="138">
        <f>'Acct Summary 7-8'!K83</f>
        <v>6.4670571415962538E-2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990000</v>
      </c>
      <c r="D6287" s="2" t="str">
        <f t="shared" si="97"/>
        <v>Error?</v>
      </c>
      <c r="E6287" s="2" t="s">
        <v>190</v>
      </c>
    </row>
    <row r="6288" spans="1:5" x14ac:dyDescent="0.2">
      <c r="A6288">
        <v>6227</v>
      </c>
      <c r="B6288" s="138">
        <f>'Acct Summary 7-8'!E40</f>
        <v>1293862</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26673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26673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26673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275000</v>
      </c>
      <c r="D6983" s="2" t="str">
        <f t="shared" si="108"/>
        <v>Error?</v>
      </c>
    </row>
    <row r="6984" spans="1:4" x14ac:dyDescent="0.2">
      <c r="A6984">
        <v>6923</v>
      </c>
      <c r="B6984" s="138">
        <f>'Expenditures 15-22'!K86</f>
        <v>275000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275000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198000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26673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66662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66662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68768</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68768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62570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62570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68768</v>
      </c>
      <c r="D7200" s="2" t="str">
        <f t="shared" si="111"/>
        <v>Error?</v>
      </c>
    </row>
    <row r="7201" spans="1:4" x14ac:dyDescent="0.2">
      <c r="A7201">
        <v>7140</v>
      </c>
      <c r="B7201" s="138">
        <f>'Expenditures 15-22'!E330</f>
        <v>129232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198000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68768</v>
      </c>
      <c r="D7217" s="2" t="str">
        <f t="shared" si="111"/>
        <v>Error?</v>
      </c>
    </row>
    <row r="7218" spans="1:4" x14ac:dyDescent="0.2">
      <c r="A7218">
        <v>7157</v>
      </c>
      <c r="B7218" s="138">
        <f>'Expenditures 15-22'!E342</f>
        <v>129232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198000</v>
      </c>
      <c r="D7224" s="2" t="str">
        <f t="shared" si="111"/>
        <v>Error?</v>
      </c>
    </row>
    <row r="7225" spans="1:4" x14ac:dyDescent="0.2">
      <c r="A7225">
        <v>7164</v>
      </c>
      <c r="B7225" s="138">
        <f>'Expenditures 15-22'!K343</f>
        <v>-171327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1360597</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1360597</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1360597</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294392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990000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1293862</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20002</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62686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98800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188944</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138944</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1989</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Laraway CCSD 70C</v>
      </c>
      <c r="B7" s="2389"/>
      <c r="C7" s="2389"/>
      <c r="D7" s="2426"/>
      <c r="E7" s="2427" t="str">
        <f>COVER!A13</f>
        <v>56099070C04</v>
      </c>
      <c r="F7" s="2428"/>
      <c r="G7" s="2395" t="str">
        <f>COVER!T23</f>
        <v>066-004945</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GASSENSMITH &amp; MICHALESKO, LTD.</v>
      </c>
      <c r="H9" s="2402"/>
      <c r="I9" s="2402"/>
      <c r="J9" s="2402"/>
      <c r="K9" s="2402"/>
      <c r="L9" s="2403"/>
    </row>
    <row r="10" spans="1:29" ht="13.5" customHeight="1" x14ac:dyDescent="0.2">
      <c r="A10" s="2385" t="str">
        <f>COVER!A38</f>
        <v>DR. JOSEPH R SALMIERI III</v>
      </c>
      <c r="B10" s="2386"/>
      <c r="C10" s="2386"/>
      <c r="D10" s="2386"/>
      <c r="E10" s="2386"/>
      <c r="F10" s="2387"/>
      <c r="G10" s="2401" t="str">
        <f>COVER!T17</f>
        <v>323 SPRINGFIELD</v>
      </c>
      <c r="H10" s="2414"/>
      <c r="I10" s="2414"/>
      <c r="J10" s="2414"/>
      <c r="K10" s="2414"/>
      <c r="L10" s="2415"/>
    </row>
    <row r="11" spans="1:29" ht="13.5" customHeight="1" x14ac:dyDescent="0.2">
      <c r="A11" s="1184" t="s">
        <v>1519</v>
      </c>
      <c r="B11" s="1185"/>
      <c r="C11" s="1186"/>
      <c r="D11" s="1191"/>
      <c r="E11" s="1186"/>
      <c r="F11" s="1190"/>
      <c r="G11" s="2401" t="str">
        <f>COVER!T19</f>
        <v>JOLIET</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f>COVER!T25</f>
        <v>0</v>
      </c>
      <c r="J13" s="2423"/>
      <c r="K13" s="2423"/>
      <c r="L13" s="2424"/>
    </row>
    <row r="14" spans="1:29" ht="13.5" customHeight="1" x14ac:dyDescent="0.2">
      <c r="A14" s="2401" t="str">
        <f>COVER!A19</f>
        <v>1715 ROWELL AVE.</v>
      </c>
      <c r="B14" s="2414"/>
      <c r="C14" s="2414"/>
      <c r="D14" s="2414"/>
      <c r="E14" s="2414"/>
      <c r="F14" s="2415"/>
      <c r="G14" s="1195" t="s">
        <v>1185</v>
      </c>
      <c r="H14" s="1193"/>
      <c r="I14" s="1193"/>
      <c r="J14" s="1193"/>
      <c r="K14" s="1193"/>
      <c r="L14" s="1194"/>
    </row>
    <row r="15" spans="1:29" ht="13.5" customHeight="1" x14ac:dyDescent="0.2">
      <c r="A15" s="2401" t="str">
        <f>COVER!A21</f>
        <v>JOLIET</v>
      </c>
      <c r="B15" s="2414"/>
      <c r="C15" s="2414"/>
      <c r="D15" s="2414"/>
      <c r="E15" s="2414"/>
      <c r="F15" s="2415"/>
      <c r="G15" s="2411" t="str">
        <f>COVER!T15</f>
        <v>JOHN MICHALESKO</v>
      </c>
      <c r="H15" s="2412"/>
      <c r="I15" s="2412"/>
      <c r="J15" s="2412"/>
      <c r="K15" s="2412"/>
      <c r="L15" s="2413"/>
    </row>
    <row r="16" spans="1:29" ht="12.2" customHeight="1" x14ac:dyDescent="0.2">
      <c r="A16" s="2391">
        <f>COVER!A25</f>
        <v>60433</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815-744-6400</v>
      </c>
      <c r="H18" s="2389"/>
      <c r="I18" s="2389"/>
      <c r="J18" s="2389"/>
      <c r="K18" s="2388" t="str">
        <f>COVER!X21</f>
        <v>815-744-3822</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Laraway CCSD 70C</v>
      </c>
      <c r="B1" s="2425"/>
      <c r="C1" s="2425"/>
      <c r="D1" s="2425"/>
    </row>
    <row r="2" spans="1:11" s="1212" customFormat="1" ht="12.75" x14ac:dyDescent="0.2">
      <c r="A2" s="2430" t="str">
        <f>'Single Audit Cover'!E7</f>
        <v>56099070C04</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Laraway CCSD 70C</v>
      </c>
      <c r="B1" s="2433"/>
      <c r="C1" s="2433"/>
      <c r="D1" s="2433"/>
      <c r="E1" s="2433"/>
    </row>
    <row r="2" spans="1:5" x14ac:dyDescent="0.2">
      <c r="A2" s="2434" t="str">
        <f>'Single Audit Cover'!E7</f>
        <v>56099070C04</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723260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26840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750100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750100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750100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Laraway CCSD 70C</v>
      </c>
      <c r="C1" s="2437"/>
      <c r="D1" s="2437"/>
      <c r="E1" s="2437"/>
      <c r="F1" s="2437"/>
      <c r="G1" s="2437"/>
      <c r="H1" s="2437"/>
      <c r="I1" s="2437"/>
      <c r="J1" s="2437"/>
      <c r="K1" s="2437"/>
      <c r="L1" s="2437"/>
      <c r="M1" s="2437"/>
    </row>
    <row r="2" spans="2:14" ht="15" x14ac:dyDescent="0.2">
      <c r="B2" s="2438" t="str">
        <f>'Single Audit Cover'!E7</f>
        <v>56099070C04</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Laraway CCSD 70C</v>
      </c>
      <c r="B1" s="2442"/>
      <c r="C1" s="2442"/>
      <c r="D1" s="2442"/>
      <c r="E1" s="2442"/>
      <c r="F1" s="2442"/>
    </row>
    <row r="2" spans="1:7" ht="13.5" customHeight="1" x14ac:dyDescent="0.2">
      <c r="A2" s="2438" t="str">
        <f>'Single Audit Cover'!E7</f>
        <v>56099070C04</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42" sqref="D42:H4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2075</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2065</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Laraway CCSD 70C</v>
      </c>
      <c r="C1" s="2458"/>
      <c r="D1" s="2458"/>
      <c r="E1" s="2458"/>
      <c r="F1" s="2458"/>
      <c r="G1" s="2458"/>
      <c r="H1" s="2458"/>
      <c r="I1" s="2458"/>
      <c r="J1" s="1406"/>
    </row>
    <row r="2" spans="2:10" s="317" customFormat="1" ht="12.75" customHeight="1" x14ac:dyDescent="0.2">
      <c r="B2" s="2459" t="str">
        <f>'Single Audit Cover'!E7</f>
        <v>56099070C04</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1841</v>
      </c>
      <c r="D45" s="2475">
        <v>0</v>
      </c>
      <c r="E45" s="247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7"/>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Laraway CCSD 70C</v>
      </c>
      <c r="C1" s="2457"/>
      <c r="D1" s="2457"/>
      <c r="E1" s="2457"/>
      <c r="F1" s="2457"/>
      <c r="G1" s="2457"/>
      <c r="H1" s="2457"/>
      <c r="I1" s="2457"/>
      <c r="J1" s="2457"/>
      <c r="K1" s="2457"/>
      <c r="L1" s="1371"/>
      <c r="M1" s="1371"/>
    </row>
    <row r="2" spans="1:13" ht="12" customHeight="1" x14ac:dyDescent="0.2">
      <c r="B2" s="2459" t="str">
        <f>'Single Audit Cover'!E7</f>
        <v>56099070C04</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Laraway CCSD 70C</v>
      </c>
      <c r="C1" s="2484"/>
      <c r="D1" s="2484"/>
      <c r="E1" s="2484"/>
      <c r="F1" s="2484"/>
      <c r="G1" s="2484"/>
      <c r="H1" s="2484"/>
      <c r="I1" s="2484"/>
      <c r="J1" s="2484"/>
      <c r="K1" s="2484"/>
      <c r="L1" s="1449"/>
    </row>
    <row r="2" spans="1:12" ht="12.75" customHeight="1" x14ac:dyDescent="0.2">
      <c r="B2" s="2485" t="str">
        <f>'Single Audit Cover'!E7</f>
        <v>56099070C04</v>
      </c>
      <c r="C2" s="2485"/>
      <c r="D2" s="2485"/>
      <c r="E2" s="2485"/>
      <c r="F2" s="2485"/>
      <c r="G2" s="2485"/>
      <c r="H2" s="2485"/>
      <c r="I2" s="2485"/>
      <c r="J2" s="2485"/>
      <c r="K2" s="2485"/>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Laraway CCSD 70C</v>
      </c>
      <c r="C1" s="2457"/>
      <c r="D1" s="2457"/>
      <c r="E1" s="1469"/>
    </row>
    <row r="2" spans="2:5" s="1279" customFormat="1" ht="12.75" customHeight="1" x14ac:dyDescent="0.2">
      <c r="B2" s="2459" t="str">
        <f>'Single Audit Cover'!E7</f>
        <v>56099070C04</v>
      </c>
      <c r="C2" s="2459"/>
      <c r="D2" s="2459"/>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42" sqref="D42:H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312173037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2.1368999999999999E-2</v>
      </c>
      <c r="E10" s="356" t="s">
        <v>1005</v>
      </c>
      <c r="F10" s="355">
        <v>3.2499999999999999E-3</v>
      </c>
      <c r="G10" s="356" t="s">
        <v>1005</v>
      </c>
      <c r="H10" s="355">
        <v>1.122E-3</v>
      </c>
      <c r="I10" s="356" t="s">
        <v>1006</v>
      </c>
      <c r="J10" s="1732">
        <f>ROUND(D10+F10+H10,5)</f>
        <v>2.5739999999999999E-2</v>
      </c>
      <c r="K10" s="222"/>
      <c r="L10" s="355">
        <v>2.8899999999999998E-4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12081715</v>
      </c>
      <c r="E16" s="356"/>
      <c r="F16" s="1733">
        <f>SUM('Acct Summary 7-8'!C17,'Acct Summary 7-8'!D17,'Acct Summary 7-8'!F17)</f>
        <v>10563854</v>
      </c>
      <c r="G16" s="356"/>
      <c r="H16" s="1733">
        <f>SUM(D16-F16)</f>
        <v>1517861</v>
      </c>
      <c r="I16" s="222"/>
      <c r="J16" s="1733">
        <f>SUM('Acct Summary 7-8'!C81,'Acct Summary 7-8'!D81,'Acct Summary 7-8'!F81,'Acct Summary 7-8'!I81)</f>
        <v>12877133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586</v>
      </c>
      <c r="D31" s="237" t="s">
        <v>1072</v>
      </c>
      <c r="E31" s="222"/>
      <c r="F31" s="222"/>
      <c r="G31" s="363"/>
      <c r="H31" s="1735">
        <f>IF(B31="X",(J7*0.069),IF(B32="X",(J7*0.138),"Enter x in a.or b."))</f>
        <v>21539939.553000003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33590000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2" sqref="D42:H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Laraway CCSD 70C</v>
      </c>
      <c r="E7" s="391"/>
      <c r="G7" s="252"/>
      <c r="H7" s="387"/>
      <c r="I7" s="387"/>
      <c r="J7" s="387"/>
      <c r="K7" s="387"/>
      <c r="L7" s="329"/>
      <c r="M7" s="329"/>
      <c r="N7" s="329"/>
      <c r="O7" s="329"/>
      <c r="P7" s="329"/>
    </row>
    <row r="8" spans="1:18" ht="12.75" x14ac:dyDescent="0.2">
      <c r="A8" s="329"/>
      <c r="B8" s="329"/>
      <c r="C8" s="389" t="s">
        <v>1125</v>
      </c>
      <c r="D8" s="392" t="str">
        <f>COVER!A13</f>
        <v>56099070C04</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12877133</v>
      </c>
      <c r="I12" s="404"/>
      <c r="J12" s="404"/>
      <c r="K12" s="405">
        <f>TRUNC((H12/H13*100000),5)/100000</f>
        <v>1.3142810980999999</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9797853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-2283862</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10563854</v>
      </c>
      <c r="I17" s="404"/>
      <c r="J17" s="416"/>
      <c r="K17" s="405">
        <f>TRUNC((H17/H18*100000),5)/100000</f>
        <v>1.0781804952</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9797853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-2283862</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15.531765200000001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12877133</v>
      </c>
      <c r="I24" s="422"/>
      <c r="J24" s="422"/>
      <c r="K24" s="423">
        <f>TRUNC(((H24/H25*100000)/100000),2)</f>
        <v>438.83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29344.03889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6830033.8765200004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33590000</v>
      </c>
      <c r="I32" s="420"/>
      <c r="J32" s="420"/>
      <c r="K32" s="423">
        <f>TRUNC(100-((((H32/H33*100))*100)/100),2)</f>
        <v>-55.94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21539939.553000003</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D42" sqref="D42:H42"/>
      <selection pane="bottomLeft" activeCell="D42" sqref="D42:H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9493025</v>
      </c>
      <c r="D4" s="466">
        <v>391750</v>
      </c>
      <c r="E4" s="466">
        <v>28785</v>
      </c>
      <c r="F4" s="466">
        <v>746885</v>
      </c>
      <c r="G4" s="466">
        <v>438276</v>
      </c>
      <c r="H4" s="466"/>
      <c r="I4" s="466"/>
      <c r="J4" s="467">
        <v>214080</v>
      </c>
      <c r="K4" s="466">
        <v>974369</v>
      </c>
      <c r="L4" s="466">
        <v>24635</v>
      </c>
      <c r="M4" s="468"/>
      <c r="N4" s="469"/>
    </row>
    <row r="5" spans="1:14" x14ac:dyDescent="0.2">
      <c r="A5" s="463" t="s">
        <v>992</v>
      </c>
      <c r="B5" s="470">
        <v>120</v>
      </c>
      <c r="C5" s="465">
        <v>2245473</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11738498</v>
      </c>
      <c r="D13" s="1737">
        <f t="shared" ref="D13:L13" si="0">SUM(D4:D12)</f>
        <v>391750</v>
      </c>
      <c r="E13" s="1737">
        <f t="shared" si="0"/>
        <v>28785</v>
      </c>
      <c r="F13" s="1737">
        <f t="shared" si="0"/>
        <v>746885</v>
      </c>
      <c r="G13" s="1737">
        <f t="shared" si="0"/>
        <v>438276</v>
      </c>
      <c r="H13" s="1737">
        <f t="shared" si="0"/>
        <v>0</v>
      </c>
      <c r="I13" s="1737">
        <f t="shared" si="0"/>
        <v>0</v>
      </c>
      <c r="J13" s="1737">
        <f t="shared" si="0"/>
        <v>214080</v>
      </c>
      <c r="K13" s="1737">
        <f t="shared" si="0"/>
        <v>974369</v>
      </c>
      <c r="L13" s="1737">
        <f t="shared" si="0"/>
        <v>24635</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1360597</v>
      </c>
      <c r="N16" s="484"/>
    </row>
    <row r="17" spans="1:14" s="485" customFormat="1" ht="12.75" customHeight="1" x14ac:dyDescent="0.2">
      <c r="A17" s="482" t="s">
        <v>1403</v>
      </c>
      <c r="B17" s="483">
        <v>230</v>
      </c>
      <c r="C17" s="477"/>
      <c r="D17" s="477"/>
      <c r="E17" s="477"/>
      <c r="F17" s="477"/>
      <c r="G17" s="477"/>
      <c r="H17" s="477"/>
      <c r="I17" s="477"/>
      <c r="J17" s="477"/>
      <c r="K17" s="477"/>
      <c r="L17" s="477"/>
      <c r="M17" s="467">
        <v>36128000</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2980682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28785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33561215</v>
      </c>
    </row>
    <row r="23" spans="1:14" ht="13.5" customHeight="1" thickBot="1" x14ac:dyDescent="0.25">
      <c r="A23" s="1736" t="s">
        <v>643</v>
      </c>
      <c r="B23" s="1741"/>
      <c r="C23" s="468"/>
      <c r="D23" s="468"/>
      <c r="E23" s="468"/>
      <c r="F23" s="468"/>
      <c r="G23" s="468"/>
      <c r="H23" s="468"/>
      <c r="I23" s="468"/>
      <c r="J23" s="468"/>
      <c r="K23" s="468"/>
      <c r="L23" s="468"/>
      <c r="M23" s="1688">
        <f>SUM(M15:M22)</f>
        <v>40469279</v>
      </c>
      <c r="N23" s="1688">
        <f>SUM(N21:N22)</f>
        <v>33590000</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24635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24635</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33590000</v>
      </c>
    </row>
    <row r="37" spans="1:14" ht="13.5" thickBot="1" x14ac:dyDescent="0.25">
      <c r="A37" s="1736" t="s">
        <v>653</v>
      </c>
      <c r="B37" s="1741"/>
      <c r="C37" s="477"/>
      <c r="D37" s="477"/>
      <c r="E37" s="477"/>
      <c r="F37" s="477"/>
      <c r="G37" s="477"/>
      <c r="H37" s="477"/>
      <c r="I37" s="477"/>
      <c r="J37" s="477"/>
      <c r="K37" s="477"/>
      <c r="L37" s="480"/>
      <c r="M37" s="468"/>
      <c r="N37" s="1688">
        <f>SUM(N36:N36)</f>
        <v>33590000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11738498</v>
      </c>
      <c r="D39" s="466">
        <v>391750</v>
      </c>
      <c r="E39" s="466">
        <v>28785</v>
      </c>
      <c r="F39" s="466">
        <v>746885</v>
      </c>
      <c r="G39" s="466">
        <v>438276</v>
      </c>
      <c r="H39" s="466"/>
      <c r="I39" s="466"/>
      <c r="J39" s="467">
        <v>214080</v>
      </c>
      <c r="K39" s="466">
        <v>974369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40469279</v>
      </c>
      <c r="N40" s="497"/>
    </row>
    <row r="41" spans="1:14" ht="13.5" customHeight="1" thickBot="1" x14ac:dyDescent="0.25">
      <c r="A41" s="1736" t="s">
        <v>655</v>
      </c>
      <c r="B41" s="1706"/>
      <c r="C41" s="1688">
        <f>(SUM(C34,C37,C38,C39))</f>
        <v>11738498</v>
      </c>
      <c r="D41" s="1688">
        <f t="shared" ref="D41:L41" si="2">SUM(D34,D37,D38:D39)</f>
        <v>391750</v>
      </c>
      <c r="E41" s="1688">
        <f t="shared" si="2"/>
        <v>28785</v>
      </c>
      <c r="F41" s="1688">
        <f t="shared" si="2"/>
        <v>746885</v>
      </c>
      <c r="G41" s="1688">
        <f t="shared" si="2"/>
        <v>438276</v>
      </c>
      <c r="H41" s="1688">
        <f t="shared" si="2"/>
        <v>0</v>
      </c>
      <c r="I41" s="1688">
        <f t="shared" si="2"/>
        <v>0</v>
      </c>
      <c r="J41" s="1688">
        <f t="shared" si="2"/>
        <v>214080</v>
      </c>
      <c r="K41" s="1688">
        <f t="shared" si="2"/>
        <v>974369</v>
      </c>
      <c r="L41" s="1688">
        <f t="shared" si="2"/>
        <v>24635</v>
      </c>
      <c r="M41" s="1688">
        <f>SUM(M40)</f>
        <v>40469279</v>
      </c>
      <c r="N41" s="1688">
        <f>SUM(N37)</f>
        <v>33590000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42" sqref="D42:H42"/>
      <selection pane="bottomLeft" activeCell="D42" sqref="D42:H4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6548476</v>
      </c>
      <c r="D4" s="1742">
        <f>'Revenues 9-14'!D109</f>
        <v>2712551</v>
      </c>
      <c r="E4" s="1742">
        <f>'Revenues 9-14'!E109</f>
        <v>57444</v>
      </c>
      <c r="F4" s="1742">
        <f>'Revenues 9-14'!F109</f>
        <v>202294</v>
      </c>
      <c r="G4" s="1742">
        <f>'Revenues 9-14'!G109</f>
        <v>457303</v>
      </c>
      <c r="H4" s="1742">
        <f>'Revenues 9-14'!H109</f>
        <v>0</v>
      </c>
      <c r="I4" s="1742">
        <f>'Revenues 9-14'!I109</f>
        <v>98800</v>
      </c>
      <c r="J4" s="1742">
        <f>'Revenues 9-14'!J109</f>
        <v>26673</v>
      </c>
      <c r="K4" s="1742">
        <f>'Revenues 9-14'!K109</f>
        <v>71938</v>
      </c>
      <c r="L4" s="347"/>
    </row>
    <row r="5" spans="1:13" ht="15.75" customHeight="1" x14ac:dyDescent="0.2">
      <c r="A5" s="1576" t="s">
        <v>1500</v>
      </c>
      <c r="B5" s="1577">
        <v>2000</v>
      </c>
      <c r="C5" s="1743">
        <f>'Revenues 9-14'!C114</f>
        <v>7950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1367848</v>
      </c>
      <c r="D6" s="1743">
        <f>'Revenues 9-14'!D170</f>
        <v>0</v>
      </c>
      <c r="E6" s="1743">
        <f>'Revenues 9-14'!E170</f>
        <v>0</v>
      </c>
      <c r="F6" s="1743">
        <f>'Revenues 9-14'!F170</f>
        <v>420536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723260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8647534</v>
      </c>
      <c r="D8" s="1688">
        <f t="shared" ref="D8:K8" si="0">SUM(D4:D7)</f>
        <v>2712551</v>
      </c>
      <c r="E8" s="1688">
        <f t="shared" si="0"/>
        <v>57444</v>
      </c>
      <c r="F8" s="1688">
        <f t="shared" si="0"/>
        <v>622830</v>
      </c>
      <c r="G8" s="1688">
        <f t="shared" si="0"/>
        <v>457303</v>
      </c>
      <c r="H8" s="1688">
        <f t="shared" si="0"/>
        <v>0</v>
      </c>
      <c r="I8" s="1688">
        <f t="shared" si="0"/>
        <v>98800</v>
      </c>
      <c r="J8" s="1688">
        <f t="shared" si="0"/>
        <v>26673</v>
      </c>
      <c r="K8" s="1688">
        <f t="shared" si="0"/>
        <v>71938</v>
      </c>
      <c r="L8" s="347"/>
    </row>
    <row r="9" spans="1:13" ht="15.75" thickTop="1" x14ac:dyDescent="0.2">
      <c r="A9" s="514" t="s">
        <v>1653</v>
      </c>
      <c r="B9" s="515">
        <v>3998</v>
      </c>
      <c r="C9" s="481">
        <v>2391348</v>
      </c>
      <c r="D9" s="516"/>
      <c r="E9" s="481"/>
      <c r="F9" s="481"/>
      <c r="G9" s="517"/>
      <c r="H9" s="481"/>
      <c r="I9" s="509" t="s">
        <v>1169</v>
      </c>
      <c r="J9" s="478"/>
      <c r="K9" s="481"/>
      <c r="L9" s="347"/>
    </row>
    <row r="10" spans="1:13" s="519" customFormat="1" ht="13.5" thickBot="1" x14ac:dyDescent="0.25">
      <c r="A10" s="1736" t="s">
        <v>1173</v>
      </c>
      <c r="B10" s="1709"/>
      <c r="C10" s="1688">
        <f>SUM(C8:C9)</f>
        <v>11038882</v>
      </c>
      <c r="D10" s="1688">
        <f t="shared" ref="D10:K10" si="1">SUM(D8:D9)</f>
        <v>2712551</v>
      </c>
      <c r="E10" s="1688">
        <f t="shared" si="1"/>
        <v>57444</v>
      </c>
      <c r="F10" s="1688">
        <f t="shared" si="1"/>
        <v>622830</v>
      </c>
      <c r="G10" s="1688">
        <f t="shared" si="1"/>
        <v>457303</v>
      </c>
      <c r="H10" s="1688">
        <f t="shared" si="1"/>
        <v>0</v>
      </c>
      <c r="I10" s="1688">
        <f t="shared" si="1"/>
        <v>98800</v>
      </c>
      <c r="J10" s="1688">
        <f t="shared" si="1"/>
        <v>26673</v>
      </c>
      <c r="K10" s="1688">
        <f t="shared" si="1"/>
        <v>71938</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5899426</v>
      </c>
      <c r="D12" s="520" t="s">
        <v>1169</v>
      </c>
      <c r="E12" s="468" t="s">
        <v>1169</v>
      </c>
      <c r="F12" s="468" t="s">
        <v>1169</v>
      </c>
      <c r="G12" s="1742">
        <f>'Expenditures 15-22'!K229</f>
        <v>94172</v>
      </c>
      <c r="H12" s="521"/>
      <c r="I12" s="468" t="s">
        <v>1169</v>
      </c>
      <c r="J12" s="468" t="s">
        <v>1169</v>
      </c>
      <c r="K12" s="521" t="s">
        <v>1169</v>
      </c>
      <c r="L12" s="347"/>
    </row>
    <row r="13" spans="1:13" ht="15.75" customHeight="1" x14ac:dyDescent="0.2">
      <c r="A13" s="1576" t="s">
        <v>457</v>
      </c>
      <c r="B13" s="1578">
        <v>2000</v>
      </c>
      <c r="C13" s="1743">
        <f>'Expenditures 15-22'!K74</f>
        <v>1971055</v>
      </c>
      <c r="D13" s="1743">
        <f>'Expenditures 15-22'!K129</f>
        <v>860717</v>
      </c>
      <c r="E13" s="469" t="s">
        <v>1169</v>
      </c>
      <c r="F13" s="1743">
        <f>'Expenditures 15-22'!K184</f>
        <v>901726</v>
      </c>
      <c r="G13" s="1743">
        <f>'Expenditures 15-22'!K279</f>
        <v>205214</v>
      </c>
      <c r="H13" s="1743">
        <f>'Expenditures 15-22'!K303</f>
        <v>7023955</v>
      </c>
      <c r="I13" s="468" t="s">
        <v>1169</v>
      </c>
      <c r="J13" s="1743">
        <f>'Expenditures 15-22'!K330</f>
        <v>198000</v>
      </c>
      <c r="K13" s="1747">
        <f>'Expenditures 15-22'!K352</f>
        <v>8925</v>
      </c>
      <c r="L13" s="347"/>
    </row>
    <row r="14" spans="1:13" ht="15.75" customHeight="1" x14ac:dyDescent="0.2">
      <c r="A14" s="1576" t="s">
        <v>449</v>
      </c>
      <c r="B14" s="1578">
        <v>3000</v>
      </c>
      <c r="C14" s="1743">
        <f>'Expenditures 15-22'!K75</f>
        <v>5930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925000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2343056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8801411</v>
      </c>
      <c r="D17" s="1688">
        <f t="shared" si="2"/>
        <v>860717</v>
      </c>
      <c r="E17" s="1688">
        <f t="shared" si="2"/>
        <v>2343056</v>
      </c>
      <c r="F17" s="1688">
        <f t="shared" si="2"/>
        <v>901726</v>
      </c>
      <c r="G17" s="1688">
        <f t="shared" si="2"/>
        <v>299386</v>
      </c>
      <c r="H17" s="1688">
        <f t="shared" si="2"/>
        <v>7023955</v>
      </c>
      <c r="I17" s="468"/>
      <c r="J17" s="1688">
        <f>SUM(J12:J16)</f>
        <v>198000</v>
      </c>
      <c r="K17" s="1688">
        <f>SUM(K12:K16)</f>
        <v>8925</v>
      </c>
      <c r="L17" s="347"/>
    </row>
    <row r="18" spans="1:12" ht="15" customHeight="1" thickTop="1" x14ac:dyDescent="0.2">
      <c r="A18" s="1744" t="s">
        <v>1654</v>
      </c>
      <c r="B18" s="1745">
        <v>4180</v>
      </c>
      <c r="C18" s="1742">
        <f t="shared" ref="C18:H18" si="3">C9</f>
        <v>2391348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11192759</v>
      </c>
      <c r="D19" s="1688">
        <f t="shared" si="4"/>
        <v>860717</v>
      </c>
      <c r="E19" s="1688">
        <f t="shared" si="4"/>
        <v>2343056</v>
      </c>
      <c r="F19" s="1688">
        <f t="shared" si="4"/>
        <v>901726</v>
      </c>
      <c r="G19" s="1688">
        <f t="shared" si="4"/>
        <v>299386</v>
      </c>
      <c r="H19" s="1688">
        <f t="shared" si="4"/>
        <v>7023955</v>
      </c>
      <c r="I19" s="468"/>
      <c r="J19" s="1688">
        <f>SUM(J17:J18)</f>
        <v>198000</v>
      </c>
      <c r="K19" s="1688">
        <f>SUM(K17:K18)</f>
        <v>8925</v>
      </c>
      <c r="L19" s="347"/>
    </row>
    <row r="20" spans="1:12" ht="16.5" thickTop="1" thickBot="1" x14ac:dyDescent="0.25">
      <c r="A20" s="2130" t="s">
        <v>1655</v>
      </c>
      <c r="B20" s="2131"/>
      <c r="C20" s="1746">
        <f>C8-C17</f>
        <v>-153877</v>
      </c>
      <c r="D20" s="1746">
        <f t="shared" ref="D20:K20" si="5">D8-D17</f>
        <v>1851834</v>
      </c>
      <c r="E20" s="1746">
        <f t="shared" si="5"/>
        <v>-2285612</v>
      </c>
      <c r="F20" s="1746">
        <f t="shared" si="5"/>
        <v>-278896</v>
      </c>
      <c r="G20" s="1746">
        <f t="shared" si="5"/>
        <v>157917</v>
      </c>
      <c r="H20" s="1746">
        <f t="shared" si="5"/>
        <v>-7023955</v>
      </c>
      <c r="I20" s="1746">
        <f t="shared" si="5"/>
        <v>98800</v>
      </c>
      <c r="J20" s="1746">
        <f t="shared" si="5"/>
        <v>-171327</v>
      </c>
      <c r="K20" s="1746">
        <f t="shared" si="5"/>
        <v>63013</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98800</v>
      </c>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990000</v>
      </c>
      <c r="F39" s="477"/>
      <c r="G39" s="477"/>
      <c r="H39" s="477"/>
      <c r="I39" s="477"/>
      <c r="J39" s="477"/>
      <c r="K39" s="477"/>
      <c r="L39" s="524"/>
    </row>
    <row r="40" spans="1:12" s="485" customFormat="1" ht="13.5" customHeight="1" x14ac:dyDescent="0.2">
      <c r="A40" s="1489" t="s">
        <v>642</v>
      </c>
      <c r="B40" s="483">
        <v>7700</v>
      </c>
      <c r="C40" s="477"/>
      <c r="D40" s="477"/>
      <c r="E40" s="1743">
        <f>SUM(C66:D69)</f>
        <v>1293862</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98800</v>
      </c>
      <c r="D44" s="1703">
        <f t="shared" ref="D44:K44" si="6">SUM(D24:D43)</f>
        <v>0</v>
      </c>
      <c r="E44" s="1703">
        <f t="shared" si="6"/>
        <v>2283862</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98800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v>990000</v>
      </c>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v>1293862</v>
      </c>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0</v>
      </c>
      <c r="D76" s="1703">
        <f t="shared" si="7"/>
        <v>2283862</v>
      </c>
      <c r="E76" s="1703">
        <f t="shared" si="7"/>
        <v>0</v>
      </c>
      <c r="F76" s="1703">
        <f t="shared" si="7"/>
        <v>0</v>
      </c>
      <c r="G76" s="1703">
        <f t="shared" si="7"/>
        <v>0</v>
      </c>
      <c r="H76" s="1703">
        <f t="shared" si="7"/>
        <v>0</v>
      </c>
      <c r="I76" s="1703">
        <f t="shared" si="7"/>
        <v>98800</v>
      </c>
      <c r="J76" s="1703">
        <f t="shared" si="7"/>
        <v>0</v>
      </c>
      <c r="K76" s="1703">
        <f t="shared" si="7"/>
        <v>0</v>
      </c>
      <c r="L76" s="524"/>
    </row>
    <row r="77" spans="1:12" ht="14.25" thickTop="1" thickBot="1" x14ac:dyDescent="0.25">
      <c r="A77" s="2122" t="s">
        <v>1177</v>
      </c>
      <c r="B77" s="2123"/>
      <c r="C77" s="1703">
        <f t="shared" ref="C77:K77" si="8">C44-C76</f>
        <v>98800</v>
      </c>
      <c r="D77" s="1703">
        <f t="shared" si="8"/>
        <v>-2283862</v>
      </c>
      <c r="E77" s="1703">
        <f t="shared" si="8"/>
        <v>2283862</v>
      </c>
      <c r="F77" s="1703">
        <f t="shared" si="8"/>
        <v>0</v>
      </c>
      <c r="G77" s="1703">
        <f t="shared" si="8"/>
        <v>0</v>
      </c>
      <c r="H77" s="1703">
        <f t="shared" si="8"/>
        <v>0</v>
      </c>
      <c r="I77" s="1703">
        <f t="shared" si="8"/>
        <v>-98800</v>
      </c>
      <c r="J77" s="1703">
        <f t="shared" si="8"/>
        <v>0</v>
      </c>
      <c r="K77" s="1703">
        <f t="shared" si="8"/>
        <v>0</v>
      </c>
      <c r="L77" s="347"/>
    </row>
    <row r="78" spans="1:12" ht="21.75" customHeight="1" thickTop="1" thickBot="1" x14ac:dyDescent="0.25">
      <c r="A78" s="2126" t="s">
        <v>597</v>
      </c>
      <c r="B78" s="2127"/>
      <c r="C78" s="1702">
        <f t="shared" ref="C78:K78" si="9">C20+C77</f>
        <v>-55077</v>
      </c>
      <c r="D78" s="1702">
        <f t="shared" si="9"/>
        <v>-432028</v>
      </c>
      <c r="E78" s="1702">
        <f t="shared" si="9"/>
        <v>-1750</v>
      </c>
      <c r="F78" s="1702">
        <f t="shared" si="9"/>
        <v>-278896</v>
      </c>
      <c r="G78" s="1702">
        <f t="shared" si="9"/>
        <v>157917</v>
      </c>
      <c r="H78" s="1702">
        <f t="shared" si="9"/>
        <v>-7023955</v>
      </c>
      <c r="I78" s="1702">
        <f t="shared" si="9"/>
        <v>0</v>
      </c>
      <c r="J78" s="1702">
        <f t="shared" si="9"/>
        <v>-171327</v>
      </c>
      <c r="K78" s="1702">
        <f t="shared" si="9"/>
        <v>63013</v>
      </c>
      <c r="L78" s="533"/>
    </row>
    <row r="79" spans="1:12" ht="13.5" thickTop="1" x14ac:dyDescent="0.2">
      <c r="A79" s="1494" t="s">
        <v>1949</v>
      </c>
      <c r="B79" s="534"/>
      <c r="C79" s="478">
        <v>11793575</v>
      </c>
      <c r="D79" s="535">
        <v>823778</v>
      </c>
      <c r="E79" s="535">
        <v>30535</v>
      </c>
      <c r="F79" s="535">
        <v>1025781</v>
      </c>
      <c r="G79" s="535">
        <v>280359</v>
      </c>
      <c r="H79" s="535">
        <v>7023955</v>
      </c>
      <c r="I79" s="535">
        <v>0</v>
      </c>
      <c r="J79" s="535">
        <v>385407</v>
      </c>
      <c r="K79" s="535">
        <v>911356</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1950</v>
      </c>
      <c r="B81" s="2125"/>
      <c r="C81" s="1688">
        <f>(SUM(C78:C80))</f>
        <v>11738498</v>
      </c>
      <c r="D81" s="1688">
        <f>SUM(D78:D80)</f>
        <v>391750</v>
      </c>
      <c r="E81" s="1688">
        <f t="shared" ref="E81:K81" si="10">SUM(E78:E80)</f>
        <v>28785</v>
      </c>
      <c r="F81" s="1688">
        <f t="shared" si="10"/>
        <v>746885</v>
      </c>
      <c r="G81" s="1688">
        <f t="shared" si="10"/>
        <v>438276</v>
      </c>
      <c r="H81" s="1688">
        <f t="shared" si="10"/>
        <v>0</v>
      </c>
      <c r="I81" s="1688">
        <f t="shared" si="10"/>
        <v>0</v>
      </c>
      <c r="J81" s="1688">
        <f t="shared" si="10"/>
        <v>214080</v>
      </c>
      <c r="K81" s="1688">
        <f t="shared" si="10"/>
        <v>974369</v>
      </c>
      <c r="L81" s="347"/>
    </row>
    <row r="82" spans="1:12" ht="0.75" customHeight="1" thickTop="1" thickBot="1" x14ac:dyDescent="0.25">
      <c r="A82" s="536" t="s">
        <v>343</v>
      </c>
      <c r="B82" s="537"/>
      <c r="C82" s="538">
        <f>(C81-C79)</f>
        <v>-55077</v>
      </c>
      <c r="D82" s="538">
        <f t="shared" ref="D82:K82" si="11">(D81-D79)</f>
        <v>-432028</v>
      </c>
      <c r="E82" s="538">
        <f t="shared" si="11"/>
        <v>-1750</v>
      </c>
      <c r="F82" s="538">
        <f t="shared" si="11"/>
        <v>-278896</v>
      </c>
      <c r="G82" s="538">
        <f t="shared" si="11"/>
        <v>157917</v>
      </c>
      <c r="H82" s="538">
        <f t="shared" si="11"/>
        <v>-7023955</v>
      </c>
      <c r="I82" s="538">
        <f t="shared" si="11"/>
        <v>0</v>
      </c>
      <c r="J82" s="538">
        <f t="shared" si="11"/>
        <v>-171327</v>
      </c>
      <c r="K82" s="538">
        <f t="shared" si="11"/>
        <v>63013</v>
      </c>
    </row>
    <row r="83" spans="1:12" ht="14.25" hidden="1" thickTop="1" thickBot="1" x14ac:dyDescent="0.25">
      <c r="A83" s="539" t="s">
        <v>344</v>
      </c>
      <c r="B83" s="464"/>
      <c r="C83" s="540">
        <f>C82/C81</f>
        <v>-4.6919972214503084E-3</v>
      </c>
      <c r="D83" s="540">
        <f t="shared" ref="D83:K83" si="12">D82/D81</f>
        <v>-1.1028155711550733</v>
      </c>
      <c r="E83" s="540">
        <f t="shared" si="12"/>
        <v>-6.0795553239534478E-2</v>
      </c>
      <c r="F83" s="540">
        <f t="shared" si="12"/>
        <v>-0.37341223883194868</v>
      </c>
      <c r="G83" s="540">
        <f t="shared" si="12"/>
        <v>0.36031404868165268</v>
      </c>
      <c r="H83" s="540" t="e">
        <f t="shared" si="12"/>
        <v>#DIV/0!</v>
      </c>
      <c r="I83" s="540" t="e">
        <f t="shared" si="12"/>
        <v>#DIV/0!</v>
      </c>
      <c r="J83" s="540">
        <f t="shared" si="12"/>
        <v>-0.80029428251121071</v>
      </c>
      <c r="K83" s="540">
        <f t="shared" si="12"/>
        <v>6.4670571415962538E-2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27" activePane="bottomLeft" state="frozen"/>
      <selection activeCell="D42" sqref="D42:H42"/>
      <selection pane="bottomLeft" activeCell="F56" sqref="F5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6067175</v>
      </c>
      <c r="D5" s="481">
        <v>843006</v>
      </c>
      <c r="E5" s="466">
        <v>57444</v>
      </c>
      <c r="F5" s="548">
        <v>171465</v>
      </c>
      <c r="G5" s="466">
        <v>179645</v>
      </c>
      <c r="H5" s="466">
        <v>0</v>
      </c>
      <c r="I5" s="466">
        <v>98800</v>
      </c>
      <c r="J5" s="467">
        <v>26673</v>
      </c>
      <c r="K5" s="466">
        <v>71938</v>
      </c>
    </row>
    <row r="6" spans="1:12" ht="15" x14ac:dyDescent="0.2">
      <c r="A6" s="463" t="s">
        <v>1662</v>
      </c>
      <c r="B6" s="470">
        <v>1130</v>
      </c>
      <c r="C6" s="466">
        <v>113194</v>
      </c>
      <c r="D6" s="466">
        <v>0</v>
      </c>
      <c r="E6" s="475"/>
      <c r="F6" s="475"/>
      <c r="G6" s="468"/>
      <c r="H6" s="468"/>
      <c r="I6" s="468"/>
      <c r="J6" s="468"/>
      <c r="K6" s="468"/>
    </row>
    <row r="7" spans="1:12" x14ac:dyDescent="0.2">
      <c r="A7" s="463" t="s">
        <v>110</v>
      </c>
      <c r="B7" s="549">
        <v>1140</v>
      </c>
      <c r="C7" s="466">
        <v>62686</v>
      </c>
      <c r="D7" s="466">
        <v>0</v>
      </c>
      <c r="E7" s="468"/>
      <c r="F7" s="467">
        <v>0</v>
      </c>
      <c r="G7" s="467">
        <v>0</v>
      </c>
      <c r="H7" s="467">
        <v>0</v>
      </c>
      <c r="I7" s="468"/>
      <c r="J7" s="468"/>
      <c r="K7" s="468"/>
    </row>
    <row r="8" spans="1:12" x14ac:dyDescent="0.2">
      <c r="A8" s="463" t="s">
        <v>413</v>
      </c>
      <c r="B8" s="470">
        <v>1150</v>
      </c>
      <c r="C8" s="475"/>
      <c r="D8" s="475"/>
      <c r="E8" s="477"/>
      <c r="F8" s="477"/>
      <c r="G8" s="481">
        <v>179645</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6243055</v>
      </c>
      <c r="D12" s="1707">
        <f t="shared" si="0"/>
        <v>843006</v>
      </c>
      <c r="E12" s="1707">
        <f t="shared" si="0"/>
        <v>57444</v>
      </c>
      <c r="F12" s="1707">
        <f t="shared" si="0"/>
        <v>171465</v>
      </c>
      <c r="G12" s="1707">
        <f t="shared" si="0"/>
        <v>359290</v>
      </c>
      <c r="H12" s="1707">
        <f t="shared" si="0"/>
        <v>0</v>
      </c>
      <c r="I12" s="1707">
        <f t="shared" si="0"/>
        <v>98800</v>
      </c>
      <c r="J12" s="1707">
        <f t="shared" si="0"/>
        <v>26673</v>
      </c>
      <c r="K12" s="1688">
        <f t="shared" si="0"/>
        <v>71938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0</v>
      </c>
      <c r="D16" s="466">
        <v>1862203</v>
      </c>
      <c r="E16" s="466">
        <v>0</v>
      </c>
      <c r="F16" s="466">
        <v>-1</v>
      </c>
      <c r="G16" s="466">
        <v>98013</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0</v>
      </c>
      <c r="D18" s="1710">
        <f t="shared" ref="D18:K18" si="1">SUM(D14:D17)</f>
        <v>1862203</v>
      </c>
      <c r="E18" s="1710">
        <f t="shared" si="1"/>
        <v>0</v>
      </c>
      <c r="F18" s="1710">
        <f t="shared" si="1"/>
        <v>-1</v>
      </c>
      <c r="G18" s="1710">
        <f t="shared" si="1"/>
        <v>98013</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30731</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30731</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240314</v>
      </c>
      <c r="D65" s="466">
        <v>0</v>
      </c>
      <c r="E65" s="466">
        <v>0</v>
      </c>
      <c r="F65" s="467">
        <v>-1</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240314</v>
      </c>
      <c r="D67" s="1688">
        <f t="shared" ref="D67:K67" si="2">SUM(D65:D66)</f>
        <v>0</v>
      </c>
      <c r="E67" s="1688">
        <f t="shared" si="2"/>
        <v>0</v>
      </c>
      <c r="F67" s="1688">
        <f t="shared" si="2"/>
        <v>-1</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100</v>
      </c>
      <c r="D73" s="468"/>
      <c r="E73" s="468"/>
      <c r="F73" s="468"/>
      <c r="G73" s="468"/>
      <c r="H73" s="468"/>
      <c r="I73" s="468"/>
      <c r="J73" s="468"/>
      <c r="K73" s="468"/>
    </row>
    <row r="74" spans="1:11" ht="12.75" customHeight="1" x14ac:dyDescent="0.2">
      <c r="A74" s="463" t="s">
        <v>25</v>
      </c>
      <c r="B74" s="470">
        <v>1690</v>
      </c>
      <c r="C74" s="551">
        <v>120</v>
      </c>
      <c r="D74" s="468"/>
      <c r="E74" s="468"/>
      <c r="F74" s="468"/>
      <c r="G74" s="468"/>
      <c r="H74" s="468"/>
      <c r="I74" s="468"/>
      <c r="J74" s="468"/>
      <c r="K74" s="468"/>
    </row>
    <row r="75" spans="1:11" ht="12.75" customHeight="1" thickBot="1" x14ac:dyDescent="0.25">
      <c r="A75" s="1708" t="s">
        <v>548</v>
      </c>
      <c r="B75" s="1709"/>
      <c r="C75" s="1688">
        <f>SUM(C69:C74)</f>
        <v>220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378</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890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2852</v>
      </c>
      <c r="D81" s="466">
        <v>0</v>
      </c>
      <c r="E81" s="468"/>
      <c r="F81" s="468"/>
      <c r="G81" s="468"/>
      <c r="H81" s="468"/>
      <c r="I81" s="468"/>
      <c r="J81" s="468"/>
      <c r="K81" s="468"/>
    </row>
    <row r="82" spans="1:11" ht="12.75" customHeight="1" thickBot="1" x14ac:dyDescent="0.25">
      <c r="A82" s="1708" t="s">
        <v>241</v>
      </c>
      <c r="B82" s="1709"/>
      <c r="C82" s="1707">
        <f>SUM(C77:C81)</f>
        <v>4120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15</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15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4000</v>
      </c>
      <c r="E95" s="521"/>
      <c r="F95" s="521"/>
      <c r="G95" s="521"/>
      <c r="H95" s="521"/>
      <c r="I95" s="521"/>
      <c r="J95" s="521"/>
      <c r="K95" s="521"/>
    </row>
    <row r="96" spans="1:11" ht="12.75" customHeight="1" x14ac:dyDescent="0.2">
      <c r="A96" s="463" t="s">
        <v>391</v>
      </c>
      <c r="B96" s="470">
        <v>1920</v>
      </c>
      <c r="C96" s="551">
        <v>53750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100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7002</v>
      </c>
      <c r="D107" s="466">
        <v>3342</v>
      </c>
      <c r="E107" s="466">
        <v>0</v>
      </c>
      <c r="F107" s="466">
        <v>0</v>
      </c>
      <c r="G107" s="466">
        <v>0</v>
      </c>
      <c r="H107" s="466">
        <v>0</v>
      </c>
      <c r="I107" s="466">
        <v>0</v>
      </c>
      <c r="J107" s="467">
        <v>0</v>
      </c>
      <c r="K107" s="466">
        <v>0</v>
      </c>
    </row>
    <row r="108" spans="1:12" ht="12.75" customHeight="1" thickBot="1" x14ac:dyDescent="0.25">
      <c r="A108" s="1708" t="s">
        <v>487</v>
      </c>
      <c r="B108" s="1712"/>
      <c r="C108" s="1707">
        <f>SUM(C95:C107)</f>
        <v>60752</v>
      </c>
      <c r="D108" s="1707">
        <f t="shared" ref="D108:K108" si="3">SUM(D95:D107)</f>
        <v>7342</v>
      </c>
      <c r="E108" s="1707">
        <f t="shared" si="3"/>
        <v>0</v>
      </c>
      <c r="F108" s="1707">
        <f t="shared" si="3"/>
        <v>100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6548476</v>
      </c>
      <c r="D109" s="1715">
        <f t="shared" si="4"/>
        <v>2712551</v>
      </c>
      <c r="E109" s="1715">
        <f t="shared" si="4"/>
        <v>57444</v>
      </c>
      <c r="F109" s="1715">
        <f t="shared" si="4"/>
        <v>202294</v>
      </c>
      <c r="G109" s="1715">
        <f t="shared" si="4"/>
        <v>457303</v>
      </c>
      <c r="H109" s="1715">
        <f t="shared" si="4"/>
        <v>0</v>
      </c>
      <c r="I109" s="1715">
        <f t="shared" si="4"/>
        <v>98800</v>
      </c>
      <c r="J109" s="1715">
        <f t="shared" si="4"/>
        <v>26673</v>
      </c>
      <c r="K109" s="1702">
        <f t="shared" si="4"/>
        <v>71938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7950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7950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1002886</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1002886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6366</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6366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7446</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106857</v>
      </c>
      <c r="G152" s="467">
        <v>0</v>
      </c>
      <c r="H152" s="468"/>
      <c r="I152" s="468"/>
      <c r="J152" s="468"/>
      <c r="K152" s="468"/>
    </row>
    <row r="153" spans="1:11" ht="12.75" customHeight="1" x14ac:dyDescent="0.2">
      <c r="A153" s="463" t="s">
        <v>1057</v>
      </c>
      <c r="B153" s="562">
        <v>3510</v>
      </c>
      <c r="C153" s="551">
        <v>0</v>
      </c>
      <c r="D153" s="466">
        <v>0</v>
      </c>
      <c r="E153" s="561"/>
      <c r="F153" s="466">
        <v>313679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420536</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318509</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32641</v>
      </c>
      <c r="D168" s="580">
        <v>0</v>
      </c>
      <c r="E168" s="580">
        <v>0</v>
      </c>
      <c r="F168" s="580">
        <v>0</v>
      </c>
      <c r="G168" s="581">
        <v>0</v>
      </c>
      <c r="H168" s="582">
        <v>0</v>
      </c>
      <c r="I168" s="581">
        <v>0</v>
      </c>
      <c r="J168" s="581">
        <v>0</v>
      </c>
      <c r="K168" s="582">
        <v>0</v>
      </c>
    </row>
    <row r="169" spans="1:11" ht="12.75" customHeight="1" thickTop="1" thickBot="1" x14ac:dyDescent="0.25">
      <c r="A169" s="2148" t="s">
        <v>398</v>
      </c>
      <c r="B169" s="2149"/>
      <c r="C169" s="1722">
        <f t="shared" ref="C169:K169" si="6">SUM(C132,C141,C145,C146:C150,C155,C156:C167,C168)</f>
        <v>364962</v>
      </c>
      <c r="D169" s="1722">
        <f t="shared" si="6"/>
        <v>0</v>
      </c>
      <c r="E169" s="1722">
        <f t="shared" si="6"/>
        <v>0</v>
      </c>
      <c r="F169" s="1722">
        <f t="shared" si="6"/>
        <v>420536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1367848</v>
      </c>
      <c r="D170" s="1715">
        <f t="shared" si="7"/>
        <v>0</v>
      </c>
      <c r="E170" s="1715">
        <f t="shared" si="7"/>
        <v>0</v>
      </c>
      <c r="F170" s="1715">
        <f t="shared" si="7"/>
        <v>420536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235146</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143817</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6437</v>
      </c>
      <c r="D195" s="468"/>
      <c r="E195" s="561"/>
      <c r="F195" s="468"/>
      <c r="G195" s="585">
        <v>0</v>
      </c>
      <c r="H195" s="468"/>
      <c r="I195" s="468"/>
      <c r="J195" s="468"/>
      <c r="K195" s="468"/>
    </row>
    <row r="196" spans="1:11" ht="12.75" customHeight="1" x14ac:dyDescent="0.2">
      <c r="A196" s="463" t="s">
        <v>792</v>
      </c>
      <c r="B196" s="470">
        <v>4240</v>
      </c>
      <c r="C196" s="489">
        <v>20002</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405402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187049</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187049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15773</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15773</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78924</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78924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17339</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18773</v>
      </c>
      <c r="D263" s="576">
        <v>0</v>
      </c>
      <c r="E263" s="468"/>
      <c r="F263" s="576">
        <v>0</v>
      </c>
      <c r="G263" s="576">
        <v>0</v>
      </c>
      <c r="H263" s="468"/>
      <c r="I263" s="468"/>
      <c r="J263" s="468"/>
      <c r="K263" s="468"/>
    </row>
    <row r="264" spans="1:11" ht="12.75" customHeight="1" thickTop="1" thickBot="1" x14ac:dyDescent="0.25">
      <c r="A264" s="463" t="s">
        <v>377</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723260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723260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8647534</v>
      </c>
      <c r="D268" s="1715">
        <f t="shared" si="12"/>
        <v>2712551</v>
      </c>
      <c r="E268" s="1715">
        <f t="shared" si="12"/>
        <v>57444</v>
      </c>
      <c r="F268" s="1715">
        <f t="shared" si="12"/>
        <v>622830</v>
      </c>
      <c r="G268" s="1715">
        <f t="shared" si="12"/>
        <v>457303</v>
      </c>
      <c r="H268" s="1715">
        <f t="shared" si="12"/>
        <v>0</v>
      </c>
      <c r="I268" s="1715">
        <f t="shared" si="12"/>
        <v>98800</v>
      </c>
      <c r="J268" s="1715">
        <f t="shared" si="12"/>
        <v>26673</v>
      </c>
      <c r="K268" s="1702">
        <f t="shared" si="12"/>
        <v>71938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04" activePane="bottomLeft" state="frozen"/>
      <selection activeCell="D42" sqref="D42:H42"/>
      <selection pane="bottomLeft" activeCell="D217" sqref="D21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2082136</v>
      </c>
      <c r="D5" s="466">
        <v>489223</v>
      </c>
      <c r="E5" s="466">
        <v>55187</v>
      </c>
      <c r="F5" s="466">
        <v>1762707</v>
      </c>
      <c r="G5" s="466">
        <v>0</v>
      </c>
      <c r="H5" s="466">
        <v>14626</v>
      </c>
      <c r="I5" s="466">
        <v>0</v>
      </c>
      <c r="J5" s="466">
        <v>0</v>
      </c>
      <c r="K5" s="1671">
        <f>SUM(C5:J5)</f>
        <v>4403879</v>
      </c>
      <c r="L5" s="466">
        <v>3538405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0</v>
      </c>
      <c r="D7" s="467">
        <v>0</v>
      </c>
      <c r="E7" s="467">
        <v>0</v>
      </c>
      <c r="F7" s="467">
        <v>0</v>
      </c>
      <c r="G7" s="467">
        <v>0</v>
      </c>
      <c r="H7" s="467">
        <v>0</v>
      </c>
      <c r="I7" s="467">
        <v>0</v>
      </c>
      <c r="J7" s="467">
        <v>0</v>
      </c>
      <c r="K7" s="1671">
        <f t="shared" ref="K7:K32" si="0">SUM(C7:J7)</f>
        <v>0</v>
      </c>
      <c r="L7" s="466"/>
    </row>
    <row r="8" spans="1:14" x14ac:dyDescent="0.2">
      <c r="A8" s="1504" t="s">
        <v>164</v>
      </c>
      <c r="B8" s="614">
        <v>1200</v>
      </c>
      <c r="C8" s="466">
        <v>375964</v>
      </c>
      <c r="D8" s="466">
        <v>73048</v>
      </c>
      <c r="E8" s="466">
        <v>0</v>
      </c>
      <c r="F8" s="466">
        <v>3710</v>
      </c>
      <c r="G8" s="466">
        <v>0</v>
      </c>
      <c r="H8" s="466">
        <v>0</v>
      </c>
      <c r="I8" s="467">
        <v>0</v>
      </c>
      <c r="J8" s="467">
        <v>0</v>
      </c>
      <c r="K8" s="1671">
        <f t="shared" si="0"/>
        <v>452722</v>
      </c>
      <c r="L8" s="466">
        <v>465835</v>
      </c>
    </row>
    <row r="9" spans="1:14" x14ac:dyDescent="0.2">
      <c r="A9" s="1504" t="s">
        <v>721</v>
      </c>
      <c r="B9" s="614" t="s">
        <v>968</v>
      </c>
      <c r="C9" s="467">
        <v>0</v>
      </c>
      <c r="D9" s="467">
        <v>0</v>
      </c>
      <c r="E9" s="467">
        <v>0</v>
      </c>
      <c r="F9" s="467">
        <v>0</v>
      </c>
      <c r="G9" s="467">
        <v>0</v>
      </c>
      <c r="H9" s="467">
        <v>0</v>
      </c>
      <c r="I9" s="467">
        <v>0</v>
      </c>
      <c r="J9" s="467">
        <v>0</v>
      </c>
      <c r="K9" s="1671">
        <f t="shared" si="0"/>
        <v>0</v>
      </c>
      <c r="L9" s="466"/>
    </row>
    <row r="10" spans="1:14" x14ac:dyDescent="0.2">
      <c r="A10" s="1504" t="s">
        <v>722</v>
      </c>
      <c r="B10" s="614">
        <v>1250</v>
      </c>
      <c r="C10" s="466">
        <v>156878</v>
      </c>
      <c r="D10" s="466">
        <v>25593</v>
      </c>
      <c r="E10" s="466">
        <v>13905</v>
      </c>
      <c r="F10" s="466">
        <v>12352</v>
      </c>
      <c r="G10" s="466">
        <v>0</v>
      </c>
      <c r="H10" s="466">
        <v>129</v>
      </c>
      <c r="I10" s="467">
        <v>0</v>
      </c>
      <c r="J10" s="467">
        <v>0</v>
      </c>
      <c r="K10" s="1671">
        <f t="shared" si="0"/>
        <v>208857</v>
      </c>
      <c r="L10" s="466">
        <v>262402</v>
      </c>
    </row>
    <row r="11" spans="1:14" x14ac:dyDescent="0.2">
      <c r="A11" s="1504" t="s">
        <v>1130</v>
      </c>
      <c r="B11" s="614" t="s">
        <v>161</v>
      </c>
      <c r="C11" s="467">
        <v>0</v>
      </c>
      <c r="D11" s="467">
        <v>0</v>
      </c>
      <c r="E11" s="467">
        <v>0</v>
      </c>
      <c r="F11" s="467">
        <v>0</v>
      </c>
      <c r="G11" s="467">
        <v>0</v>
      </c>
      <c r="H11" s="467">
        <v>0</v>
      </c>
      <c r="I11" s="467">
        <v>0</v>
      </c>
      <c r="J11" s="467">
        <v>0</v>
      </c>
      <c r="K11" s="1671">
        <f t="shared" si="0"/>
        <v>0</v>
      </c>
      <c r="L11" s="466"/>
    </row>
    <row r="12" spans="1:14" x14ac:dyDescent="0.2">
      <c r="A12" s="1504" t="s">
        <v>962</v>
      </c>
      <c r="B12" s="614">
        <v>1300</v>
      </c>
      <c r="C12" s="466">
        <v>0</v>
      </c>
      <c r="D12" s="466">
        <v>0</v>
      </c>
      <c r="E12" s="466">
        <v>0</v>
      </c>
      <c r="F12" s="466">
        <v>0</v>
      </c>
      <c r="G12" s="466">
        <v>0</v>
      </c>
      <c r="H12" s="466">
        <v>0</v>
      </c>
      <c r="I12" s="467">
        <v>0</v>
      </c>
      <c r="J12" s="467">
        <v>0</v>
      </c>
      <c r="K12" s="1671">
        <f t="shared" si="0"/>
        <v>0</v>
      </c>
      <c r="L12" s="466"/>
    </row>
    <row r="13" spans="1:14" x14ac:dyDescent="0.2">
      <c r="A13" s="1504" t="s">
        <v>723</v>
      </c>
      <c r="B13" s="614">
        <v>1400</v>
      </c>
      <c r="C13" s="466">
        <v>0</v>
      </c>
      <c r="D13" s="466">
        <v>0</v>
      </c>
      <c r="E13" s="466">
        <v>0</v>
      </c>
      <c r="F13" s="466">
        <v>0</v>
      </c>
      <c r="G13" s="466">
        <v>0</v>
      </c>
      <c r="H13" s="466">
        <v>0</v>
      </c>
      <c r="I13" s="467">
        <v>0</v>
      </c>
      <c r="J13" s="467">
        <v>0</v>
      </c>
      <c r="K13" s="1671">
        <f t="shared" si="0"/>
        <v>0</v>
      </c>
      <c r="L13" s="466"/>
    </row>
    <row r="14" spans="1:14" x14ac:dyDescent="0.2">
      <c r="A14" s="1504" t="s">
        <v>963</v>
      </c>
      <c r="B14" s="614">
        <v>1500</v>
      </c>
      <c r="C14" s="466">
        <v>114639</v>
      </c>
      <c r="D14" s="466">
        <v>1330</v>
      </c>
      <c r="E14" s="466">
        <v>8412</v>
      </c>
      <c r="F14" s="466">
        <v>11591</v>
      </c>
      <c r="G14" s="466">
        <v>3998</v>
      </c>
      <c r="H14" s="466">
        <v>3404</v>
      </c>
      <c r="I14" s="467">
        <v>0</v>
      </c>
      <c r="J14" s="467">
        <v>0</v>
      </c>
      <c r="K14" s="1671">
        <f t="shared" si="0"/>
        <v>143374</v>
      </c>
      <c r="L14" s="466">
        <v>188100</v>
      </c>
    </row>
    <row r="15" spans="1:14" x14ac:dyDescent="0.2">
      <c r="A15" s="1504" t="s">
        <v>964</v>
      </c>
      <c r="B15" s="614">
        <v>1600</v>
      </c>
      <c r="C15" s="466">
        <v>37407</v>
      </c>
      <c r="D15" s="466">
        <v>2440</v>
      </c>
      <c r="E15" s="466">
        <v>0</v>
      </c>
      <c r="F15" s="466">
        <v>5967</v>
      </c>
      <c r="G15" s="466">
        <v>0</v>
      </c>
      <c r="H15" s="466">
        <v>0</v>
      </c>
      <c r="I15" s="467">
        <v>0</v>
      </c>
      <c r="J15" s="467">
        <v>0</v>
      </c>
      <c r="K15" s="1671">
        <f t="shared" si="0"/>
        <v>45814</v>
      </c>
      <c r="L15" s="466">
        <v>53785</v>
      </c>
    </row>
    <row r="16" spans="1:14" x14ac:dyDescent="0.2">
      <c r="A16" s="1504" t="s">
        <v>987</v>
      </c>
      <c r="B16" s="614" t="s">
        <v>424</v>
      </c>
      <c r="C16" s="466">
        <v>0</v>
      </c>
      <c r="D16" s="466">
        <v>0</v>
      </c>
      <c r="E16" s="466">
        <v>0</v>
      </c>
      <c r="F16" s="466">
        <v>0</v>
      </c>
      <c r="G16" s="466">
        <v>0</v>
      </c>
      <c r="H16" s="466">
        <v>0</v>
      </c>
      <c r="I16" s="467">
        <v>0</v>
      </c>
      <c r="J16" s="467">
        <v>0</v>
      </c>
      <c r="K16" s="1671">
        <f t="shared" si="0"/>
        <v>0</v>
      </c>
      <c r="L16" s="466"/>
    </row>
    <row r="17" spans="1:12" x14ac:dyDescent="0.2">
      <c r="A17" s="1504" t="s">
        <v>724</v>
      </c>
      <c r="B17" s="614" t="s">
        <v>162</v>
      </c>
      <c r="C17" s="467">
        <v>0</v>
      </c>
      <c r="D17" s="467">
        <v>0</v>
      </c>
      <c r="E17" s="467">
        <v>0</v>
      </c>
      <c r="F17" s="467">
        <v>0</v>
      </c>
      <c r="G17" s="467">
        <v>0</v>
      </c>
      <c r="H17" s="467">
        <v>0</v>
      </c>
      <c r="I17" s="467">
        <v>0</v>
      </c>
      <c r="J17" s="467">
        <v>0</v>
      </c>
      <c r="K17" s="1671">
        <f t="shared" si="0"/>
        <v>0</v>
      </c>
      <c r="L17" s="466"/>
    </row>
    <row r="18" spans="1:12" x14ac:dyDescent="0.2">
      <c r="A18" s="1504" t="s">
        <v>1087</v>
      </c>
      <c r="B18" s="614">
        <v>1800</v>
      </c>
      <c r="C18" s="466">
        <v>246484</v>
      </c>
      <c r="D18" s="466">
        <v>3488</v>
      </c>
      <c r="E18" s="466">
        <v>0</v>
      </c>
      <c r="F18" s="466">
        <v>7338</v>
      </c>
      <c r="G18" s="466">
        <v>0</v>
      </c>
      <c r="H18" s="466">
        <v>0</v>
      </c>
      <c r="I18" s="467">
        <v>0</v>
      </c>
      <c r="J18" s="467">
        <v>0</v>
      </c>
      <c r="K18" s="1671">
        <f t="shared" si="0"/>
        <v>257310</v>
      </c>
      <c r="L18" s="466">
        <v>268828</v>
      </c>
    </row>
    <row r="19" spans="1:12" x14ac:dyDescent="0.2">
      <c r="A19" s="1504" t="s">
        <v>134</v>
      </c>
      <c r="B19" s="614">
        <v>1900</v>
      </c>
      <c r="C19" s="466">
        <v>305108</v>
      </c>
      <c r="D19" s="466">
        <v>67259</v>
      </c>
      <c r="E19" s="466">
        <v>1755</v>
      </c>
      <c r="F19" s="466">
        <v>13348</v>
      </c>
      <c r="G19" s="466">
        <v>0</v>
      </c>
      <c r="H19" s="466">
        <v>0</v>
      </c>
      <c r="I19" s="467">
        <v>0</v>
      </c>
      <c r="J19" s="467">
        <v>0</v>
      </c>
      <c r="K19" s="1671">
        <f t="shared" si="0"/>
        <v>387470</v>
      </c>
      <c r="L19" s="466">
        <v>411725</v>
      </c>
    </row>
    <row r="20" spans="1:12" x14ac:dyDescent="0.2">
      <c r="A20" s="1505" t="s">
        <v>738</v>
      </c>
      <c r="B20" s="602" t="s">
        <v>725</v>
      </c>
      <c r="C20" s="477"/>
      <c r="D20" s="477"/>
      <c r="E20" s="477"/>
      <c r="F20" s="477"/>
      <c r="G20" s="477"/>
      <c r="H20" s="474">
        <v>0</v>
      </c>
      <c r="I20" s="616"/>
      <c r="J20" s="475"/>
      <c r="K20" s="1671">
        <f t="shared" si="0"/>
        <v>0</v>
      </c>
      <c r="L20" s="471"/>
    </row>
    <row r="21" spans="1:12" x14ac:dyDescent="0.2">
      <c r="A21" s="1505" t="s">
        <v>739</v>
      </c>
      <c r="B21" s="602" t="s">
        <v>726</v>
      </c>
      <c r="C21" s="477"/>
      <c r="D21" s="477"/>
      <c r="E21" s="477"/>
      <c r="F21" s="477"/>
      <c r="G21" s="477"/>
      <c r="H21" s="474">
        <v>0</v>
      </c>
      <c r="I21" s="616"/>
      <c r="J21" s="477"/>
      <c r="K21" s="1671">
        <f t="shared" si="0"/>
        <v>0</v>
      </c>
      <c r="L21" s="471"/>
    </row>
    <row r="22" spans="1:12" x14ac:dyDescent="0.2">
      <c r="A22" s="1505" t="s">
        <v>740</v>
      </c>
      <c r="B22" s="602" t="s">
        <v>727</v>
      </c>
      <c r="C22" s="477"/>
      <c r="D22" s="477"/>
      <c r="E22" s="477"/>
      <c r="F22" s="477"/>
      <c r="G22" s="477"/>
      <c r="H22" s="474">
        <v>0</v>
      </c>
      <c r="I22" s="616"/>
      <c r="J22" s="477"/>
      <c r="K22" s="1671">
        <f t="shared" si="0"/>
        <v>0</v>
      </c>
      <c r="L22" s="471"/>
    </row>
    <row r="23" spans="1:12" x14ac:dyDescent="0.2">
      <c r="A23" s="1505" t="s">
        <v>741</v>
      </c>
      <c r="B23" s="602" t="s">
        <v>728</v>
      </c>
      <c r="C23" s="477"/>
      <c r="D23" s="477"/>
      <c r="E23" s="477"/>
      <c r="F23" s="477"/>
      <c r="G23" s="477"/>
      <c r="H23" s="474">
        <v>0</v>
      </c>
      <c r="I23" s="616"/>
      <c r="J23" s="477"/>
      <c r="K23" s="1671">
        <f t="shared" si="0"/>
        <v>0</v>
      </c>
      <c r="L23" s="471"/>
    </row>
    <row r="24" spans="1:12" ht="12.75" customHeight="1" x14ac:dyDescent="0.2">
      <c r="A24" s="1505" t="s">
        <v>742</v>
      </c>
      <c r="B24" s="602" t="s">
        <v>729</v>
      </c>
      <c r="C24" s="477"/>
      <c r="D24" s="477"/>
      <c r="E24" s="477"/>
      <c r="F24" s="477"/>
      <c r="G24" s="477"/>
      <c r="H24" s="474">
        <v>0</v>
      </c>
      <c r="I24" s="616"/>
      <c r="J24" s="477"/>
      <c r="K24" s="1671">
        <f t="shared" si="0"/>
        <v>0</v>
      </c>
      <c r="L24" s="471"/>
    </row>
    <row r="25" spans="1:12" ht="12.75" customHeight="1" x14ac:dyDescent="0.2">
      <c r="A25" s="1505" t="s">
        <v>802</v>
      </c>
      <c r="B25" s="602" t="s">
        <v>730</v>
      </c>
      <c r="C25" s="477"/>
      <c r="D25" s="477"/>
      <c r="E25" s="477"/>
      <c r="F25" s="477"/>
      <c r="G25" s="477"/>
      <c r="H25" s="474">
        <v>0</v>
      </c>
      <c r="I25" s="616"/>
      <c r="J25" s="477"/>
      <c r="K25" s="1671">
        <f t="shared" si="0"/>
        <v>0</v>
      </c>
      <c r="L25" s="471"/>
    </row>
    <row r="26" spans="1:12" x14ac:dyDescent="0.2">
      <c r="A26" s="1505" t="s">
        <v>622</v>
      </c>
      <c r="B26" s="602" t="s">
        <v>731</v>
      </c>
      <c r="C26" s="477"/>
      <c r="D26" s="477"/>
      <c r="E26" s="477"/>
      <c r="F26" s="477"/>
      <c r="G26" s="477"/>
      <c r="H26" s="474">
        <v>0</v>
      </c>
      <c r="I26" s="616"/>
      <c r="J26" s="477"/>
      <c r="K26" s="1671">
        <f t="shared" si="0"/>
        <v>0</v>
      </c>
      <c r="L26" s="471"/>
    </row>
    <row r="27" spans="1:12" x14ac:dyDescent="0.2">
      <c r="A27" s="1505" t="s">
        <v>623</v>
      </c>
      <c r="B27" s="602" t="s">
        <v>732</v>
      </c>
      <c r="C27" s="477"/>
      <c r="D27" s="477"/>
      <c r="E27" s="477"/>
      <c r="F27" s="477"/>
      <c r="G27" s="477"/>
      <c r="H27" s="474">
        <v>0</v>
      </c>
      <c r="I27" s="616"/>
      <c r="J27" s="477"/>
      <c r="K27" s="1671">
        <f t="shared" si="0"/>
        <v>0</v>
      </c>
      <c r="L27" s="471"/>
    </row>
    <row r="28" spans="1:12" x14ac:dyDescent="0.2">
      <c r="A28" s="1505" t="s">
        <v>150</v>
      </c>
      <c r="B28" s="602" t="s">
        <v>733</v>
      </c>
      <c r="C28" s="477"/>
      <c r="D28" s="477"/>
      <c r="E28" s="477"/>
      <c r="F28" s="477"/>
      <c r="G28" s="477"/>
      <c r="H28" s="474">
        <v>0</v>
      </c>
      <c r="I28" s="616"/>
      <c r="J28" s="477"/>
      <c r="K28" s="1671">
        <f t="shared" si="0"/>
        <v>0</v>
      </c>
      <c r="L28" s="471"/>
    </row>
    <row r="29" spans="1:12" x14ac:dyDescent="0.2">
      <c r="A29" s="1505" t="s">
        <v>151</v>
      </c>
      <c r="B29" s="602" t="s">
        <v>734</v>
      </c>
      <c r="C29" s="477"/>
      <c r="D29" s="477"/>
      <c r="E29" s="477"/>
      <c r="F29" s="477"/>
      <c r="G29" s="477"/>
      <c r="H29" s="474">
        <v>0</v>
      </c>
      <c r="I29" s="616"/>
      <c r="J29" s="477"/>
      <c r="K29" s="1671">
        <f t="shared" si="0"/>
        <v>0</v>
      </c>
      <c r="L29" s="471"/>
    </row>
    <row r="30" spans="1:12" x14ac:dyDescent="0.2">
      <c r="A30" s="1505" t="s">
        <v>152</v>
      </c>
      <c r="B30" s="602" t="s">
        <v>735</v>
      </c>
      <c r="C30" s="477"/>
      <c r="D30" s="477"/>
      <c r="E30" s="477"/>
      <c r="F30" s="477"/>
      <c r="G30" s="477"/>
      <c r="H30" s="474">
        <v>0</v>
      </c>
      <c r="I30" s="616"/>
      <c r="J30" s="477"/>
      <c r="K30" s="1671">
        <f t="shared" si="0"/>
        <v>0</v>
      </c>
      <c r="L30" s="471"/>
    </row>
    <row r="31" spans="1:12" x14ac:dyDescent="0.2">
      <c r="A31" s="1505" t="s">
        <v>153</v>
      </c>
      <c r="B31" s="602" t="s">
        <v>736</v>
      </c>
      <c r="C31" s="477"/>
      <c r="D31" s="477"/>
      <c r="E31" s="477"/>
      <c r="F31" s="477"/>
      <c r="G31" s="477"/>
      <c r="H31" s="474">
        <v>0</v>
      </c>
      <c r="I31" s="616"/>
      <c r="J31" s="477"/>
      <c r="K31" s="1671">
        <f t="shared" si="0"/>
        <v>0</v>
      </c>
      <c r="L31" s="471"/>
    </row>
    <row r="32" spans="1:12" x14ac:dyDescent="0.2">
      <c r="A32" s="1506" t="s">
        <v>1129</v>
      </c>
      <c r="B32" s="614" t="s">
        <v>737</v>
      </c>
      <c r="C32" s="477"/>
      <c r="D32" s="477"/>
      <c r="E32" s="477"/>
      <c r="F32" s="477"/>
      <c r="G32" s="477"/>
      <c r="H32" s="474">
        <v>0</v>
      </c>
      <c r="I32" s="616"/>
      <c r="J32" s="480"/>
      <c r="K32" s="1671">
        <f t="shared" si="0"/>
        <v>0</v>
      </c>
      <c r="L32" s="471"/>
    </row>
    <row r="33" spans="1:14" ht="12.75" customHeight="1" thickBot="1" x14ac:dyDescent="0.25">
      <c r="A33" s="1668" t="s">
        <v>1668</v>
      </c>
      <c r="B33" s="1669" t="s">
        <v>570</v>
      </c>
      <c r="C33" s="1670">
        <f>SUM(C5:C32)</f>
        <v>3318616</v>
      </c>
      <c r="D33" s="1670">
        <f t="shared" ref="D33:L33" si="1">SUM(D5:D32)</f>
        <v>662381</v>
      </c>
      <c r="E33" s="1670">
        <f t="shared" si="1"/>
        <v>79259</v>
      </c>
      <c r="F33" s="1670">
        <f t="shared" si="1"/>
        <v>1817013</v>
      </c>
      <c r="G33" s="1670">
        <f t="shared" si="1"/>
        <v>3998</v>
      </c>
      <c r="H33" s="1670">
        <f t="shared" si="1"/>
        <v>18159</v>
      </c>
      <c r="I33" s="1670">
        <f t="shared" si="1"/>
        <v>0</v>
      </c>
      <c r="J33" s="1670">
        <f t="shared" si="1"/>
        <v>0</v>
      </c>
      <c r="K33" s="1670">
        <f t="shared" si="1"/>
        <v>5899426</v>
      </c>
      <c r="L33" s="1670">
        <f t="shared" si="1"/>
        <v>5189080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0</v>
      </c>
      <c r="D36" s="481">
        <v>69749</v>
      </c>
      <c r="E36" s="481">
        <v>0</v>
      </c>
      <c r="F36" s="481">
        <v>500</v>
      </c>
      <c r="G36" s="481">
        <v>0</v>
      </c>
      <c r="H36" s="481">
        <v>0</v>
      </c>
      <c r="I36" s="467">
        <v>0</v>
      </c>
      <c r="J36" s="467">
        <v>0</v>
      </c>
      <c r="K36" s="1671">
        <f t="shared" ref="K36:K41" si="2">SUM(C36:J36)</f>
        <v>70249</v>
      </c>
      <c r="L36" s="466">
        <v>73808</v>
      </c>
    </row>
    <row r="37" spans="1:14" x14ac:dyDescent="0.2">
      <c r="A37" s="1504" t="s">
        <v>1090</v>
      </c>
      <c r="B37" s="614">
        <v>2120</v>
      </c>
      <c r="C37" s="466">
        <v>0</v>
      </c>
      <c r="D37" s="466">
        <v>0</v>
      </c>
      <c r="E37" s="466">
        <v>0</v>
      </c>
      <c r="F37" s="466">
        <v>0</v>
      </c>
      <c r="G37" s="466">
        <v>0</v>
      </c>
      <c r="H37" s="466">
        <v>0</v>
      </c>
      <c r="I37" s="467">
        <v>0</v>
      </c>
      <c r="J37" s="467">
        <v>0</v>
      </c>
      <c r="K37" s="1671">
        <f t="shared" si="2"/>
        <v>0</v>
      </c>
      <c r="L37" s="466"/>
    </row>
    <row r="38" spans="1:14" x14ac:dyDescent="0.2">
      <c r="A38" s="1504" t="s">
        <v>198</v>
      </c>
      <c r="B38" s="614">
        <v>2130</v>
      </c>
      <c r="C38" s="466">
        <v>71775</v>
      </c>
      <c r="D38" s="466">
        <v>14192</v>
      </c>
      <c r="E38" s="466">
        <v>0</v>
      </c>
      <c r="F38" s="466">
        <v>2776</v>
      </c>
      <c r="G38" s="466">
        <v>2235</v>
      </c>
      <c r="H38" s="466">
        <v>0</v>
      </c>
      <c r="I38" s="467">
        <v>0</v>
      </c>
      <c r="J38" s="467">
        <v>0</v>
      </c>
      <c r="K38" s="1671">
        <f t="shared" si="2"/>
        <v>90978</v>
      </c>
      <c r="L38" s="466">
        <v>94095</v>
      </c>
    </row>
    <row r="39" spans="1:14" x14ac:dyDescent="0.2">
      <c r="A39" s="1504" t="s">
        <v>199</v>
      </c>
      <c r="B39" s="614">
        <v>2140</v>
      </c>
      <c r="C39" s="466">
        <v>0</v>
      </c>
      <c r="D39" s="466">
        <v>0</v>
      </c>
      <c r="E39" s="466">
        <v>0</v>
      </c>
      <c r="F39" s="466">
        <v>0</v>
      </c>
      <c r="G39" s="466">
        <v>0</v>
      </c>
      <c r="H39" s="466">
        <v>0</v>
      </c>
      <c r="I39" s="467">
        <v>0</v>
      </c>
      <c r="J39" s="467">
        <v>0</v>
      </c>
      <c r="K39" s="1671">
        <f t="shared" si="2"/>
        <v>0</v>
      </c>
      <c r="L39" s="466"/>
    </row>
    <row r="40" spans="1:14" x14ac:dyDescent="0.2">
      <c r="A40" s="1504" t="s">
        <v>200</v>
      </c>
      <c r="B40" s="614">
        <v>2150</v>
      </c>
      <c r="C40" s="466">
        <v>0</v>
      </c>
      <c r="D40" s="466">
        <v>0</v>
      </c>
      <c r="E40" s="466">
        <v>0</v>
      </c>
      <c r="F40" s="466">
        <v>0</v>
      </c>
      <c r="G40" s="466">
        <v>0</v>
      </c>
      <c r="H40" s="466">
        <v>0</v>
      </c>
      <c r="I40" s="467">
        <v>0</v>
      </c>
      <c r="J40" s="467">
        <v>0</v>
      </c>
      <c r="K40" s="1671">
        <f t="shared" si="2"/>
        <v>0</v>
      </c>
      <c r="L40" s="466"/>
    </row>
    <row r="41" spans="1:14" x14ac:dyDescent="0.2">
      <c r="A41" s="1504" t="s">
        <v>1669</v>
      </c>
      <c r="B41" s="614">
        <v>2190</v>
      </c>
      <c r="C41" s="466">
        <v>0</v>
      </c>
      <c r="D41" s="466">
        <v>0</v>
      </c>
      <c r="E41" s="466">
        <v>0</v>
      </c>
      <c r="F41" s="466">
        <v>0</v>
      </c>
      <c r="G41" s="466">
        <v>0</v>
      </c>
      <c r="H41" s="466">
        <v>0</v>
      </c>
      <c r="I41" s="467">
        <v>0</v>
      </c>
      <c r="J41" s="467">
        <v>0</v>
      </c>
      <c r="K41" s="1671">
        <f t="shared" si="2"/>
        <v>0</v>
      </c>
      <c r="L41" s="466"/>
    </row>
    <row r="42" spans="1:14" ht="12.75" customHeight="1" thickBot="1" x14ac:dyDescent="0.25">
      <c r="A42" s="1668" t="s">
        <v>560</v>
      </c>
      <c r="B42" s="1669" t="s">
        <v>716</v>
      </c>
      <c r="C42" s="1670">
        <f>SUM(C36:C41)</f>
        <v>71775</v>
      </c>
      <c r="D42" s="1670">
        <f t="shared" ref="D42:L42" si="3">SUM(D36:D41)</f>
        <v>83941</v>
      </c>
      <c r="E42" s="1670">
        <f t="shared" si="3"/>
        <v>0</v>
      </c>
      <c r="F42" s="1670">
        <f t="shared" si="3"/>
        <v>3276</v>
      </c>
      <c r="G42" s="1670">
        <f t="shared" si="3"/>
        <v>2235</v>
      </c>
      <c r="H42" s="1670">
        <f t="shared" si="3"/>
        <v>0</v>
      </c>
      <c r="I42" s="1670">
        <f t="shared" si="3"/>
        <v>0</v>
      </c>
      <c r="J42" s="1670">
        <f t="shared" si="3"/>
        <v>0</v>
      </c>
      <c r="K42" s="1670">
        <f t="shared" si="3"/>
        <v>161227</v>
      </c>
      <c r="L42" s="1670">
        <f t="shared" si="3"/>
        <v>167903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18874</v>
      </c>
      <c r="D44" s="481">
        <v>1494</v>
      </c>
      <c r="E44" s="481">
        <v>13000</v>
      </c>
      <c r="F44" s="481">
        <v>2816</v>
      </c>
      <c r="G44" s="481">
        <v>0</v>
      </c>
      <c r="H44" s="481">
        <v>0</v>
      </c>
      <c r="I44" s="467">
        <v>0</v>
      </c>
      <c r="J44" s="467">
        <v>0</v>
      </c>
      <c r="K44" s="1672">
        <f>SUM(C44:J44)</f>
        <v>36184</v>
      </c>
      <c r="L44" s="481">
        <v>26220</v>
      </c>
    </row>
    <row r="45" spans="1:14" x14ac:dyDescent="0.2">
      <c r="A45" s="1504" t="s">
        <v>815</v>
      </c>
      <c r="B45" s="614">
        <v>2220</v>
      </c>
      <c r="C45" s="466">
        <v>93650</v>
      </c>
      <c r="D45" s="466">
        <v>21337</v>
      </c>
      <c r="E45" s="466">
        <v>1454</v>
      </c>
      <c r="F45" s="466">
        <v>11554</v>
      </c>
      <c r="G45" s="466">
        <v>0</v>
      </c>
      <c r="H45" s="466">
        <v>349</v>
      </c>
      <c r="I45" s="467">
        <v>0</v>
      </c>
      <c r="J45" s="467">
        <v>0</v>
      </c>
      <c r="K45" s="1672">
        <f>SUM(C45:J45)</f>
        <v>128344</v>
      </c>
      <c r="L45" s="466">
        <v>146279</v>
      </c>
    </row>
    <row r="46" spans="1:14" x14ac:dyDescent="0.2">
      <c r="A46" s="1504" t="s">
        <v>816</v>
      </c>
      <c r="B46" s="614">
        <v>2230</v>
      </c>
      <c r="C46" s="466">
        <v>0</v>
      </c>
      <c r="D46" s="466">
        <v>0</v>
      </c>
      <c r="E46" s="466">
        <v>0</v>
      </c>
      <c r="F46" s="466">
        <v>0</v>
      </c>
      <c r="G46" s="466">
        <v>0</v>
      </c>
      <c r="H46" s="466">
        <v>0</v>
      </c>
      <c r="I46" s="467">
        <v>0</v>
      </c>
      <c r="J46" s="467">
        <v>0</v>
      </c>
      <c r="K46" s="1672">
        <f>SUM(C46:J46)</f>
        <v>0</v>
      </c>
      <c r="L46" s="466"/>
    </row>
    <row r="47" spans="1:14" ht="12.75" customHeight="1" thickBot="1" x14ac:dyDescent="0.25">
      <c r="A47" s="1668" t="s">
        <v>561</v>
      </c>
      <c r="B47" s="1669" t="s">
        <v>32</v>
      </c>
      <c r="C47" s="1670">
        <f>SUM(C44:C46)</f>
        <v>112524</v>
      </c>
      <c r="D47" s="1670">
        <f t="shared" ref="D47:K47" si="4">SUM(D44:D46)</f>
        <v>22831</v>
      </c>
      <c r="E47" s="1670">
        <f t="shared" si="4"/>
        <v>14454</v>
      </c>
      <c r="F47" s="1670">
        <f t="shared" si="4"/>
        <v>14370</v>
      </c>
      <c r="G47" s="1670">
        <f t="shared" si="4"/>
        <v>0</v>
      </c>
      <c r="H47" s="1670">
        <f t="shared" si="4"/>
        <v>349</v>
      </c>
      <c r="I47" s="1670">
        <f t="shared" si="4"/>
        <v>0</v>
      </c>
      <c r="J47" s="1670">
        <f t="shared" si="4"/>
        <v>0</v>
      </c>
      <c r="K47" s="1670">
        <f t="shared" si="4"/>
        <v>164528</v>
      </c>
      <c r="L47" s="1670">
        <f>SUM(L44:L46)</f>
        <v>172499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9698</v>
      </c>
      <c r="D49" s="481">
        <v>0</v>
      </c>
      <c r="E49" s="481">
        <v>27083</v>
      </c>
      <c r="F49" s="481">
        <v>19069</v>
      </c>
      <c r="G49" s="481">
        <v>3788</v>
      </c>
      <c r="H49" s="481">
        <v>13890</v>
      </c>
      <c r="I49" s="467">
        <v>0</v>
      </c>
      <c r="J49" s="467">
        <v>0</v>
      </c>
      <c r="K49" s="1672">
        <f>SUM(C49:J49)</f>
        <v>73528</v>
      </c>
      <c r="L49" s="481">
        <v>89400</v>
      </c>
    </row>
    <row r="50" spans="1:14" x14ac:dyDescent="0.2">
      <c r="A50" s="1504" t="s">
        <v>818</v>
      </c>
      <c r="B50" s="614">
        <v>2320</v>
      </c>
      <c r="C50" s="466">
        <v>196415</v>
      </c>
      <c r="D50" s="466">
        <v>58677</v>
      </c>
      <c r="E50" s="466">
        <v>2500</v>
      </c>
      <c r="F50" s="466">
        <v>10161</v>
      </c>
      <c r="G50" s="466">
        <v>0</v>
      </c>
      <c r="H50" s="466">
        <v>1080</v>
      </c>
      <c r="I50" s="467">
        <v>0</v>
      </c>
      <c r="J50" s="467">
        <v>0</v>
      </c>
      <c r="K50" s="1672">
        <f>SUM(C50:J50)</f>
        <v>268833</v>
      </c>
      <c r="L50" s="466">
        <v>269244</v>
      </c>
    </row>
    <row r="51" spans="1:14" x14ac:dyDescent="0.2">
      <c r="A51" s="1504" t="s">
        <v>42</v>
      </c>
      <c r="B51" s="614">
        <v>2330</v>
      </c>
      <c r="C51" s="466">
        <v>0</v>
      </c>
      <c r="D51" s="466">
        <v>0</v>
      </c>
      <c r="E51" s="466">
        <v>0</v>
      </c>
      <c r="F51" s="466">
        <v>0</v>
      </c>
      <c r="G51" s="466">
        <v>0</v>
      </c>
      <c r="H51" s="466">
        <v>0</v>
      </c>
      <c r="I51" s="467">
        <v>0</v>
      </c>
      <c r="J51" s="467">
        <v>0</v>
      </c>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206113</v>
      </c>
      <c r="D53" s="1670">
        <f t="shared" ref="D53:L53" si="5">SUM(D49:D52)</f>
        <v>58677</v>
      </c>
      <c r="E53" s="1670">
        <f t="shared" si="5"/>
        <v>29583</v>
      </c>
      <c r="F53" s="1670">
        <f t="shared" si="5"/>
        <v>29230</v>
      </c>
      <c r="G53" s="1670">
        <f t="shared" si="5"/>
        <v>3788</v>
      </c>
      <c r="H53" s="1670">
        <f t="shared" si="5"/>
        <v>14970</v>
      </c>
      <c r="I53" s="1670">
        <f t="shared" si="5"/>
        <v>0</v>
      </c>
      <c r="J53" s="1670">
        <f t="shared" si="5"/>
        <v>0</v>
      </c>
      <c r="K53" s="1670">
        <f t="shared" si="5"/>
        <v>342361</v>
      </c>
      <c r="L53" s="1670">
        <f t="shared" si="5"/>
        <v>358644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305160</v>
      </c>
      <c r="D55" s="481">
        <v>125363</v>
      </c>
      <c r="E55" s="481">
        <v>2395</v>
      </c>
      <c r="F55" s="481">
        <v>2477</v>
      </c>
      <c r="G55" s="481">
        <v>0</v>
      </c>
      <c r="H55" s="481">
        <v>584</v>
      </c>
      <c r="I55" s="467">
        <v>0</v>
      </c>
      <c r="J55" s="467">
        <v>0</v>
      </c>
      <c r="K55" s="1672">
        <f>SUM(C55:J55)</f>
        <v>435979</v>
      </c>
      <c r="L55" s="481">
        <v>492652</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row>
    <row r="57" spans="1:14" s="343" customFormat="1" ht="12.75" customHeight="1" thickBot="1" x14ac:dyDescent="0.25">
      <c r="A57" s="1668" t="s">
        <v>263</v>
      </c>
      <c r="B57" s="1673" t="s">
        <v>34</v>
      </c>
      <c r="C57" s="1674">
        <f>SUM(C55:C56)</f>
        <v>305160</v>
      </c>
      <c r="D57" s="1674">
        <f t="shared" ref="D57:K57" si="6">SUM(D55:D56)</f>
        <v>125363</v>
      </c>
      <c r="E57" s="1674">
        <f t="shared" si="6"/>
        <v>2395</v>
      </c>
      <c r="F57" s="1674">
        <f t="shared" si="6"/>
        <v>2477</v>
      </c>
      <c r="G57" s="1674">
        <f t="shared" si="6"/>
        <v>0</v>
      </c>
      <c r="H57" s="1674">
        <f t="shared" si="6"/>
        <v>584</v>
      </c>
      <c r="I57" s="1674">
        <f t="shared" si="6"/>
        <v>0</v>
      </c>
      <c r="J57" s="1674">
        <f t="shared" si="6"/>
        <v>0</v>
      </c>
      <c r="K57" s="1674">
        <f t="shared" si="6"/>
        <v>435979</v>
      </c>
      <c r="L57" s="1670">
        <f>SUM(L55:L56)</f>
        <v>492652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c r="M59" s="609"/>
      <c r="N59" s="609"/>
    </row>
    <row r="60" spans="1:14" s="343" customFormat="1" x14ac:dyDescent="0.2">
      <c r="A60" s="1504" t="s">
        <v>463</v>
      </c>
      <c r="B60" s="614">
        <v>2520</v>
      </c>
      <c r="C60" s="466">
        <v>87617</v>
      </c>
      <c r="D60" s="466">
        <v>27102</v>
      </c>
      <c r="E60" s="466">
        <v>7990</v>
      </c>
      <c r="F60" s="466">
        <v>1038</v>
      </c>
      <c r="G60" s="466">
        <v>0</v>
      </c>
      <c r="H60" s="466">
        <v>689</v>
      </c>
      <c r="I60" s="467">
        <v>0</v>
      </c>
      <c r="J60" s="467">
        <v>0</v>
      </c>
      <c r="K60" s="1672">
        <f t="shared" si="7"/>
        <v>124436</v>
      </c>
      <c r="L60" s="466">
        <v>149762</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c r="M62" s="609"/>
      <c r="N62" s="609"/>
    </row>
    <row r="63" spans="1:14" s="609" customFormat="1" x14ac:dyDescent="0.2">
      <c r="A63" s="1504" t="s">
        <v>100</v>
      </c>
      <c r="B63" s="614">
        <v>2560</v>
      </c>
      <c r="C63" s="466">
        <v>182331</v>
      </c>
      <c r="D63" s="466">
        <v>17355</v>
      </c>
      <c r="E63" s="466">
        <v>4531</v>
      </c>
      <c r="F63" s="466">
        <v>273702</v>
      </c>
      <c r="G63" s="466">
        <v>4572</v>
      </c>
      <c r="H63" s="466">
        <v>905</v>
      </c>
      <c r="I63" s="467">
        <v>0</v>
      </c>
      <c r="J63" s="467">
        <v>0</v>
      </c>
      <c r="K63" s="1672">
        <f t="shared" si="7"/>
        <v>483396</v>
      </c>
      <c r="L63" s="466">
        <v>496248</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row>
    <row r="65" spans="1:14" s="343" customFormat="1" ht="12.75" customHeight="1" thickBot="1" x14ac:dyDescent="0.25">
      <c r="A65" s="1668" t="s">
        <v>719</v>
      </c>
      <c r="B65" s="1669" t="s">
        <v>35</v>
      </c>
      <c r="C65" s="1670">
        <f>SUM(C59:C64)</f>
        <v>269948</v>
      </c>
      <c r="D65" s="1670">
        <f t="shared" ref="D65:L65" si="8">SUM(D59:D64)</f>
        <v>44457</v>
      </c>
      <c r="E65" s="1670">
        <f t="shared" si="8"/>
        <v>12521</v>
      </c>
      <c r="F65" s="1670">
        <f t="shared" si="8"/>
        <v>274740</v>
      </c>
      <c r="G65" s="1670">
        <f t="shared" si="8"/>
        <v>4572</v>
      </c>
      <c r="H65" s="1670">
        <f t="shared" si="8"/>
        <v>1594</v>
      </c>
      <c r="I65" s="1670">
        <f t="shared" si="8"/>
        <v>0</v>
      </c>
      <c r="J65" s="1670">
        <f t="shared" si="8"/>
        <v>0</v>
      </c>
      <c r="K65" s="1670">
        <f t="shared" si="8"/>
        <v>607832</v>
      </c>
      <c r="L65" s="1670">
        <f t="shared" si="8"/>
        <v>646010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c r="M68" s="609"/>
      <c r="N68" s="609"/>
    </row>
    <row r="69" spans="1:14" s="343" customFormat="1" x14ac:dyDescent="0.2">
      <c r="A69" s="1504" t="s">
        <v>1061</v>
      </c>
      <c r="B69" s="614">
        <v>2630</v>
      </c>
      <c r="C69" s="466">
        <v>88363</v>
      </c>
      <c r="D69" s="466">
        <v>18101</v>
      </c>
      <c r="E69" s="466">
        <v>6799</v>
      </c>
      <c r="F69" s="466">
        <v>128374</v>
      </c>
      <c r="G69" s="466">
        <v>16622</v>
      </c>
      <c r="H69" s="466">
        <v>0</v>
      </c>
      <c r="I69" s="467">
        <v>0</v>
      </c>
      <c r="J69" s="467">
        <v>0</v>
      </c>
      <c r="K69" s="1672">
        <f>SUM(C69:J69)</f>
        <v>258259</v>
      </c>
      <c r="L69" s="466">
        <v>269995</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c r="M71" s="609"/>
      <c r="N71" s="609"/>
    </row>
    <row r="72" spans="1:14" s="343" customFormat="1" ht="12.75" customHeight="1" thickBot="1" x14ac:dyDescent="0.25">
      <c r="A72" s="1668" t="s">
        <v>37</v>
      </c>
      <c r="B72" s="1675" t="s">
        <v>36</v>
      </c>
      <c r="C72" s="1670">
        <f>SUM(C67:C71)</f>
        <v>88363</v>
      </c>
      <c r="D72" s="1670">
        <f t="shared" ref="D72:K72" si="9">SUM(D67:D71)</f>
        <v>18101</v>
      </c>
      <c r="E72" s="1670">
        <f t="shared" si="9"/>
        <v>6799</v>
      </c>
      <c r="F72" s="1670">
        <f t="shared" si="9"/>
        <v>128374</v>
      </c>
      <c r="G72" s="1670">
        <f t="shared" si="9"/>
        <v>16622</v>
      </c>
      <c r="H72" s="1670">
        <f t="shared" si="9"/>
        <v>0</v>
      </c>
      <c r="I72" s="1670">
        <f t="shared" si="9"/>
        <v>0</v>
      </c>
      <c r="J72" s="1670">
        <f t="shared" si="9"/>
        <v>0</v>
      </c>
      <c r="K72" s="1670">
        <f t="shared" si="9"/>
        <v>258259</v>
      </c>
      <c r="L72" s="1670">
        <f>SUM(L67:L71)</f>
        <v>269995</v>
      </c>
      <c r="M72" s="609"/>
      <c r="N72" s="609"/>
    </row>
    <row r="73" spans="1:14" s="343" customFormat="1" ht="14.25" thickTop="1" thickBot="1" x14ac:dyDescent="0.25">
      <c r="A73" s="1510" t="s">
        <v>980</v>
      </c>
      <c r="B73" s="632" t="s">
        <v>574</v>
      </c>
      <c r="C73" s="573">
        <v>0</v>
      </c>
      <c r="D73" s="573">
        <v>0</v>
      </c>
      <c r="E73" s="573">
        <v>0</v>
      </c>
      <c r="F73" s="573">
        <v>869</v>
      </c>
      <c r="G73" s="573">
        <v>0</v>
      </c>
      <c r="H73" s="573">
        <v>0</v>
      </c>
      <c r="I73" s="531">
        <v>0</v>
      </c>
      <c r="J73" s="531">
        <v>0</v>
      </c>
      <c r="K73" s="1670">
        <f>SUM(C73:J73)</f>
        <v>869</v>
      </c>
      <c r="L73" s="576"/>
      <c r="M73" s="609"/>
      <c r="N73" s="609"/>
    </row>
    <row r="74" spans="1:14" ht="12.75" customHeight="1" thickTop="1" thickBot="1" x14ac:dyDescent="0.25">
      <c r="A74" s="1668" t="s">
        <v>811</v>
      </c>
      <c r="B74" s="1676">
        <v>2000</v>
      </c>
      <c r="C74" s="1677">
        <f>SUM(C42,C47,C53,C57,C65,C72,C73)</f>
        <v>1053883</v>
      </c>
      <c r="D74" s="1677">
        <f t="shared" ref="D74:K74" si="10">SUM(D42,D47,D53,D57,D65,D72,D73)</f>
        <v>353370</v>
      </c>
      <c r="E74" s="1677">
        <f t="shared" si="10"/>
        <v>65752</v>
      </c>
      <c r="F74" s="1677">
        <f t="shared" si="10"/>
        <v>453336</v>
      </c>
      <c r="G74" s="1677">
        <f t="shared" si="10"/>
        <v>27217</v>
      </c>
      <c r="H74" s="1677">
        <f t="shared" si="10"/>
        <v>17497</v>
      </c>
      <c r="I74" s="1677">
        <f t="shared" si="10"/>
        <v>0</v>
      </c>
      <c r="J74" s="1677">
        <f t="shared" si="10"/>
        <v>0</v>
      </c>
      <c r="K74" s="1677">
        <f t="shared" si="10"/>
        <v>1971055</v>
      </c>
      <c r="L74" s="1677">
        <f>SUM(L42,L47,L53,L57,L65,L72,L73)</f>
        <v>2107703</v>
      </c>
    </row>
    <row r="75" spans="1:14" s="259" customFormat="1" ht="15.75" customHeight="1" thickTop="1" thickBot="1" x14ac:dyDescent="0.25">
      <c r="A75" s="1610" t="s">
        <v>47</v>
      </c>
      <c r="B75" s="1611" t="s">
        <v>575</v>
      </c>
      <c r="C75" s="573">
        <v>0</v>
      </c>
      <c r="D75" s="573">
        <v>0</v>
      </c>
      <c r="E75" s="573">
        <v>0</v>
      </c>
      <c r="F75" s="573">
        <v>5930</v>
      </c>
      <c r="G75" s="573">
        <v>0</v>
      </c>
      <c r="H75" s="573">
        <v>0</v>
      </c>
      <c r="I75" s="531">
        <v>0</v>
      </c>
      <c r="J75" s="531">
        <v>0</v>
      </c>
      <c r="K75" s="1670">
        <f>SUM(C75:J75)</f>
        <v>5930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row>
    <row r="79" spans="1:14" x14ac:dyDescent="0.2">
      <c r="A79" s="1504" t="s">
        <v>304</v>
      </c>
      <c r="B79" s="614">
        <v>4120</v>
      </c>
      <c r="C79" s="616"/>
      <c r="D79" s="616"/>
      <c r="E79" s="466">
        <v>650000</v>
      </c>
      <c r="F79" s="616"/>
      <c r="G79" s="616"/>
      <c r="H79" s="466">
        <v>0</v>
      </c>
      <c r="I79" s="477"/>
      <c r="J79" s="477"/>
      <c r="K79" s="1671">
        <f t="shared" si="11"/>
        <v>650000</v>
      </c>
      <c r="L79" s="466">
        <v>925000</v>
      </c>
    </row>
    <row r="80" spans="1:14" x14ac:dyDescent="0.2">
      <c r="A80" s="1504" t="s">
        <v>305</v>
      </c>
      <c r="B80" s="614">
        <v>4130</v>
      </c>
      <c r="C80" s="616"/>
      <c r="D80" s="616"/>
      <c r="E80" s="466">
        <v>0</v>
      </c>
      <c r="F80" s="616"/>
      <c r="G80" s="616"/>
      <c r="H80" s="466">
        <v>0</v>
      </c>
      <c r="I80" s="477"/>
      <c r="J80" s="477"/>
      <c r="K80" s="1671">
        <f t="shared" si="11"/>
        <v>0</v>
      </c>
      <c r="L80" s="466"/>
    </row>
    <row r="81" spans="1:12" x14ac:dyDescent="0.2">
      <c r="A81" s="1504" t="s">
        <v>697</v>
      </c>
      <c r="B81" s="614">
        <v>4140</v>
      </c>
      <c r="C81" s="616"/>
      <c r="D81" s="616"/>
      <c r="E81" s="466">
        <v>0</v>
      </c>
      <c r="F81" s="616"/>
      <c r="G81" s="616"/>
      <c r="H81" s="466">
        <v>0</v>
      </c>
      <c r="I81" s="477"/>
      <c r="J81" s="477"/>
      <c r="K81" s="1671">
        <f t="shared" si="11"/>
        <v>0</v>
      </c>
      <c r="L81" s="466"/>
    </row>
    <row r="82" spans="1:12" x14ac:dyDescent="0.2">
      <c r="A82" s="1504" t="s">
        <v>86</v>
      </c>
      <c r="B82" s="614">
        <v>4170</v>
      </c>
      <c r="C82" s="616"/>
      <c r="D82" s="616"/>
      <c r="E82" s="466">
        <v>0</v>
      </c>
      <c r="F82" s="616"/>
      <c r="G82" s="616"/>
      <c r="H82" s="466">
        <v>0</v>
      </c>
      <c r="I82" s="477"/>
      <c r="J82" s="477"/>
      <c r="K82" s="1671">
        <f t="shared" si="11"/>
        <v>0</v>
      </c>
      <c r="L82" s="466"/>
    </row>
    <row r="83" spans="1:12" x14ac:dyDescent="0.2">
      <c r="A83" s="1508" t="s">
        <v>698</v>
      </c>
      <c r="B83" s="628">
        <v>4190</v>
      </c>
      <c r="C83" s="616"/>
      <c r="D83" s="616"/>
      <c r="E83" s="466">
        <v>0</v>
      </c>
      <c r="F83" s="616"/>
      <c r="G83" s="616"/>
      <c r="H83" s="466">
        <v>0</v>
      </c>
      <c r="I83" s="477"/>
      <c r="J83" s="477"/>
      <c r="K83" s="1671">
        <f t="shared" si="11"/>
        <v>0</v>
      </c>
      <c r="L83" s="466"/>
    </row>
    <row r="84" spans="1:12" ht="13.5" thickBot="1" x14ac:dyDescent="0.25">
      <c r="A84" s="1668" t="s">
        <v>1485</v>
      </c>
      <c r="B84" s="1678">
        <v>4100</v>
      </c>
      <c r="C84" s="616"/>
      <c r="D84" s="616"/>
      <c r="E84" s="1670">
        <f>SUM(E78:E83)</f>
        <v>650000</v>
      </c>
      <c r="F84" s="616"/>
      <c r="G84" s="616"/>
      <c r="H84" s="1670">
        <f>SUM(H78:H83)</f>
        <v>0</v>
      </c>
      <c r="I84" s="477"/>
      <c r="J84" s="477"/>
      <c r="K84" s="1670">
        <f>SUM(K78:K83)</f>
        <v>650000</v>
      </c>
      <c r="L84" s="1670">
        <f>SUM(L78:L83)</f>
        <v>925000</v>
      </c>
    </row>
    <row r="85" spans="1:12" ht="12.75" customHeight="1" thickTop="1" thickBot="1" x14ac:dyDescent="0.25">
      <c r="A85" s="1511" t="s">
        <v>255</v>
      </c>
      <c r="B85" s="635">
        <v>4210</v>
      </c>
      <c r="C85" s="616"/>
      <c r="D85" s="616"/>
      <c r="E85" s="636"/>
      <c r="F85" s="616"/>
      <c r="G85" s="616"/>
      <c r="H85" s="535">
        <v>0</v>
      </c>
      <c r="I85" s="477"/>
      <c r="J85" s="477"/>
      <c r="K85" s="1677">
        <f>H85</f>
        <v>0</v>
      </c>
      <c r="L85" s="530"/>
    </row>
    <row r="86" spans="1:12" ht="12.75" customHeight="1" thickTop="1" thickBot="1" x14ac:dyDescent="0.25">
      <c r="A86" s="1512" t="s">
        <v>699</v>
      </c>
      <c r="B86" s="637">
        <v>4220</v>
      </c>
      <c r="C86" s="616"/>
      <c r="D86" s="616"/>
      <c r="E86" s="638"/>
      <c r="F86" s="616"/>
      <c r="G86" s="616"/>
      <c r="H86" s="467">
        <v>275000</v>
      </c>
      <c r="I86" s="477"/>
      <c r="J86" s="477"/>
      <c r="K86" s="1677">
        <f t="shared" ref="K86:K98" si="12">H86</f>
        <v>275000</v>
      </c>
      <c r="L86" s="530"/>
    </row>
    <row r="87" spans="1:12" ht="14.25" thickTop="1" thickBot="1" x14ac:dyDescent="0.25">
      <c r="A87" s="1513" t="s">
        <v>700</v>
      </c>
      <c r="B87" s="639">
        <v>4230</v>
      </c>
      <c r="C87" s="616"/>
      <c r="D87" s="616"/>
      <c r="E87" s="638"/>
      <c r="F87" s="616"/>
      <c r="G87" s="616"/>
      <c r="H87" s="467">
        <v>0</v>
      </c>
      <c r="I87" s="477"/>
      <c r="J87" s="477"/>
      <c r="K87" s="1677">
        <f t="shared" si="12"/>
        <v>0</v>
      </c>
      <c r="L87" s="530"/>
    </row>
    <row r="88" spans="1:12" ht="12.75" customHeight="1" thickTop="1" thickBot="1" x14ac:dyDescent="0.25">
      <c r="A88" s="1513" t="s">
        <v>765</v>
      </c>
      <c r="B88" s="639">
        <v>4240</v>
      </c>
      <c r="C88" s="616"/>
      <c r="D88" s="616"/>
      <c r="E88" s="638"/>
      <c r="F88" s="616"/>
      <c r="G88" s="616"/>
      <c r="H88" s="467">
        <v>0</v>
      </c>
      <c r="I88" s="477"/>
      <c r="J88" s="477"/>
      <c r="K88" s="1677">
        <f t="shared" si="12"/>
        <v>0</v>
      </c>
      <c r="L88" s="530"/>
    </row>
    <row r="89" spans="1:12" ht="12.75" customHeight="1" thickTop="1" thickBot="1" x14ac:dyDescent="0.25">
      <c r="A89" s="1513" t="s">
        <v>701</v>
      </c>
      <c r="B89" s="639">
        <v>4270</v>
      </c>
      <c r="C89" s="616"/>
      <c r="D89" s="616"/>
      <c r="E89" s="638"/>
      <c r="F89" s="616"/>
      <c r="G89" s="616"/>
      <c r="H89" s="467">
        <v>0</v>
      </c>
      <c r="I89" s="477"/>
      <c r="J89" s="477"/>
      <c r="K89" s="1677">
        <f t="shared" si="12"/>
        <v>0</v>
      </c>
      <c r="L89" s="530"/>
    </row>
    <row r="90" spans="1:12" ht="12.75" customHeight="1" thickTop="1" thickBot="1" x14ac:dyDescent="0.25">
      <c r="A90" s="1513" t="s">
        <v>686</v>
      </c>
      <c r="B90" s="639">
        <v>4280</v>
      </c>
      <c r="C90" s="616"/>
      <c r="D90" s="616"/>
      <c r="E90" s="638"/>
      <c r="F90" s="616"/>
      <c r="G90" s="616"/>
      <c r="H90" s="467">
        <v>0</v>
      </c>
      <c r="I90" s="477"/>
      <c r="J90" s="477"/>
      <c r="K90" s="1677">
        <f t="shared" si="12"/>
        <v>0</v>
      </c>
      <c r="L90" s="530"/>
    </row>
    <row r="91" spans="1:12" ht="12.75" customHeight="1" thickTop="1" thickBot="1" x14ac:dyDescent="0.25">
      <c r="A91" s="1513" t="s">
        <v>687</v>
      </c>
      <c r="B91" s="639">
        <v>4290</v>
      </c>
      <c r="C91" s="616"/>
      <c r="D91" s="616"/>
      <c r="E91" s="638"/>
      <c r="F91" s="616"/>
      <c r="G91" s="616"/>
      <c r="H91" s="467">
        <v>0</v>
      </c>
      <c r="I91" s="477"/>
      <c r="J91" s="477"/>
      <c r="K91" s="1677">
        <f t="shared" si="12"/>
        <v>0</v>
      </c>
      <c r="L91" s="530"/>
    </row>
    <row r="92" spans="1:12" ht="14.25" thickTop="1" thickBot="1" x14ac:dyDescent="0.25">
      <c r="A92" s="1680" t="s">
        <v>1560</v>
      </c>
      <c r="B92" s="1678">
        <v>4200</v>
      </c>
      <c r="C92" s="616"/>
      <c r="D92" s="616"/>
      <c r="E92" s="638"/>
      <c r="F92" s="616"/>
      <c r="G92" s="616"/>
      <c r="H92" s="1670">
        <f>SUM(H85:H91)</f>
        <v>275000</v>
      </c>
      <c r="I92" s="477"/>
      <c r="J92" s="477"/>
      <c r="K92" s="1677">
        <f t="shared" si="12"/>
        <v>275000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row>
    <row r="94" spans="1:12" ht="12.75" customHeight="1" thickTop="1" thickBot="1" x14ac:dyDescent="0.25">
      <c r="A94" s="1513" t="s">
        <v>689</v>
      </c>
      <c r="B94" s="639">
        <v>4320</v>
      </c>
      <c r="C94" s="616"/>
      <c r="D94" s="616"/>
      <c r="E94" s="638"/>
      <c r="F94" s="616"/>
      <c r="G94" s="616"/>
      <c r="H94" s="467">
        <v>0</v>
      </c>
      <c r="I94" s="477"/>
      <c r="J94" s="477"/>
      <c r="K94" s="1677">
        <f t="shared" si="12"/>
        <v>0</v>
      </c>
      <c r="L94" s="530"/>
    </row>
    <row r="95" spans="1:12" ht="15" customHeight="1" thickTop="1" thickBot="1" x14ac:dyDescent="0.25">
      <c r="A95" s="1513" t="s">
        <v>1488</v>
      </c>
      <c r="B95" s="639">
        <v>4330</v>
      </c>
      <c r="C95" s="616"/>
      <c r="D95" s="616"/>
      <c r="E95" s="638"/>
      <c r="F95" s="616"/>
      <c r="G95" s="616"/>
      <c r="H95" s="467">
        <v>0</v>
      </c>
      <c r="I95" s="477"/>
      <c r="J95" s="477"/>
      <c r="K95" s="1677">
        <f t="shared" si="12"/>
        <v>0</v>
      </c>
      <c r="L95" s="530"/>
    </row>
    <row r="96" spans="1:12" ht="14.25" thickTop="1" thickBot="1" x14ac:dyDescent="0.25">
      <c r="A96" s="1513" t="s">
        <v>690</v>
      </c>
      <c r="B96" s="639">
        <v>4340</v>
      </c>
      <c r="C96" s="616"/>
      <c r="D96" s="616"/>
      <c r="E96" s="638"/>
      <c r="F96" s="616"/>
      <c r="G96" s="616"/>
      <c r="H96" s="467">
        <v>0</v>
      </c>
      <c r="I96" s="477"/>
      <c r="J96" s="477"/>
      <c r="K96" s="1677">
        <f t="shared" si="12"/>
        <v>0</v>
      </c>
      <c r="L96" s="530"/>
    </row>
    <row r="97" spans="1:14" ht="12.75" customHeight="1" thickTop="1" thickBot="1" x14ac:dyDescent="0.25">
      <c r="A97" s="1513" t="s">
        <v>763</v>
      </c>
      <c r="B97" s="639">
        <v>4370</v>
      </c>
      <c r="C97" s="616"/>
      <c r="D97" s="616"/>
      <c r="E97" s="638"/>
      <c r="F97" s="616"/>
      <c r="G97" s="616"/>
      <c r="H97" s="467">
        <v>0</v>
      </c>
      <c r="I97" s="477"/>
      <c r="J97" s="477"/>
      <c r="K97" s="1677">
        <f t="shared" si="12"/>
        <v>0</v>
      </c>
      <c r="L97" s="530"/>
    </row>
    <row r="98" spans="1:14" ht="14.25" thickTop="1" thickBot="1" x14ac:dyDescent="0.25">
      <c r="A98" s="1513" t="s">
        <v>764</v>
      </c>
      <c r="B98" s="639">
        <v>4380</v>
      </c>
      <c r="C98" s="616"/>
      <c r="D98" s="616"/>
      <c r="E98" s="642"/>
      <c r="F98" s="616"/>
      <c r="G98" s="616"/>
      <c r="H98" s="467">
        <v>0</v>
      </c>
      <c r="I98" s="477"/>
      <c r="J98" s="477"/>
      <c r="K98" s="1677">
        <f t="shared" si="12"/>
        <v>0</v>
      </c>
      <c r="L98" s="530"/>
    </row>
    <row r="99" spans="1:14" ht="14.25" thickTop="1" thickBot="1" x14ac:dyDescent="0.25">
      <c r="A99" s="1513" t="s">
        <v>367</v>
      </c>
      <c r="B99" s="639">
        <v>4390</v>
      </c>
      <c r="C99" s="616"/>
      <c r="D99" s="616"/>
      <c r="E99" s="532">
        <v>0</v>
      </c>
      <c r="F99" s="616"/>
      <c r="G99" s="616"/>
      <c r="H99" s="467">
        <v>0</v>
      </c>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row>
    <row r="102" spans="1:14" ht="12.75" customHeight="1" thickTop="1" thickBot="1" x14ac:dyDescent="0.25">
      <c r="A102" s="1668" t="s">
        <v>1487</v>
      </c>
      <c r="B102" s="1678">
        <v>4000</v>
      </c>
      <c r="C102" s="616"/>
      <c r="D102" s="616"/>
      <c r="E102" s="1677">
        <f>SUM(E84,E92,E100,E101)</f>
        <v>650000</v>
      </c>
      <c r="F102" s="616"/>
      <c r="G102" s="616"/>
      <c r="H102" s="1677">
        <f>SUM(H84,H92,H100,H101)</f>
        <v>275000</v>
      </c>
      <c r="I102" s="477"/>
      <c r="J102" s="477"/>
      <c r="K102" s="1677">
        <f>SUM(K84,K92,K100,K101)</f>
        <v>925000</v>
      </c>
      <c r="L102" s="1677">
        <f>SUM(L84,L92,L100,L101)</f>
        <v>925000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100000</v>
      </c>
      <c r="M113" s="613"/>
      <c r="N113" s="613"/>
    </row>
    <row r="114" spans="1:14" ht="12.75" customHeight="1" thickTop="1" thickBot="1" x14ac:dyDescent="0.25">
      <c r="A114" s="1668" t="s">
        <v>48</v>
      </c>
      <c r="B114" s="1682"/>
      <c r="C114" s="1670">
        <f>SUM(C33,C74,C75,C102,C112,C113)</f>
        <v>4372499</v>
      </c>
      <c r="D114" s="1670">
        <f t="shared" ref="D114:K114" si="13">SUM(D33,D74,D75,D102,D112,D113)</f>
        <v>1015751</v>
      </c>
      <c r="E114" s="1670">
        <f t="shared" si="13"/>
        <v>795011</v>
      </c>
      <c r="F114" s="1670">
        <f t="shared" si="13"/>
        <v>2276279</v>
      </c>
      <c r="G114" s="1670">
        <f t="shared" si="13"/>
        <v>31215</v>
      </c>
      <c r="H114" s="1670">
        <f>SUM(H33,H74,H75,H102,H112,H113)</f>
        <v>310656</v>
      </c>
      <c r="I114" s="1670">
        <f t="shared" si="13"/>
        <v>0</v>
      </c>
      <c r="J114" s="1670">
        <f t="shared" si="13"/>
        <v>0</v>
      </c>
      <c r="K114" s="1670">
        <f t="shared" si="13"/>
        <v>8801411</v>
      </c>
      <c r="L114" s="1670">
        <f>SUM(L33,L74,L75,L102,L112,L113)</f>
        <v>8321783</v>
      </c>
    </row>
    <row r="115" spans="1:14" ht="13.5" thickTop="1" x14ac:dyDescent="0.2">
      <c r="A115" s="2160" t="s">
        <v>996</v>
      </c>
      <c r="B115" s="2161"/>
      <c r="C115" s="618"/>
      <c r="D115" s="618"/>
      <c r="E115" s="618"/>
      <c r="F115" s="618"/>
      <c r="G115" s="618"/>
      <c r="H115" s="618"/>
      <c r="I115" s="618"/>
      <c r="J115" s="618"/>
      <c r="K115" s="1684">
        <f>'Revenues 9-14'!C268-'Expenditures 15-22'!K114</f>
        <v>-153877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row>
    <row r="124" spans="1:14" ht="14.25" thickTop="1" thickBot="1" x14ac:dyDescent="0.25">
      <c r="A124" s="1504" t="s">
        <v>197</v>
      </c>
      <c r="B124" s="614">
        <v>2540</v>
      </c>
      <c r="C124" s="466">
        <v>339758</v>
      </c>
      <c r="D124" s="466">
        <v>118051</v>
      </c>
      <c r="E124" s="466">
        <v>193070</v>
      </c>
      <c r="F124" s="466">
        <v>205392</v>
      </c>
      <c r="G124" s="466">
        <v>2422</v>
      </c>
      <c r="H124" s="466">
        <v>2024</v>
      </c>
      <c r="I124" s="467">
        <v>0</v>
      </c>
      <c r="J124" s="467">
        <v>0</v>
      </c>
      <c r="K124" s="1670">
        <f>SUM(C124:J124)</f>
        <v>860717</v>
      </c>
      <c r="L124" s="466">
        <v>977240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row>
    <row r="126" spans="1:14" ht="14.25" thickTop="1" thickBot="1" x14ac:dyDescent="0.25">
      <c r="A126" s="1504" t="s">
        <v>100</v>
      </c>
      <c r="B126" s="614">
        <v>2560</v>
      </c>
      <c r="C126" s="654"/>
      <c r="D126" s="654"/>
      <c r="E126" s="654"/>
      <c r="F126" s="654"/>
      <c r="G126" s="466">
        <v>0</v>
      </c>
      <c r="H126" s="654"/>
      <c r="I126" s="474">
        <v>0</v>
      </c>
      <c r="J126" s="616"/>
      <c r="K126" s="1670">
        <f>SUM(C126:J126)</f>
        <v>0</v>
      </c>
      <c r="L126" s="466"/>
    </row>
    <row r="127" spans="1:14" ht="12.75" customHeight="1" thickTop="1" thickBot="1" x14ac:dyDescent="0.25">
      <c r="A127" s="1668" t="s">
        <v>719</v>
      </c>
      <c r="B127" s="1669" t="s">
        <v>35</v>
      </c>
      <c r="C127" s="1670">
        <f>SUM(C122:C126)</f>
        <v>339758</v>
      </c>
      <c r="D127" s="1670">
        <f t="shared" ref="D127:L127" si="14">SUM(D122:D126)</f>
        <v>118051</v>
      </c>
      <c r="E127" s="1670">
        <f t="shared" si="14"/>
        <v>193070</v>
      </c>
      <c r="F127" s="1670">
        <f t="shared" si="14"/>
        <v>205392</v>
      </c>
      <c r="G127" s="1670">
        <f t="shared" si="14"/>
        <v>2422</v>
      </c>
      <c r="H127" s="1670">
        <f t="shared" si="14"/>
        <v>2024</v>
      </c>
      <c r="I127" s="1670">
        <f t="shared" si="14"/>
        <v>0</v>
      </c>
      <c r="J127" s="1670">
        <f t="shared" si="14"/>
        <v>0</v>
      </c>
      <c r="K127" s="1670">
        <f t="shared" si="14"/>
        <v>860717</v>
      </c>
      <c r="L127" s="1670">
        <f t="shared" si="14"/>
        <v>977240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row>
    <row r="129" spans="1:14" ht="12.75" customHeight="1" thickBot="1" x14ac:dyDescent="0.25">
      <c r="A129" s="1686" t="s">
        <v>811</v>
      </c>
      <c r="B129" s="1687" t="s">
        <v>569</v>
      </c>
      <c r="C129" s="1677">
        <f>SUM(C120,C127,C128)</f>
        <v>339758</v>
      </c>
      <c r="D129" s="1677">
        <f t="shared" ref="D129:L129" si="15">SUM(D120,D127,D128)</f>
        <v>118051</v>
      </c>
      <c r="E129" s="1677">
        <f t="shared" si="15"/>
        <v>193070</v>
      </c>
      <c r="F129" s="1677">
        <f t="shared" si="15"/>
        <v>205392</v>
      </c>
      <c r="G129" s="1677">
        <f t="shared" si="15"/>
        <v>2422</v>
      </c>
      <c r="H129" s="1677">
        <f t="shared" si="15"/>
        <v>2024</v>
      </c>
      <c r="I129" s="1677">
        <f t="shared" si="15"/>
        <v>0</v>
      </c>
      <c r="J129" s="1677">
        <f t="shared" si="15"/>
        <v>0</v>
      </c>
      <c r="K129" s="1677">
        <f t="shared" si="15"/>
        <v>860717</v>
      </c>
      <c r="L129" s="1677">
        <f t="shared" si="15"/>
        <v>977240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c r="M133" s="206"/>
      <c r="N133" s="206"/>
    </row>
    <row r="134" spans="1:14" x14ac:dyDescent="0.2">
      <c r="A134" s="1504" t="s">
        <v>304</v>
      </c>
      <c r="B134" s="614">
        <v>4120</v>
      </c>
      <c r="C134" s="616"/>
      <c r="D134" s="616"/>
      <c r="E134" s="478">
        <v>0</v>
      </c>
      <c r="F134" s="616"/>
      <c r="G134" s="616"/>
      <c r="H134" s="481">
        <v>0</v>
      </c>
      <c r="I134" s="477"/>
      <c r="J134" s="616"/>
      <c r="K134" s="1672">
        <f>SUM(E134,H134)</f>
        <v>0</v>
      </c>
      <c r="L134" s="481"/>
    </row>
    <row r="135" spans="1:14" x14ac:dyDescent="0.2">
      <c r="A135" s="1504" t="s">
        <v>697</v>
      </c>
      <c r="B135" s="614">
        <v>4140</v>
      </c>
      <c r="C135" s="616"/>
      <c r="D135" s="616"/>
      <c r="E135" s="467">
        <v>0</v>
      </c>
      <c r="F135" s="616"/>
      <c r="G135" s="616"/>
      <c r="H135" s="466">
        <v>0</v>
      </c>
      <c r="I135" s="477"/>
      <c r="J135" s="616"/>
      <c r="K135" s="1672">
        <f>SUM(E135,H135)</f>
        <v>0</v>
      </c>
      <c r="L135" s="466"/>
    </row>
    <row r="136" spans="1:14" x14ac:dyDescent="0.2">
      <c r="A136" s="1508" t="s">
        <v>698</v>
      </c>
      <c r="B136" s="628">
        <v>4190</v>
      </c>
      <c r="C136" s="616"/>
      <c r="D136" s="616"/>
      <c r="E136" s="467">
        <v>0</v>
      </c>
      <c r="F136" s="616"/>
      <c r="G136" s="616"/>
      <c r="H136" s="466">
        <v>0</v>
      </c>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row>
    <row r="143" spans="1:14" x14ac:dyDescent="0.2">
      <c r="A143" s="1504" t="s">
        <v>88</v>
      </c>
      <c r="B143" s="614">
        <v>5120</v>
      </c>
      <c r="C143" s="616"/>
      <c r="D143" s="616"/>
      <c r="E143" s="616"/>
      <c r="F143" s="616"/>
      <c r="G143" s="616"/>
      <c r="H143" s="466">
        <v>0</v>
      </c>
      <c r="I143" s="468"/>
      <c r="J143" s="616"/>
      <c r="K143" s="1672">
        <f>SUM(H143)</f>
        <v>0</v>
      </c>
      <c r="L143" s="466"/>
    </row>
    <row r="144" spans="1:14" ht="12.75" customHeight="1" x14ac:dyDescent="0.2">
      <c r="A144" s="1504" t="s">
        <v>1170</v>
      </c>
      <c r="B144" s="628" t="s">
        <v>617</v>
      </c>
      <c r="C144" s="616"/>
      <c r="D144" s="616"/>
      <c r="E144" s="616"/>
      <c r="F144" s="616"/>
      <c r="G144" s="616"/>
      <c r="H144" s="466">
        <v>0</v>
      </c>
      <c r="I144" s="468"/>
      <c r="J144" s="616"/>
      <c r="K144" s="1672">
        <f>SUM(H144)</f>
        <v>0</v>
      </c>
      <c r="L144" s="466"/>
    </row>
    <row r="145" spans="1:14" x14ac:dyDescent="0.2">
      <c r="A145" s="1504" t="s">
        <v>89</v>
      </c>
      <c r="B145" s="614" t="s">
        <v>589</v>
      </c>
      <c r="C145" s="616"/>
      <c r="D145" s="616"/>
      <c r="E145" s="616"/>
      <c r="F145" s="616"/>
      <c r="G145" s="616"/>
      <c r="H145" s="466">
        <v>0</v>
      </c>
      <c r="I145" s="468"/>
      <c r="J145" s="616"/>
      <c r="K145" s="1672">
        <f>SUM(H145)</f>
        <v>0</v>
      </c>
      <c r="L145" s="466"/>
    </row>
    <row r="146" spans="1:14" ht="12.75" customHeight="1" x14ac:dyDescent="0.2">
      <c r="A146" s="1504" t="s">
        <v>619</v>
      </c>
      <c r="B146" s="614" t="s">
        <v>618</v>
      </c>
      <c r="C146" s="616"/>
      <c r="D146" s="616"/>
      <c r="E146" s="616"/>
      <c r="F146" s="616"/>
      <c r="G146" s="616"/>
      <c r="H146" s="466">
        <v>0</v>
      </c>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7"/>
      <c r="C151" s="1670">
        <f>SUM(C129,C130,C139,C149,C150)</f>
        <v>339758</v>
      </c>
      <c r="D151" s="1670">
        <f t="shared" ref="D151:K151" si="16">SUM(D129,D130,D139,D149,D150)</f>
        <v>118051</v>
      </c>
      <c r="E151" s="1670">
        <f t="shared" si="16"/>
        <v>193070</v>
      </c>
      <c r="F151" s="1670">
        <f t="shared" si="16"/>
        <v>205392</v>
      </c>
      <c r="G151" s="1670">
        <f t="shared" si="16"/>
        <v>2422</v>
      </c>
      <c r="H151" s="1670">
        <f t="shared" si="16"/>
        <v>2024</v>
      </c>
      <c r="I151" s="1670">
        <f t="shared" si="16"/>
        <v>0</v>
      </c>
      <c r="J151" s="1670">
        <f t="shared" si="16"/>
        <v>0</v>
      </c>
      <c r="K151" s="1670">
        <f t="shared" si="16"/>
        <v>860717</v>
      </c>
      <c r="L151" s="1670">
        <f>SUM(L129,L130,L139,L149,L150)</f>
        <v>977240</v>
      </c>
    </row>
    <row r="152" spans="1:14" ht="12.75" customHeight="1" thickTop="1" x14ac:dyDescent="0.2">
      <c r="A152" s="2180" t="s">
        <v>1178</v>
      </c>
      <c r="B152" s="2181"/>
      <c r="C152" s="618"/>
      <c r="D152" s="618"/>
      <c r="E152" s="618"/>
      <c r="F152" s="618"/>
      <c r="G152" s="618"/>
      <c r="H152" s="618"/>
      <c r="I152" s="618"/>
      <c r="J152" s="616"/>
      <c r="K152" s="1684">
        <f>'Revenues 9-14'!D268-'Expenditures 15-22'!K151</f>
        <v>1851834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row>
    <row r="164" spans="1:14" x14ac:dyDescent="0.2">
      <c r="A164" s="1504" t="s">
        <v>88</v>
      </c>
      <c r="B164" s="614">
        <v>5120</v>
      </c>
      <c r="C164" s="616"/>
      <c r="D164" s="616"/>
      <c r="E164" s="616"/>
      <c r="F164" s="616"/>
      <c r="G164" s="616"/>
      <c r="H164" s="466">
        <v>0</v>
      </c>
      <c r="I164" s="616"/>
      <c r="J164" s="616"/>
      <c r="K164" s="1671">
        <f>SUM(C164:J164)</f>
        <v>0</v>
      </c>
      <c r="L164" s="466"/>
    </row>
    <row r="165" spans="1:14" ht="12.75" customHeight="1" x14ac:dyDescent="0.2">
      <c r="A165" s="1504" t="s">
        <v>1170</v>
      </c>
      <c r="B165" s="614" t="s">
        <v>617</v>
      </c>
      <c r="C165" s="616"/>
      <c r="D165" s="616"/>
      <c r="E165" s="616"/>
      <c r="F165" s="616"/>
      <c r="G165" s="616"/>
      <c r="H165" s="466">
        <v>0</v>
      </c>
      <c r="I165" s="616"/>
      <c r="J165" s="616"/>
      <c r="K165" s="1671">
        <f>SUM(C165:J165)</f>
        <v>0</v>
      </c>
      <c r="L165" s="466"/>
    </row>
    <row r="166" spans="1:14" x14ac:dyDescent="0.2">
      <c r="A166" s="1504" t="s">
        <v>89</v>
      </c>
      <c r="B166" s="628" t="s">
        <v>589</v>
      </c>
      <c r="C166" s="616"/>
      <c r="D166" s="616"/>
      <c r="E166" s="616"/>
      <c r="F166" s="616"/>
      <c r="G166" s="616"/>
      <c r="H166" s="466">
        <v>0</v>
      </c>
      <c r="I166" s="616"/>
      <c r="J166" s="616"/>
      <c r="K166" s="1671">
        <f>SUM(C166:J166)</f>
        <v>0</v>
      </c>
      <c r="L166" s="466">
        <v>120003</v>
      </c>
    </row>
    <row r="167" spans="1:14" ht="12.75" customHeight="1" x14ac:dyDescent="0.2">
      <c r="A167" s="1504" t="s">
        <v>619</v>
      </c>
      <c r="B167" s="614" t="s">
        <v>618</v>
      </c>
      <c r="C167" s="616"/>
      <c r="D167" s="616"/>
      <c r="E167" s="616"/>
      <c r="F167" s="616"/>
      <c r="G167" s="616"/>
      <c r="H167" s="466">
        <v>0</v>
      </c>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120003</v>
      </c>
    </row>
    <row r="169" spans="1:14" ht="15.75" customHeight="1" thickTop="1" x14ac:dyDescent="0.2">
      <c r="A169" s="669" t="s">
        <v>83</v>
      </c>
      <c r="B169" s="670" t="s">
        <v>38</v>
      </c>
      <c r="C169" s="616"/>
      <c r="D169" s="616"/>
      <c r="E169" s="616"/>
      <c r="F169" s="616"/>
      <c r="G169" s="616"/>
      <c r="H169" s="656">
        <v>1308056</v>
      </c>
      <c r="I169" s="616"/>
      <c r="J169" s="616"/>
      <c r="K169" s="1671">
        <f>SUM(C169:H169)</f>
        <v>1308056</v>
      </c>
      <c r="L169" s="656"/>
    </row>
    <row r="170" spans="1:14" ht="33.75" customHeight="1" x14ac:dyDescent="0.2">
      <c r="A170" s="669" t="s">
        <v>1670</v>
      </c>
      <c r="B170" s="671" t="s">
        <v>31</v>
      </c>
      <c r="C170" s="616"/>
      <c r="D170" s="616"/>
      <c r="E170" s="616"/>
      <c r="F170" s="616"/>
      <c r="G170" s="616"/>
      <c r="H170" s="569">
        <v>1035000</v>
      </c>
      <c r="I170" s="616"/>
      <c r="J170" s="616"/>
      <c r="K170" s="1671">
        <f>SUM(C170:J170)</f>
        <v>1035000</v>
      </c>
      <c r="L170" s="569"/>
    </row>
    <row r="171" spans="1:14" ht="15.75" customHeight="1" x14ac:dyDescent="0.2">
      <c r="A171" s="621" t="s">
        <v>766</v>
      </c>
      <c r="B171" s="672" t="s">
        <v>84</v>
      </c>
      <c r="C171" s="616"/>
      <c r="D171" s="616"/>
      <c r="E171" s="466">
        <v>0</v>
      </c>
      <c r="F171" s="616"/>
      <c r="G171" s="616"/>
      <c r="H171" s="569">
        <v>0</v>
      </c>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2343056</v>
      </c>
      <c r="I172" s="638"/>
      <c r="J172" s="616"/>
      <c r="K172" s="1677">
        <f>SUM(K168,K169,K170,K171)</f>
        <v>2343056</v>
      </c>
      <c r="L172" s="1677">
        <f>SUM(L168,L169,L170,L171)</f>
        <v>120003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2343056</v>
      </c>
      <c r="I174" s="638"/>
      <c r="J174" s="616"/>
      <c r="K174" s="1677">
        <f>SUM(K160,K172,K173)</f>
        <v>2343056</v>
      </c>
      <c r="L174" s="1677">
        <f>SUM(L160,L172,L173)</f>
        <v>120003</v>
      </c>
    </row>
    <row r="175" spans="1:14" ht="13.5" thickTop="1" x14ac:dyDescent="0.2">
      <c r="A175" s="2160" t="s">
        <v>996</v>
      </c>
      <c r="B175" s="2161"/>
      <c r="C175" s="616"/>
      <c r="D175" s="616"/>
      <c r="E175" s="616"/>
      <c r="F175" s="616"/>
      <c r="G175" s="616"/>
      <c r="H175" s="618"/>
      <c r="I175" s="616"/>
      <c r="J175" s="616"/>
      <c r="K175" s="1684">
        <f>'Revenues 9-14'!E268-'Expenditures 15-22'!K174</f>
        <v>-2285612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2902</v>
      </c>
      <c r="F180" s="466">
        <v>2319</v>
      </c>
      <c r="G180" s="466">
        <v>0</v>
      </c>
      <c r="H180" s="466">
        <v>0</v>
      </c>
      <c r="I180" s="467">
        <v>0</v>
      </c>
      <c r="J180" s="467">
        <v>0</v>
      </c>
      <c r="K180" s="1671">
        <f>SUM(C180:J180)</f>
        <v>5221</v>
      </c>
      <c r="L180" s="466">
        <v>10500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573578</v>
      </c>
      <c r="D182" s="466">
        <v>10561</v>
      </c>
      <c r="E182" s="466">
        <v>223372</v>
      </c>
      <c r="F182" s="466">
        <v>88198</v>
      </c>
      <c r="G182" s="466">
        <v>0</v>
      </c>
      <c r="H182" s="466">
        <v>796</v>
      </c>
      <c r="I182" s="467">
        <v>0</v>
      </c>
      <c r="J182" s="467">
        <v>0</v>
      </c>
      <c r="K182" s="1671">
        <f>SUM(C182:J182)</f>
        <v>896505</v>
      </c>
      <c r="L182" s="466">
        <v>1007645</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row>
    <row r="184" spans="1:14" ht="12.75" customHeight="1" thickTop="1" thickBot="1" x14ac:dyDescent="0.25">
      <c r="A184" s="1691" t="s">
        <v>811</v>
      </c>
      <c r="B184" s="1669" t="s">
        <v>569</v>
      </c>
      <c r="C184" s="1677">
        <f>SUM(C180,C182,C183)</f>
        <v>573578</v>
      </c>
      <c r="D184" s="1677">
        <f t="shared" ref="D184:J184" si="17">SUM(D180,D182,D183)</f>
        <v>10561</v>
      </c>
      <c r="E184" s="1677">
        <f t="shared" si="17"/>
        <v>226274</v>
      </c>
      <c r="F184" s="1677">
        <f t="shared" si="17"/>
        <v>90517</v>
      </c>
      <c r="G184" s="1677">
        <f t="shared" si="17"/>
        <v>0</v>
      </c>
      <c r="H184" s="1677">
        <f t="shared" si="17"/>
        <v>796</v>
      </c>
      <c r="I184" s="1677">
        <f t="shared" si="17"/>
        <v>0</v>
      </c>
      <c r="J184" s="1677">
        <f t="shared" si="17"/>
        <v>0</v>
      </c>
      <c r="K184" s="1677">
        <f>SUM(K180,K182,K183)</f>
        <v>901726</v>
      </c>
      <c r="L184" s="1677">
        <f>SUM(L180, L182:L183)</f>
        <v>1018145</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row>
    <row r="189" spans="1:14" x14ac:dyDescent="0.2">
      <c r="A189" s="1504" t="s">
        <v>304</v>
      </c>
      <c r="B189" s="614">
        <v>4120</v>
      </c>
      <c r="C189" s="616"/>
      <c r="D189" s="616"/>
      <c r="E189" s="466">
        <v>0</v>
      </c>
      <c r="F189" s="616"/>
      <c r="G189" s="616"/>
      <c r="H189" s="466">
        <v>0</v>
      </c>
      <c r="I189" s="477"/>
      <c r="J189" s="616"/>
      <c r="K189" s="1671">
        <f t="shared" si="18"/>
        <v>0</v>
      </c>
      <c r="L189" s="466"/>
    </row>
    <row r="190" spans="1:14" x14ac:dyDescent="0.2">
      <c r="A190" s="1504" t="s">
        <v>305</v>
      </c>
      <c r="B190" s="628">
        <v>4130</v>
      </c>
      <c r="C190" s="616"/>
      <c r="D190" s="616"/>
      <c r="E190" s="466">
        <v>0</v>
      </c>
      <c r="F190" s="616"/>
      <c r="G190" s="616"/>
      <c r="H190" s="466">
        <v>0</v>
      </c>
      <c r="I190" s="477"/>
      <c r="J190" s="616"/>
      <c r="K190" s="1671">
        <f t="shared" si="18"/>
        <v>0</v>
      </c>
      <c r="L190" s="466"/>
    </row>
    <row r="191" spans="1:14" x14ac:dyDescent="0.2">
      <c r="A191" s="1504" t="s">
        <v>697</v>
      </c>
      <c r="B191" s="614">
        <v>4140</v>
      </c>
      <c r="C191" s="616"/>
      <c r="D191" s="616"/>
      <c r="E191" s="466">
        <v>0</v>
      </c>
      <c r="F191" s="616"/>
      <c r="G191" s="616"/>
      <c r="H191" s="466">
        <v>0</v>
      </c>
      <c r="I191" s="477"/>
      <c r="J191" s="616"/>
      <c r="K191" s="1671">
        <f t="shared" si="18"/>
        <v>0</v>
      </c>
      <c r="L191" s="466"/>
    </row>
    <row r="192" spans="1:14" x14ac:dyDescent="0.2">
      <c r="A192" s="1504" t="s">
        <v>86</v>
      </c>
      <c r="B192" s="614">
        <v>4170</v>
      </c>
      <c r="C192" s="616"/>
      <c r="D192" s="616"/>
      <c r="E192" s="466">
        <v>0</v>
      </c>
      <c r="F192" s="616"/>
      <c r="G192" s="616"/>
      <c r="H192" s="466">
        <v>0</v>
      </c>
      <c r="I192" s="477"/>
      <c r="J192" s="616"/>
      <c r="K192" s="1671">
        <f t="shared" si="18"/>
        <v>0</v>
      </c>
      <c r="L192" s="466"/>
    </row>
    <row r="193" spans="1:14" x14ac:dyDescent="0.2">
      <c r="A193" s="1508" t="s">
        <v>698</v>
      </c>
      <c r="B193" s="628">
        <v>4190</v>
      </c>
      <c r="C193" s="616"/>
      <c r="D193" s="616"/>
      <c r="E193" s="466">
        <v>0</v>
      </c>
      <c r="F193" s="616"/>
      <c r="G193" s="616"/>
      <c r="H193" s="466">
        <v>0</v>
      </c>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row>
    <row r="200" spans="1:14" x14ac:dyDescent="0.2">
      <c r="A200" s="1504" t="s">
        <v>88</v>
      </c>
      <c r="B200" s="614">
        <v>5120</v>
      </c>
      <c r="C200" s="616"/>
      <c r="D200" s="616"/>
      <c r="E200" s="616"/>
      <c r="F200" s="616"/>
      <c r="G200" s="616"/>
      <c r="H200" s="466">
        <v>0</v>
      </c>
      <c r="I200" s="616"/>
      <c r="J200" s="616"/>
      <c r="K200" s="1671">
        <f>SUM(H200)</f>
        <v>0</v>
      </c>
      <c r="L200" s="466"/>
    </row>
    <row r="201" spans="1:14" ht="12.75" customHeight="1" x14ac:dyDescent="0.2">
      <c r="A201" s="1504" t="s">
        <v>1170</v>
      </c>
      <c r="B201" s="628" t="s">
        <v>617</v>
      </c>
      <c r="C201" s="616"/>
      <c r="D201" s="616"/>
      <c r="E201" s="616"/>
      <c r="F201" s="616"/>
      <c r="G201" s="616"/>
      <c r="H201" s="466">
        <v>0</v>
      </c>
      <c r="I201" s="616"/>
      <c r="J201" s="616"/>
      <c r="K201" s="1671">
        <f>SUM(H201)</f>
        <v>0</v>
      </c>
      <c r="L201" s="466"/>
    </row>
    <row r="202" spans="1:14" x14ac:dyDescent="0.2">
      <c r="A202" s="1504" t="s">
        <v>89</v>
      </c>
      <c r="B202" s="614" t="s">
        <v>589</v>
      </c>
      <c r="C202" s="616"/>
      <c r="D202" s="616"/>
      <c r="E202" s="616"/>
      <c r="F202" s="616"/>
      <c r="G202" s="616"/>
      <c r="H202" s="466">
        <v>0</v>
      </c>
      <c r="I202" s="616"/>
      <c r="J202" s="616"/>
      <c r="K202" s="1671">
        <f>SUM(H202)</f>
        <v>0</v>
      </c>
      <c r="L202" s="466"/>
    </row>
    <row r="203" spans="1:14" x14ac:dyDescent="0.2">
      <c r="A203" s="1516" t="s">
        <v>619</v>
      </c>
      <c r="B203" s="614" t="s">
        <v>618</v>
      </c>
      <c r="C203" s="616"/>
      <c r="D203" s="616"/>
      <c r="E203" s="616"/>
      <c r="F203" s="616"/>
      <c r="G203" s="616"/>
      <c r="H203" s="471">
        <v>0</v>
      </c>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row>
    <row r="206" spans="1:14" ht="30" customHeight="1" x14ac:dyDescent="0.2">
      <c r="A206" s="681" t="s">
        <v>1671</v>
      </c>
      <c r="B206" s="672" t="s">
        <v>31</v>
      </c>
      <c r="C206" s="616"/>
      <c r="D206" s="616"/>
      <c r="E206" s="616"/>
      <c r="F206" s="616"/>
      <c r="G206" s="616"/>
      <c r="H206" s="466">
        <v>0</v>
      </c>
      <c r="I206" s="616"/>
      <c r="J206" s="616"/>
      <c r="K206" s="1671">
        <f>SUM(H206)</f>
        <v>0</v>
      </c>
      <c r="L206" s="466"/>
    </row>
    <row r="207" spans="1:14" ht="15.75" customHeight="1" x14ac:dyDescent="0.2">
      <c r="A207" s="621" t="s">
        <v>766</v>
      </c>
      <c r="B207" s="672" t="s">
        <v>84</v>
      </c>
      <c r="C207" s="616"/>
      <c r="D207" s="616"/>
      <c r="E207" s="616"/>
      <c r="F207" s="616"/>
      <c r="G207" s="616"/>
      <c r="H207" s="467">
        <v>0</v>
      </c>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573578</v>
      </c>
      <c r="D210" s="1670">
        <f>SUM(D184,D185)</f>
        <v>10561</v>
      </c>
      <c r="E210" s="1670">
        <f>SUM(E184,E185,E196)</f>
        <v>226274</v>
      </c>
      <c r="F210" s="1670">
        <f>SUM(F184,F185)</f>
        <v>90517</v>
      </c>
      <c r="G210" s="1670">
        <f>SUM(G184,G185)</f>
        <v>0</v>
      </c>
      <c r="H210" s="1670">
        <f>SUM(H184,H185,H196,H208,H209)</f>
        <v>796</v>
      </c>
      <c r="I210" s="1670">
        <f>SUM(I184,I185)</f>
        <v>0</v>
      </c>
      <c r="J210" s="1670">
        <f>SUM(J184,J185)</f>
        <v>0</v>
      </c>
      <c r="K210" s="1671">
        <f>SUM(K184,K185,K196,K208,K209)</f>
        <v>901726</v>
      </c>
      <c r="L210" s="1670">
        <f>SUM(L184,L185,L196,L208,L209)</f>
        <v>1018145</v>
      </c>
    </row>
    <row r="211" spans="1:14" ht="13.5" thickTop="1" x14ac:dyDescent="0.2">
      <c r="A211" s="2160" t="s">
        <v>996</v>
      </c>
      <c r="B211" s="2161"/>
      <c r="C211" s="618"/>
      <c r="D211" s="618"/>
      <c r="E211" s="618"/>
      <c r="F211" s="618"/>
      <c r="G211" s="618"/>
      <c r="H211" s="618"/>
      <c r="I211" s="616"/>
      <c r="J211" s="616"/>
      <c r="K211" s="1684">
        <f>'Revenues 9-14'!F268-'Expenditures 15-22'!K210</f>
        <v>-278896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47193</v>
      </c>
      <c r="E215" s="616"/>
      <c r="F215" s="616"/>
      <c r="G215" s="616"/>
      <c r="H215" s="616"/>
      <c r="I215" s="616"/>
      <c r="J215" s="616"/>
      <c r="K215" s="1671">
        <f>D215</f>
        <v>47193</v>
      </c>
      <c r="L215" s="466">
        <v>52000</v>
      </c>
    </row>
    <row r="216" spans="1:14" x14ac:dyDescent="0.2">
      <c r="A216" s="1504" t="s">
        <v>163</v>
      </c>
      <c r="B216" s="614" t="s">
        <v>967</v>
      </c>
      <c r="C216" s="616"/>
      <c r="D216" s="467">
        <v>0</v>
      </c>
      <c r="E216" s="616"/>
      <c r="F216" s="616"/>
      <c r="G216" s="616"/>
      <c r="H216" s="616"/>
      <c r="I216" s="616"/>
      <c r="J216" s="616"/>
      <c r="K216" s="1671">
        <f t="shared" ref="K216:K228" si="19">D216</f>
        <v>0</v>
      </c>
      <c r="L216" s="466">
        <v>16900</v>
      </c>
    </row>
    <row r="217" spans="1:14" x14ac:dyDescent="0.2">
      <c r="A217" s="1504" t="s">
        <v>164</v>
      </c>
      <c r="B217" s="614">
        <v>1200</v>
      </c>
      <c r="C217" s="616"/>
      <c r="D217" s="466">
        <v>13931</v>
      </c>
      <c r="E217" s="616"/>
      <c r="F217" s="616"/>
      <c r="G217" s="616"/>
      <c r="H217" s="616"/>
      <c r="I217" s="616"/>
      <c r="J217" s="616"/>
      <c r="K217" s="1671">
        <f t="shared" si="19"/>
        <v>13931</v>
      </c>
      <c r="L217" s="466">
        <v>14600</v>
      </c>
    </row>
    <row r="218" spans="1:14" x14ac:dyDescent="0.2">
      <c r="A218" s="1504" t="s">
        <v>278</v>
      </c>
      <c r="B218" s="614" t="s">
        <v>968</v>
      </c>
      <c r="C218" s="616"/>
      <c r="D218" s="467">
        <v>0</v>
      </c>
      <c r="E218" s="616"/>
      <c r="F218" s="616"/>
      <c r="G218" s="616"/>
      <c r="H218" s="616"/>
      <c r="I218" s="616"/>
      <c r="J218" s="616"/>
      <c r="K218" s="1671">
        <f t="shared" si="19"/>
        <v>0</v>
      </c>
      <c r="L218" s="466"/>
    </row>
    <row r="219" spans="1:14" x14ac:dyDescent="0.2">
      <c r="A219" s="1504" t="s">
        <v>279</v>
      </c>
      <c r="B219" s="614">
        <v>1250</v>
      </c>
      <c r="C219" s="616"/>
      <c r="D219" s="466">
        <v>5270</v>
      </c>
      <c r="E219" s="616"/>
      <c r="F219" s="616"/>
      <c r="G219" s="616"/>
      <c r="H219" s="616"/>
      <c r="I219" s="616"/>
      <c r="J219" s="616"/>
      <c r="K219" s="1671">
        <f t="shared" si="19"/>
        <v>5270</v>
      </c>
      <c r="L219" s="466">
        <v>18600</v>
      </c>
    </row>
    <row r="220" spans="1:14" x14ac:dyDescent="0.2">
      <c r="A220" s="1504" t="s">
        <v>280</v>
      </c>
      <c r="B220" s="614" t="s">
        <v>161</v>
      </c>
      <c r="C220" s="616"/>
      <c r="D220" s="467">
        <v>0</v>
      </c>
      <c r="E220" s="616"/>
      <c r="F220" s="616"/>
      <c r="G220" s="616"/>
      <c r="H220" s="616"/>
      <c r="I220" s="616"/>
      <c r="J220" s="616"/>
      <c r="K220" s="1671">
        <f t="shared" si="19"/>
        <v>0</v>
      </c>
      <c r="L220" s="466"/>
    </row>
    <row r="221" spans="1:14" x14ac:dyDescent="0.2">
      <c r="A221" s="1504" t="s">
        <v>962</v>
      </c>
      <c r="B221" s="614">
        <v>1300</v>
      </c>
      <c r="C221" s="616"/>
      <c r="D221" s="466">
        <v>0</v>
      </c>
      <c r="E221" s="616"/>
      <c r="F221" s="616"/>
      <c r="G221" s="616"/>
      <c r="H221" s="616"/>
      <c r="I221" s="616"/>
      <c r="J221" s="616"/>
      <c r="K221" s="1671">
        <f t="shared" si="19"/>
        <v>0</v>
      </c>
      <c r="L221" s="466"/>
    </row>
    <row r="222" spans="1:14" x14ac:dyDescent="0.2">
      <c r="A222" s="1504" t="s">
        <v>723</v>
      </c>
      <c r="B222" s="614">
        <v>1400</v>
      </c>
      <c r="C222" s="616"/>
      <c r="D222" s="466">
        <v>0</v>
      </c>
      <c r="E222" s="616"/>
      <c r="F222" s="616"/>
      <c r="G222" s="616"/>
      <c r="H222" s="616"/>
      <c r="I222" s="616"/>
      <c r="J222" s="616"/>
      <c r="K222" s="1671">
        <f t="shared" si="19"/>
        <v>0</v>
      </c>
      <c r="L222" s="466"/>
    </row>
    <row r="223" spans="1:14" x14ac:dyDescent="0.2">
      <c r="A223" s="1504" t="s">
        <v>963</v>
      </c>
      <c r="B223" s="614">
        <v>1500</v>
      </c>
      <c r="C223" s="616"/>
      <c r="D223" s="466">
        <v>4958</v>
      </c>
      <c r="E223" s="616"/>
      <c r="F223" s="616"/>
      <c r="G223" s="616"/>
      <c r="H223" s="616"/>
      <c r="I223" s="616"/>
      <c r="J223" s="616"/>
      <c r="K223" s="1671">
        <f t="shared" si="19"/>
        <v>4958</v>
      </c>
      <c r="L223" s="466">
        <v>6600</v>
      </c>
    </row>
    <row r="224" spans="1:14" x14ac:dyDescent="0.2">
      <c r="A224" s="1504" t="s">
        <v>964</v>
      </c>
      <c r="B224" s="614">
        <v>1600</v>
      </c>
      <c r="C224" s="616"/>
      <c r="D224" s="466">
        <v>1961</v>
      </c>
      <c r="E224" s="616"/>
      <c r="F224" s="616"/>
      <c r="G224" s="616"/>
      <c r="H224" s="616"/>
      <c r="I224" s="616"/>
      <c r="J224" s="616"/>
      <c r="K224" s="1671">
        <f t="shared" si="19"/>
        <v>1961</v>
      </c>
      <c r="L224" s="466">
        <v>2500</v>
      </c>
    </row>
    <row r="225" spans="1:12" x14ac:dyDescent="0.2">
      <c r="A225" s="1504" t="s">
        <v>987</v>
      </c>
      <c r="B225" s="614">
        <v>1650</v>
      </c>
      <c r="C225" s="616"/>
      <c r="D225" s="466">
        <v>0</v>
      </c>
      <c r="E225" s="616"/>
      <c r="F225" s="616"/>
      <c r="G225" s="616"/>
      <c r="H225" s="616"/>
      <c r="I225" s="616"/>
      <c r="J225" s="616"/>
      <c r="K225" s="1671">
        <f t="shared" si="19"/>
        <v>0</v>
      </c>
      <c r="L225" s="466"/>
    </row>
    <row r="226" spans="1:12" x14ac:dyDescent="0.2">
      <c r="A226" s="1504" t="s">
        <v>724</v>
      </c>
      <c r="B226" s="614" t="s">
        <v>162</v>
      </c>
      <c r="C226" s="616"/>
      <c r="D226" s="467">
        <v>0</v>
      </c>
      <c r="E226" s="616"/>
      <c r="F226" s="616"/>
      <c r="G226" s="616"/>
      <c r="H226" s="616"/>
      <c r="I226" s="616"/>
      <c r="J226" s="616"/>
      <c r="K226" s="1671">
        <f t="shared" si="19"/>
        <v>0</v>
      </c>
      <c r="L226" s="466"/>
    </row>
    <row r="227" spans="1:12" x14ac:dyDescent="0.2">
      <c r="A227" s="1504" t="s">
        <v>1087</v>
      </c>
      <c r="B227" s="614">
        <v>1800</v>
      </c>
      <c r="C227" s="616"/>
      <c r="D227" s="466">
        <v>5536</v>
      </c>
      <c r="E227" s="616"/>
      <c r="F227" s="616"/>
      <c r="G227" s="616"/>
      <c r="H227" s="616"/>
      <c r="I227" s="616"/>
      <c r="J227" s="616"/>
      <c r="K227" s="1671">
        <f t="shared" si="19"/>
        <v>5536</v>
      </c>
      <c r="L227" s="466">
        <v>5900</v>
      </c>
    </row>
    <row r="228" spans="1:12" x14ac:dyDescent="0.2">
      <c r="A228" s="1504" t="s">
        <v>1088</v>
      </c>
      <c r="B228" s="614">
        <v>1900</v>
      </c>
      <c r="C228" s="616"/>
      <c r="D228" s="466">
        <v>15323</v>
      </c>
      <c r="E228" s="616"/>
      <c r="F228" s="616"/>
      <c r="G228" s="616"/>
      <c r="H228" s="616"/>
      <c r="I228" s="616"/>
      <c r="J228" s="616"/>
      <c r="K228" s="1671">
        <f t="shared" si="19"/>
        <v>15323</v>
      </c>
      <c r="L228" s="466"/>
    </row>
    <row r="229" spans="1:12" ht="12.75" customHeight="1" thickBot="1" x14ac:dyDescent="0.25">
      <c r="A229" s="1668" t="s">
        <v>715</v>
      </c>
      <c r="B229" s="1675" t="s">
        <v>570</v>
      </c>
      <c r="C229" s="616"/>
      <c r="D229" s="1670">
        <f>SUM(D215:D228)</f>
        <v>94172</v>
      </c>
      <c r="E229" s="616"/>
      <c r="F229" s="616"/>
      <c r="G229" s="616"/>
      <c r="H229" s="616"/>
      <c r="I229" s="616"/>
      <c r="J229" s="616"/>
      <c r="K229" s="1670">
        <f>SUM(K215:K228)</f>
        <v>94172</v>
      </c>
      <c r="L229" s="1670">
        <f>SUM(L215:L228)</f>
        <v>117100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876</v>
      </c>
      <c r="E232" s="616"/>
      <c r="F232" s="616"/>
      <c r="G232" s="616"/>
      <c r="H232" s="616"/>
      <c r="I232" s="616"/>
      <c r="J232" s="616"/>
      <c r="K232" s="1671">
        <f t="shared" ref="K232:K237" si="20">D232</f>
        <v>876</v>
      </c>
      <c r="L232" s="466">
        <v>1000</v>
      </c>
    </row>
    <row r="233" spans="1:12" x14ac:dyDescent="0.2">
      <c r="A233" s="1504" t="s">
        <v>1090</v>
      </c>
      <c r="B233" s="614">
        <v>2120</v>
      </c>
      <c r="C233" s="616"/>
      <c r="D233" s="466">
        <v>0</v>
      </c>
      <c r="E233" s="616"/>
      <c r="F233" s="616"/>
      <c r="G233" s="616"/>
      <c r="H233" s="616"/>
      <c r="I233" s="616"/>
      <c r="J233" s="616"/>
      <c r="K233" s="1671">
        <f t="shared" si="20"/>
        <v>0</v>
      </c>
      <c r="L233" s="466"/>
    </row>
    <row r="234" spans="1:12" x14ac:dyDescent="0.2">
      <c r="A234" s="1504" t="s">
        <v>198</v>
      </c>
      <c r="B234" s="614">
        <v>2130</v>
      </c>
      <c r="C234" s="616"/>
      <c r="D234" s="466">
        <v>9868</v>
      </c>
      <c r="E234" s="616"/>
      <c r="F234" s="616"/>
      <c r="G234" s="616"/>
      <c r="H234" s="616"/>
      <c r="I234" s="616"/>
      <c r="J234" s="616"/>
      <c r="K234" s="1671">
        <f t="shared" si="20"/>
        <v>9868</v>
      </c>
      <c r="L234" s="466">
        <v>11500</v>
      </c>
    </row>
    <row r="235" spans="1:12" x14ac:dyDescent="0.2">
      <c r="A235" s="1504" t="s">
        <v>199</v>
      </c>
      <c r="B235" s="614">
        <v>2140</v>
      </c>
      <c r="C235" s="616"/>
      <c r="D235" s="466">
        <v>0</v>
      </c>
      <c r="E235" s="616"/>
      <c r="F235" s="616"/>
      <c r="G235" s="616"/>
      <c r="H235" s="616"/>
      <c r="I235" s="616"/>
      <c r="J235" s="616"/>
      <c r="K235" s="1671">
        <f t="shared" si="20"/>
        <v>0</v>
      </c>
      <c r="L235" s="466"/>
    </row>
    <row r="236" spans="1:12" x14ac:dyDescent="0.2">
      <c r="A236" s="1504" t="s">
        <v>200</v>
      </c>
      <c r="B236" s="614">
        <v>2150</v>
      </c>
      <c r="C236" s="616"/>
      <c r="D236" s="466">
        <v>0</v>
      </c>
      <c r="E236" s="616"/>
      <c r="F236" s="616"/>
      <c r="G236" s="616"/>
      <c r="H236" s="616"/>
      <c r="I236" s="616"/>
      <c r="J236" s="616"/>
      <c r="K236" s="1671">
        <f t="shared" si="20"/>
        <v>0</v>
      </c>
      <c r="L236" s="466"/>
    </row>
    <row r="237" spans="1:12" x14ac:dyDescent="0.2">
      <c r="A237" s="1504" t="s">
        <v>165</v>
      </c>
      <c r="B237" s="614">
        <v>2190</v>
      </c>
      <c r="C237" s="616"/>
      <c r="D237" s="466">
        <v>0</v>
      </c>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10744</v>
      </c>
      <c r="E238" s="616"/>
      <c r="F238" s="616"/>
      <c r="G238" s="616"/>
      <c r="H238" s="616"/>
      <c r="I238" s="616"/>
      <c r="J238" s="616"/>
      <c r="K238" s="1670">
        <f>SUM(K232:K237)</f>
        <v>10744</v>
      </c>
      <c r="L238" s="1670">
        <f>SUM(L232:L237)</f>
        <v>12500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row>
    <row r="241" spans="1:12" x14ac:dyDescent="0.2">
      <c r="A241" s="1504" t="s">
        <v>815</v>
      </c>
      <c r="B241" s="614">
        <v>2220</v>
      </c>
      <c r="C241" s="616"/>
      <c r="D241" s="466">
        <v>4755</v>
      </c>
      <c r="E241" s="616"/>
      <c r="F241" s="616"/>
      <c r="G241" s="616"/>
      <c r="H241" s="616"/>
      <c r="I241" s="616"/>
      <c r="J241" s="616"/>
      <c r="K241" s="1672">
        <f>D241</f>
        <v>4755</v>
      </c>
      <c r="L241" s="466">
        <v>5200</v>
      </c>
    </row>
    <row r="242" spans="1:12" x14ac:dyDescent="0.2">
      <c r="A242" s="1504" t="s">
        <v>816</v>
      </c>
      <c r="B242" s="614">
        <v>2230</v>
      </c>
      <c r="C242" s="616"/>
      <c r="D242" s="466">
        <v>0</v>
      </c>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4755</v>
      </c>
      <c r="E243" s="616"/>
      <c r="F243" s="616"/>
      <c r="G243" s="616"/>
      <c r="H243" s="616"/>
      <c r="I243" s="616"/>
      <c r="J243" s="616"/>
      <c r="K243" s="1670">
        <f>SUM(K240:K242)</f>
        <v>4755</v>
      </c>
      <c r="L243" s="1670">
        <f>SUM(L240:L242)</f>
        <v>5200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1332</v>
      </c>
      <c r="E245" s="616"/>
      <c r="F245" s="616"/>
      <c r="G245" s="616"/>
      <c r="H245" s="616"/>
      <c r="I245" s="616"/>
      <c r="J245" s="616"/>
      <c r="K245" s="1672">
        <f>D245</f>
        <v>1332</v>
      </c>
      <c r="L245" s="481">
        <v>1700</v>
      </c>
    </row>
    <row r="246" spans="1:12" x14ac:dyDescent="0.2">
      <c r="A246" s="1504" t="s">
        <v>818</v>
      </c>
      <c r="B246" s="614">
        <v>2320</v>
      </c>
      <c r="C246" s="616"/>
      <c r="D246" s="466">
        <v>2848</v>
      </c>
      <c r="E246" s="616"/>
      <c r="F246" s="616"/>
      <c r="G246" s="616"/>
      <c r="H246" s="616"/>
      <c r="I246" s="616"/>
      <c r="J246" s="616"/>
      <c r="K246" s="1672">
        <f t="shared" ref="K246:K256" si="21">D246</f>
        <v>2848</v>
      </c>
      <c r="L246" s="466">
        <v>3200</v>
      </c>
    </row>
    <row r="247" spans="1:12" x14ac:dyDescent="0.2">
      <c r="A247" s="1504" t="s">
        <v>819</v>
      </c>
      <c r="B247" s="614">
        <v>2330</v>
      </c>
      <c r="C247" s="616"/>
      <c r="D247" s="466">
        <v>0</v>
      </c>
      <c r="E247" s="616"/>
      <c r="F247" s="616"/>
      <c r="G247" s="616"/>
      <c r="H247" s="616"/>
      <c r="I247" s="616"/>
      <c r="J247" s="616"/>
      <c r="K247" s="1672">
        <f t="shared" si="21"/>
        <v>0</v>
      </c>
      <c r="L247" s="466"/>
    </row>
    <row r="248" spans="1:12" x14ac:dyDescent="0.2">
      <c r="A248" s="1505" t="s">
        <v>299</v>
      </c>
      <c r="B248" s="602" t="s">
        <v>281</v>
      </c>
      <c r="C248" s="616"/>
      <c r="D248" s="474">
        <v>0</v>
      </c>
      <c r="E248" s="616"/>
      <c r="F248" s="616"/>
      <c r="G248" s="616"/>
      <c r="H248" s="616"/>
      <c r="I248" s="616"/>
      <c r="J248" s="616"/>
      <c r="K248" s="1672">
        <f t="shared" si="21"/>
        <v>0</v>
      </c>
      <c r="L248" s="466"/>
    </row>
    <row r="249" spans="1:12" x14ac:dyDescent="0.2">
      <c r="A249" s="1506" t="s">
        <v>1805</v>
      </c>
      <c r="B249" s="683" t="s">
        <v>282</v>
      </c>
      <c r="C249" s="616"/>
      <c r="D249" s="474">
        <v>0</v>
      </c>
      <c r="E249" s="616"/>
      <c r="F249" s="616"/>
      <c r="G249" s="616"/>
      <c r="H249" s="616"/>
      <c r="I249" s="616"/>
      <c r="J249" s="616"/>
      <c r="K249" s="1672">
        <f t="shared" si="21"/>
        <v>0</v>
      </c>
      <c r="L249" s="466"/>
    </row>
    <row r="250" spans="1:12" x14ac:dyDescent="0.2">
      <c r="A250" s="1505" t="s">
        <v>1806</v>
      </c>
      <c r="B250" s="602" t="s">
        <v>283</v>
      </c>
      <c r="C250" s="616"/>
      <c r="D250" s="474">
        <v>0</v>
      </c>
      <c r="E250" s="616"/>
      <c r="F250" s="616"/>
      <c r="G250" s="616"/>
      <c r="H250" s="616"/>
      <c r="I250" s="616"/>
      <c r="J250" s="616"/>
      <c r="K250" s="1672">
        <f t="shared" si="21"/>
        <v>0</v>
      </c>
      <c r="L250" s="466"/>
    </row>
    <row r="251" spans="1:12" x14ac:dyDescent="0.2">
      <c r="A251" s="1505" t="s">
        <v>238</v>
      </c>
      <c r="B251" s="602" t="s">
        <v>284</v>
      </c>
      <c r="C251" s="616"/>
      <c r="D251" s="474">
        <v>0</v>
      </c>
      <c r="E251" s="616"/>
      <c r="F251" s="616"/>
      <c r="G251" s="616"/>
      <c r="H251" s="616"/>
      <c r="I251" s="616"/>
      <c r="J251" s="616"/>
      <c r="K251" s="1672">
        <f t="shared" si="21"/>
        <v>0</v>
      </c>
      <c r="L251" s="466"/>
    </row>
    <row r="252" spans="1:12" x14ac:dyDescent="0.2">
      <c r="A252" s="1505" t="s">
        <v>702</v>
      </c>
      <c r="B252" s="602" t="s">
        <v>285</v>
      </c>
      <c r="C252" s="616"/>
      <c r="D252" s="474">
        <v>0</v>
      </c>
      <c r="E252" s="616"/>
      <c r="F252" s="616"/>
      <c r="G252" s="616"/>
      <c r="H252" s="616"/>
      <c r="I252" s="616"/>
      <c r="J252" s="616"/>
      <c r="K252" s="1672">
        <f t="shared" si="21"/>
        <v>0</v>
      </c>
      <c r="L252" s="466"/>
    </row>
    <row r="253" spans="1:12" x14ac:dyDescent="0.2">
      <c r="A253" s="1505" t="s">
        <v>239</v>
      </c>
      <c r="B253" s="602" t="s">
        <v>286</v>
      </c>
      <c r="C253" s="616"/>
      <c r="D253" s="474">
        <v>0</v>
      </c>
      <c r="E253" s="616"/>
      <c r="F253" s="616"/>
      <c r="G253" s="616"/>
      <c r="H253" s="616"/>
      <c r="I253" s="616"/>
      <c r="J253" s="616"/>
      <c r="K253" s="1672">
        <f t="shared" si="21"/>
        <v>0</v>
      </c>
      <c r="L253" s="466"/>
    </row>
    <row r="254" spans="1:12" ht="22.5" x14ac:dyDescent="0.2">
      <c r="A254" s="1505" t="s">
        <v>1029</v>
      </c>
      <c r="B254" s="683" t="s">
        <v>287</v>
      </c>
      <c r="C254" s="616"/>
      <c r="D254" s="474">
        <v>0</v>
      </c>
      <c r="E254" s="616"/>
      <c r="F254" s="616"/>
      <c r="G254" s="616"/>
      <c r="H254" s="616"/>
      <c r="I254" s="616"/>
      <c r="J254" s="616"/>
      <c r="K254" s="1672">
        <f t="shared" si="21"/>
        <v>0</v>
      </c>
      <c r="L254" s="466"/>
    </row>
    <row r="255" spans="1:12" x14ac:dyDescent="0.2">
      <c r="A255" s="1505" t="s">
        <v>1030</v>
      </c>
      <c r="B255" s="602" t="s">
        <v>288</v>
      </c>
      <c r="C255" s="616"/>
      <c r="D255" s="474">
        <v>0</v>
      </c>
      <c r="E255" s="616"/>
      <c r="F255" s="616"/>
      <c r="G255" s="616"/>
      <c r="H255" s="616"/>
      <c r="I255" s="616"/>
      <c r="J255" s="616"/>
      <c r="K255" s="1672">
        <f t="shared" si="21"/>
        <v>0</v>
      </c>
      <c r="L255" s="466"/>
    </row>
    <row r="256" spans="1:12" x14ac:dyDescent="0.2">
      <c r="A256" s="1505" t="s">
        <v>971</v>
      </c>
      <c r="B256" s="614" t="s">
        <v>289</v>
      </c>
      <c r="C256" s="616"/>
      <c r="D256" s="474">
        <v>0</v>
      </c>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4180</v>
      </c>
      <c r="E257" s="616"/>
      <c r="F257" s="616"/>
      <c r="G257" s="616"/>
      <c r="H257" s="616"/>
      <c r="I257" s="616"/>
      <c r="J257" s="616"/>
      <c r="K257" s="1670">
        <f>SUM(K245:K256)</f>
        <v>4180</v>
      </c>
      <c r="L257" s="1670">
        <f>SUM(L245:L256)</f>
        <v>4900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18124</v>
      </c>
      <c r="E259" s="616"/>
      <c r="F259" s="616"/>
      <c r="G259" s="616"/>
      <c r="H259" s="616"/>
      <c r="I259" s="616"/>
      <c r="J259" s="616"/>
      <c r="K259" s="1672">
        <f>D259</f>
        <v>18124</v>
      </c>
      <c r="L259" s="481">
        <v>21000</v>
      </c>
    </row>
    <row r="260" spans="1:14" s="597" customFormat="1" x14ac:dyDescent="0.2">
      <c r="A260" s="1522" t="s">
        <v>1804</v>
      </c>
      <c r="B260" s="628">
        <v>2490</v>
      </c>
      <c r="C260" s="616"/>
      <c r="D260" s="466">
        <v>0</v>
      </c>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18124</v>
      </c>
      <c r="E261" s="616"/>
      <c r="F261" s="616"/>
      <c r="G261" s="616"/>
      <c r="H261" s="616"/>
      <c r="I261" s="616"/>
      <c r="J261" s="616"/>
      <c r="K261" s="1670">
        <f>SUM(K259:K260)</f>
        <v>18124</v>
      </c>
      <c r="L261" s="1670">
        <f>SUM(L259:L260)</f>
        <v>21000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row>
    <row r="264" spans="1:14" x14ac:dyDescent="0.2">
      <c r="A264" s="1504" t="s">
        <v>463</v>
      </c>
      <c r="B264" s="685">
        <v>2520</v>
      </c>
      <c r="C264" s="616"/>
      <c r="D264" s="466">
        <v>12030</v>
      </c>
      <c r="E264" s="616"/>
      <c r="F264" s="616"/>
      <c r="G264" s="616"/>
      <c r="H264" s="616"/>
      <c r="I264" s="616"/>
      <c r="J264" s="616"/>
      <c r="K264" s="1672">
        <f t="shared" ref="K264:K269" si="22">D264</f>
        <v>12030</v>
      </c>
      <c r="L264" s="466">
        <v>12700</v>
      </c>
    </row>
    <row r="265" spans="1:14" x14ac:dyDescent="0.2">
      <c r="A265" s="1504" t="s">
        <v>4</v>
      </c>
      <c r="B265" s="614">
        <v>2530</v>
      </c>
      <c r="C265" s="616"/>
      <c r="D265" s="466">
        <v>0</v>
      </c>
      <c r="E265" s="616"/>
      <c r="F265" s="616"/>
      <c r="G265" s="616"/>
      <c r="H265" s="616"/>
      <c r="I265" s="616"/>
      <c r="J265" s="616"/>
      <c r="K265" s="1672">
        <f t="shared" si="22"/>
        <v>0</v>
      </c>
      <c r="L265" s="466"/>
    </row>
    <row r="266" spans="1:14" x14ac:dyDescent="0.2">
      <c r="A266" s="1504" t="s">
        <v>197</v>
      </c>
      <c r="B266" s="614">
        <v>2540</v>
      </c>
      <c r="C266" s="616"/>
      <c r="D266" s="466">
        <v>45289</v>
      </c>
      <c r="E266" s="616"/>
      <c r="F266" s="616"/>
      <c r="G266" s="616"/>
      <c r="H266" s="616"/>
      <c r="I266" s="616"/>
      <c r="J266" s="616"/>
      <c r="K266" s="1672">
        <f t="shared" si="22"/>
        <v>45289</v>
      </c>
      <c r="L266" s="466">
        <v>48800</v>
      </c>
    </row>
    <row r="267" spans="1:14" x14ac:dyDescent="0.2">
      <c r="A267" s="1504" t="s">
        <v>953</v>
      </c>
      <c r="B267" s="614">
        <v>2550</v>
      </c>
      <c r="C267" s="616"/>
      <c r="D267" s="466">
        <v>76653</v>
      </c>
      <c r="E267" s="616"/>
      <c r="F267" s="616"/>
      <c r="G267" s="616"/>
      <c r="H267" s="616"/>
      <c r="I267" s="616"/>
      <c r="J267" s="616"/>
      <c r="K267" s="1672">
        <f t="shared" si="22"/>
        <v>76653</v>
      </c>
      <c r="L267" s="466">
        <v>84300</v>
      </c>
    </row>
    <row r="268" spans="1:14" x14ac:dyDescent="0.2">
      <c r="A268" s="1504" t="s">
        <v>100</v>
      </c>
      <c r="B268" s="614">
        <v>2560</v>
      </c>
      <c r="C268" s="616"/>
      <c r="D268" s="466">
        <v>33439</v>
      </c>
      <c r="E268" s="616"/>
      <c r="F268" s="616"/>
      <c r="G268" s="616"/>
      <c r="H268" s="616"/>
      <c r="I268" s="616"/>
      <c r="J268" s="616"/>
      <c r="K268" s="1672">
        <f t="shared" si="22"/>
        <v>33439</v>
      </c>
      <c r="L268" s="466">
        <v>22800</v>
      </c>
    </row>
    <row r="269" spans="1:14" x14ac:dyDescent="0.2">
      <c r="A269" s="1504" t="s">
        <v>101</v>
      </c>
      <c r="B269" s="614">
        <v>2570</v>
      </c>
      <c r="C269" s="616"/>
      <c r="D269" s="466">
        <v>0</v>
      </c>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167411</v>
      </c>
      <c r="E270" s="616"/>
      <c r="F270" s="616"/>
      <c r="G270" s="616"/>
      <c r="H270" s="616"/>
      <c r="I270" s="616"/>
      <c r="J270" s="616"/>
      <c r="K270" s="1670">
        <f>SUM(K263:K269)</f>
        <v>167411</v>
      </c>
      <c r="L270" s="1670">
        <f>SUM(L263:L269)</f>
        <v>168600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row>
    <row r="273" spans="1:12" x14ac:dyDescent="0.2">
      <c r="A273" s="1504" t="s">
        <v>607</v>
      </c>
      <c r="B273" s="628">
        <v>2620</v>
      </c>
      <c r="C273" s="616"/>
      <c r="D273" s="466">
        <v>0</v>
      </c>
      <c r="E273" s="616"/>
      <c r="F273" s="616"/>
      <c r="G273" s="616"/>
      <c r="H273" s="616"/>
      <c r="I273" s="616"/>
      <c r="J273" s="616"/>
      <c r="K273" s="1672">
        <f>D273</f>
        <v>0</v>
      </c>
      <c r="L273" s="466"/>
    </row>
    <row r="274" spans="1:12" ht="12" customHeight="1" x14ac:dyDescent="0.2">
      <c r="A274" s="1504" t="s">
        <v>1061</v>
      </c>
      <c r="B274" s="614">
        <v>2630</v>
      </c>
      <c r="C274" s="616"/>
      <c r="D274" s="466">
        <v>0</v>
      </c>
      <c r="E274" s="616"/>
      <c r="F274" s="616"/>
      <c r="G274" s="616"/>
      <c r="H274" s="616"/>
      <c r="I274" s="616"/>
      <c r="J274" s="616"/>
      <c r="K274" s="1672">
        <f>D274</f>
        <v>0</v>
      </c>
      <c r="L274" s="466">
        <v>14200</v>
      </c>
    </row>
    <row r="275" spans="1:12" x14ac:dyDescent="0.2">
      <c r="A275" s="1504" t="s">
        <v>403</v>
      </c>
      <c r="B275" s="614">
        <v>2640</v>
      </c>
      <c r="C275" s="616"/>
      <c r="D275" s="466">
        <v>0</v>
      </c>
      <c r="E275" s="616"/>
      <c r="F275" s="616"/>
      <c r="G275" s="616"/>
      <c r="H275" s="616"/>
      <c r="I275" s="616"/>
      <c r="J275" s="616"/>
      <c r="K275" s="1672">
        <f>D275</f>
        <v>0</v>
      </c>
      <c r="L275" s="466"/>
    </row>
    <row r="276" spans="1:12" x14ac:dyDescent="0.2">
      <c r="A276" s="1504" t="s">
        <v>404</v>
      </c>
      <c r="B276" s="614">
        <v>2660</v>
      </c>
      <c r="C276" s="616"/>
      <c r="D276" s="466">
        <v>0</v>
      </c>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14200</v>
      </c>
    </row>
    <row r="278" spans="1:12" ht="13.5" customHeight="1" thickTop="1" x14ac:dyDescent="0.2">
      <c r="A278" s="1510" t="s">
        <v>980</v>
      </c>
      <c r="B278" s="655" t="s">
        <v>574</v>
      </c>
      <c r="C278" s="616"/>
      <c r="D278" s="656">
        <v>0</v>
      </c>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205214</v>
      </c>
      <c r="E279" s="616"/>
      <c r="F279" s="616"/>
      <c r="G279" s="616"/>
      <c r="H279" s="616"/>
      <c r="I279" s="616"/>
      <c r="J279" s="616"/>
      <c r="K279" s="1677">
        <f>SUM(K238,K243,K257,K261,K270,K277,K278)</f>
        <v>205214</v>
      </c>
      <c r="L279" s="1677">
        <f>SUM(L238,L243,L257,L261,L270,L277,L278)</f>
        <v>226400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t="s">
        <v>1169</v>
      </c>
      <c r="E282" s="616"/>
      <c r="F282" s="616"/>
      <c r="G282" s="616"/>
      <c r="H282" s="616"/>
      <c r="I282" s="616"/>
      <c r="J282" s="616"/>
      <c r="K282" s="1671" t="str">
        <f>D282</f>
        <v xml:space="preserve"> </v>
      </c>
      <c r="L282" s="467"/>
    </row>
    <row r="283" spans="1:12" x14ac:dyDescent="0.2">
      <c r="A283" s="1504" t="s">
        <v>304</v>
      </c>
      <c r="B283" s="614">
        <v>4120</v>
      </c>
      <c r="C283" s="616"/>
      <c r="D283" s="466">
        <v>0</v>
      </c>
      <c r="E283" s="616"/>
      <c r="F283" s="616"/>
      <c r="G283" s="616"/>
      <c r="H283" s="616"/>
      <c r="I283" s="616"/>
      <c r="J283" s="616"/>
      <c r="K283" s="1671">
        <f>D283</f>
        <v>0</v>
      </c>
      <c r="L283" s="466"/>
    </row>
    <row r="284" spans="1:12" x14ac:dyDescent="0.2">
      <c r="A284" s="1504" t="s">
        <v>697</v>
      </c>
      <c r="B284" s="614">
        <v>4140</v>
      </c>
      <c r="C284" s="616"/>
      <c r="D284" s="467">
        <v>0</v>
      </c>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row>
    <row r="289" spans="1:14" x14ac:dyDescent="0.2">
      <c r="A289" s="1504" t="s">
        <v>88</v>
      </c>
      <c r="B289" s="614">
        <v>5120</v>
      </c>
      <c r="C289" s="616"/>
      <c r="D289" s="616"/>
      <c r="E289" s="616"/>
      <c r="F289" s="616"/>
      <c r="G289" s="616"/>
      <c r="H289" s="466">
        <v>0</v>
      </c>
      <c r="I289" s="616"/>
      <c r="J289" s="616"/>
      <c r="K289" s="1671">
        <f>H289</f>
        <v>0</v>
      </c>
      <c r="L289" s="466"/>
    </row>
    <row r="290" spans="1:14" ht="12.75" customHeight="1" x14ac:dyDescent="0.2">
      <c r="A290" s="1504" t="s">
        <v>1170</v>
      </c>
      <c r="B290" s="628" t="s">
        <v>617</v>
      </c>
      <c r="C290" s="616"/>
      <c r="D290" s="616"/>
      <c r="E290" s="616"/>
      <c r="F290" s="616"/>
      <c r="G290" s="616"/>
      <c r="H290" s="466">
        <v>0</v>
      </c>
      <c r="I290" s="616"/>
      <c r="J290" s="616"/>
      <c r="K290" s="1671">
        <f>H290</f>
        <v>0</v>
      </c>
      <c r="L290" s="466"/>
    </row>
    <row r="291" spans="1:14" x14ac:dyDescent="0.2">
      <c r="A291" s="1504" t="s">
        <v>89</v>
      </c>
      <c r="B291" s="614" t="s">
        <v>589</v>
      </c>
      <c r="C291" s="616"/>
      <c r="D291" s="616"/>
      <c r="E291" s="616"/>
      <c r="F291" s="616"/>
      <c r="G291" s="616"/>
      <c r="H291" s="466">
        <v>0</v>
      </c>
      <c r="I291" s="616"/>
      <c r="J291" s="616"/>
      <c r="K291" s="1671">
        <f>H291</f>
        <v>0</v>
      </c>
      <c r="L291" s="466"/>
    </row>
    <row r="292" spans="1:14" x14ac:dyDescent="0.2">
      <c r="A292" s="1504" t="s">
        <v>762</v>
      </c>
      <c r="B292" s="614" t="s">
        <v>618</v>
      </c>
      <c r="C292" s="616"/>
      <c r="D292" s="616"/>
      <c r="E292" s="616"/>
      <c r="F292" s="616"/>
      <c r="G292" s="616"/>
      <c r="H292" s="466">
        <v>0</v>
      </c>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299386</v>
      </c>
      <c r="E295" s="616"/>
      <c r="F295" s="616"/>
      <c r="G295" s="616"/>
      <c r="H295" s="1670">
        <f>H293</f>
        <v>0</v>
      </c>
      <c r="I295" s="616"/>
      <c r="J295" s="616"/>
      <c r="K295" s="1670">
        <f>SUM(K229,K279,K280,K285,K293,K294)</f>
        <v>299386</v>
      </c>
      <c r="L295" s="1670">
        <f>SUM(L229,L279,L280,L285,L293,L294)</f>
        <v>343500</v>
      </c>
    </row>
    <row r="296" spans="1:14" ht="13.5" thickTop="1" x14ac:dyDescent="0.2">
      <c r="A296" s="2160" t="s">
        <v>996</v>
      </c>
      <c r="B296" s="2161"/>
      <c r="C296" s="616"/>
      <c r="D296" s="618"/>
      <c r="E296" s="616"/>
      <c r="F296" s="616"/>
      <c r="G296" s="616"/>
      <c r="H296" s="687"/>
      <c r="I296" s="616"/>
      <c r="J296" s="616"/>
      <c r="K296" s="1684">
        <f>'Revenues 9-14'!G268-'Expenditures 15-22'!K295</f>
        <v>157917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7023955</v>
      </c>
      <c r="H301" s="466">
        <v>0</v>
      </c>
      <c r="I301" s="467">
        <v>0</v>
      </c>
      <c r="J301" s="467">
        <v>0</v>
      </c>
      <c r="K301" s="1671">
        <f>SUM(C301:J301)</f>
        <v>7023955</v>
      </c>
      <c r="L301" s="467">
        <v>7023955</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7023955</v>
      </c>
      <c r="H303" s="1677">
        <f t="shared" si="23"/>
        <v>0</v>
      </c>
      <c r="I303" s="1677">
        <f t="shared" si="23"/>
        <v>0</v>
      </c>
      <c r="J303" s="1677">
        <f t="shared" si="23"/>
        <v>0</v>
      </c>
      <c r="K303" s="1677">
        <f t="shared" si="23"/>
        <v>7023955</v>
      </c>
      <c r="L303" s="1677">
        <f t="shared" si="23"/>
        <v>7023955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row>
    <row r="307" spans="1:14" x14ac:dyDescent="0.2">
      <c r="A307" s="1504" t="s">
        <v>304</v>
      </c>
      <c r="B307" s="614">
        <v>4120</v>
      </c>
      <c r="C307" s="616"/>
      <c r="D307" s="616"/>
      <c r="E307" s="467">
        <v>0</v>
      </c>
      <c r="F307" s="616"/>
      <c r="G307" s="616"/>
      <c r="H307" s="467">
        <v>0</v>
      </c>
      <c r="I307" s="477"/>
      <c r="J307" s="616"/>
      <c r="K307" s="1671">
        <f>SUM(E307,H307)</f>
        <v>0</v>
      </c>
      <c r="L307" s="466"/>
    </row>
    <row r="308" spans="1:14" x14ac:dyDescent="0.2">
      <c r="A308" s="1504" t="s">
        <v>697</v>
      </c>
      <c r="B308" s="614">
        <v>4140</v>
      </c>
      <c r="C308" s="616"/>
      <c r="D308" s="616"/>
      <c r="E308" s="467">
        <v>0</v>
      </c>
      <c r="F308" s="616"/>
      <c r="G308" s="616"/>
      <c r="H308" s="467">
        <v>0</v>
      </c>
      <c r="I308" s="477"/>
      <c r="J308" s="616"/>
      <c r="K308" s="1671">
        <f>SUM(E308,H308)</f>
        <v>0</v>
      </c>
      <c r="L308" s="466"/>
    </row>
    <row r="309" spans="1:14" ht="12.75" customHeight="1" x14ac:dyDescent="0.2">
      <c r="A309" s="1508" t="s">
        <v>698</v>
      </c>
      <c r="B309" s="628">
        <v>4190</v>
      </c>
      <c r="C309" s="616"/>
      <c r="D309" s="616"/>
      <c r="E309" s="467">
        <v>0</v>
      </c>
      <c r="F309" s="616"/>
      <c r="G309" s="616"/>
      <c r="H309" s="467">
        <v>0</v>
      </c>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0</v>
      </c>
      <c r="F312" s="1670">
        <f>SUM(F303)</f>
        <v>0</v>
      </c>
      <c r="G312" s="1670">
        <f>SUM(G303)</f>
        <v>7023955</v>
      </c>
      <c r="H312" s="1670">
        <f>SUM(H303,H310)</f>
        <v>0</v>
      </c>
      <c r="I312" s="1670">
        <f>SUM(I303)</f>
        <v>0</v>
      </c>
      <c r="J312" s="1670">
        <f>SUM(J303)</f>
        <v>0</v>
      </c>
      <c r="K312" s="1670">
        <f>SUM(K303,K310,K311)</f>
        <v>7023955</v>
      </c>
      <c r="L312" s="1670">
        <f>SUM(L303,L310,L311)</f>
        <v>7023955</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-7023955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c r="M319" s="665"/>
      <c r="N319" s="665"/>
    </row>
    <row r="320" spans="1:14" s="674" customFormat="1" x14ac:dyDescent="0.2">
      <c r="A320" s="1523" t="s">
        <v>1805</v>
      </c>
      <c r="B320" s="698" t="s">
        <v>282</v>
      </c>
      <c r="C320" s="467">
        <v>0</v>
      </c>
      <c r="D320" s="467">
        <v>0</v>
      </c>
      <c r="E320" s="467">
        <v>66662</v>
      </c>
      <c r="F320" s="467">
        <v>0</v>
      </c>
      <c r="G320" s="467">
        <v>0</v>
      </c>
      <c r="H320" s="467">
        <v>0</v>
      </c>
      <c r="I320" s="467">
        <v>0</v>
      </c>
      <c r="J320" s="467">
        <v>0</v>
      </c>
      <c r="K320" s="1671">
        <f t="shared" ref="K320:K327" si="24">SUM(C320:J320)</f>
        <v>66662</v>
      </c>
      <c r="L320" s="467">
        <v>68000</v>
      </c>
      <c r="M320" s="665"/>
      <c r="N320" s="665"/>
    </row>
    <row r="321" spans="1:14" s="674" customFormat="1" x14ac:dyDescent="0.2">
      <c r="A321" s="1519" t="s">
        <v>300</v>
      </c>
      <c r="B321" s="697" t="s">
        <v>283</v>
      </c>
      <c r="C321" s="467">
        <v>0</v>
      </c>
      <c r="D321" s="467">
        <v>68768</v>
      </c>
      <c r="E321" s="467">
        <v>0</v>
      </c>
      <c r="F321" s="467">
        <v>0</v>
      </c>
      <c r="G321" s="467">
        <v>0</v>
      </c>
      <c r="H321" s="467">
        <v>0</v>
      </c>
      <c r="I321" s="467">
        <v>0</v>
      </c>
      <c r="J321" s="467">
        <v>0</v>
      </c>
      <c r="K321" s="1671">
        <f t="shared" si="24"/>
        <v>68768</v>
      </c>
      <c r="L321" s="467">
        <v>70000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c r="M324" s="665"/>
      <c r="N324" s="665"/>
    </row>
    <row r="325" spans="1:14" s="674" customFormat="1" ht="22.5" x14ac:dyDescent="0.2">
      <c r="A325" s="1519" t="s">
        <v>1029</v>
      </c>
      <c r="B325" s="698" t="s">
        <v>287</v>
      </c>
      <c r="C325" s="467">
        <v>0</v>
      </c>
      <c r="D325" s="467">
        <v>0</v>
      </c>
      <c r="E325" s="467">
        <v>0</v>
      </c>
      <c r="F325" s="467">
        <v>0</v>
      </c>
      <c r="G325" s="467">
        <v>0</v>
      </c>
      <c r="H325" s="467">
        <v>0</v>
      </c>
      <c r="I325" s="467">
        <v>0</v>
      </c>
      <c r="J325" s="467">
        <v>0</v>
      </c>
      <c r="K325" s="1671">
        <f t="shared" si="24"/>
        <v>0</v>
      </c>
      <c r="L325" s="467"/>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c r="M326" s="665"/>
      <c r="N326" s="665"/>
    </row>
    <row r="327" spans="1:14" s="674" customFormat="1" x14ac:dyDescent="0.2">
      <c r="A327" s="1519" t="s">
        <v>971</v>
      </c>
      <c r="B327" s="697" t="s">
        <v>289</v>
      </c>
      <c r="C327" s="467">
        <v>0</v>
      </c>
      <c r="D327" s="467">
        <v>0</v>
      </c>
      <c r="E327" s="467">
        <v>62570</v>
      </c>
      <c r="F327" s="467">
        <v>0</v>
      </c>
      <c r="G327" s="467">
        <v>0</v>
      </c>
      <c r="H327" s="467">
        <v>0</v>
      </c>
      <c r="I327" s="467">
        <v>0</v>
      </c>
      <c r="J327" s="467">
        <v>0</v>
      </c>
      <c r="K327" s="1671">
        <f t="shared" si="24"/>
        <v>62570</v>
      </c>
      <c r="L327" s="467">
        <v>60000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68768</v>
      </c>
      <c r="E330" s="1670">
        <f t="shared" si="25"/>
        <v>129232</v>
      </c>
      <c r="F330" s="1670">
        <f t="shared" si="25"/>
        <v>0</v>
      </c>
      <c r="G330" s="1670">
        <f t="shared" si="25"/>
        <v>0</v>
      </c>
      <c r="H330" s="1670">
        <f t="shared" si="25"/>
        <v>0</v>
      </c>
      <c r="I330" s="1670">
        <f t="shared" si="25"/>
        <v>0</v>
      </c>
      <c r="J330" s="1670">
        <f t="shared" si="25"/>
        <v>0</v>
      </c>
      <c r="K330" s="1670">
        <f>SUM(K319:K329)</f>
        <v>198000</v>
      </c>
      <c r="L330" s="1670">
        <f>SUM(L319:L329)</f>
        <v>198000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row>
    <row r="338" spans="1:14" ht="12.75" customHeight="1" x14ac:dyDescent="0.2">
      <c r="A338" s="1518" t="s">
        <v>1170</v>
      </c>
      <c r="B338" s="690" t="s">
        <v>617</v>
      </c>
      <c r="C338" s="638"/>
      <c r="D338" s="638"/>
      <c r="E338" s="638"/>
      <c r="F338" s="638"/>
      <c r="G338" s="638"/>
      <c r="H338" s="478">
        <v>0</v>
      </c>
      <c r="I338" s="638"/>
      <c r="J338" s="638"/>
      <c r="K338" s="1671">
        <f>H338</f>
        <v>0</v>
      </c>
      <c r="L338" s="478"/>
    </row>
    <row r="339" spans="1:14" x14ac:dyDescent="0.2">
      <c r="A339" s="1504" t="s">
        <v>901</v>
      </c>
      <c r="B339" s="628">
        <v>5150</v>
      </c>
      <c r="C339" s="638"/>
      <c r="D339" s="638"/>
      <c r="E339" s="638"/>
      <c r="F339" s="638"/>
      <c r="G339" s="638"/>
      <c r="H339" s="467">
        <v>0</v>
      </c>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68768</v>
      </c>
      <c r="E342" s="1670">
        <f>SUM(E330)</f>
        <v>129232</v>
      </c>
      <c r="F342" s="1670">
        <f>SUM(F330)</f>
        <v>0</v>
      </c>
      <c r="G342" s="1670">
        <f>SUM(G330)</f>
        <v>0</v>
      </c>
      <c r="H342" s="1670">
        <f>SUM(H330,H334,H340)</f>
        <v>0</v>
      </c>
      <c r="I342" s="1670">
        <f>SUM(I330)</f>
        <v>0</v>
      </c>
      <c r="J342" s="1670">
        <f>SUM(J330)</f>
        <v>0</v>
      </c>
      <c r="K342" s="1670">
        <f>SUM(K330,K334,K340)</f>
        <v>198000</v>
      </c>
      <c r="L342" s="1677">
        <f>SUM(L330,L340,L341)</f>
        <v>198000</v>
      </c>
    </row>
    <row r="343" spans="1:14" ht="12.75" customHeight="1" thickTop="1" x14ac:dyDescent="0.2">
      <c r="A343" s="2173" t="s">
        <v>996</v>
      </c>
      <c r="B343" s="2174"/>
      <c r="C343" s="616"/>
      <c r="D343" s="616"/>
      <c r="E343" s="616"/>
      <c r="F343" s="616"/>
      <c r="G343" s="616"/>
      <c r="H343" s="616"/>
      <c r="I343" s="616"/>
      <c r="J343" s="616"/>
      <c r="K343" s="1684">
        <f>'Revenues 9-14'!J268-'Expenditures 15-22'!K342</f>
        <v>-171327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row>
    <row r="349" spans="1:14" x14ac:dyDescent="0.2">
      <c r="A349" s="1504" t="s">
        <v>197</v>
      </c>
      <c r="B349" s="614">
        <v>2540</v>
      </c>
      <c r="C349" s="466">
        <v>0</v>
      </c>
      <c r="D349" s="466">
        <v>0</v>
      </c>
      <c r="E349" s="466">
        <v>8905</v>
      </c>
      <c r="F349" s="466">
        <v>20</v>
      </c>
      <c r="G349" s="466">
        <v>0</v>
      </c>
      <c r="H349" s="466">
        <v>0</v>
      </c>
      <c r="I349" s="467">
        <v>0</v>
      </c>
      <c r="J349" s="467">
        <v>0</v>
      </c>
      <c r="K349" s="1671">
        <f>SUM(C349:J349)</f>
        <v>8925</v>
      </c>
      <c r="L349" s="466">
        <v>142271</v>
      </c>
    </row>
    <row r="350" spans="1:14" ht="12.75" customHeight="1" thickBot="1" x14ac:dyDescent="0.25">
      <c r="A350" s="1668" t="s">
        <v>719</v>
      </c>
      <c r="B350" s="1669" t="s">
        <v>35</v>
      </c>
      <c r="C350" s="1670">
        <f>SUM(C348:C349)</f>
        <v>0</v>
      </c>
      <c r="D350" s="1670">
        <f t="shared" ref="D350:L350" si="26">SUM(D348:D349)</f>
        <v>0</v>
      </c>
      <c r="E350" s="1670">
        <f t="shared" si="26"/>
        <v>8905</v>
      </c>
      <c r="F350" s="1670">
        <f t="shared" si="26"/>
        <v>20</v>
      </c>
      <c r="G350" s="1670">
        <f t="shared" si="26"/>
        <v>0</v>
      </c>
      <c r="H350" s="1670">
        <f t="shared" si="26"/>
        <v>0</v>
      </c>
      <c r="I350" s="1670">
        <f t="shared" si="26"/>
        <v>0</v>
      </c>
      <c r="J350" s="1670">
        <f t="shared" si="26"/>
        <v>0</v>
      </c>
      <c r="K350" s="1670">
        <f t="shared" si="26"/>
        <v>8925</v>
      </c>
      <c r="L350" s="1670">
        <f t="shared" si="26"/>
        <v>142271</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8905</v>
      </c>
      <c r="F352" s="1670">
        <f t="shared" si="27"/>
        <v>20</v>
      </c>
      <c r="G352" s="1670">
        <f t="shared" si="27"/>
        <v>0</v>
      </c>
      <c r="H352" s="1670">
        <f t="shared" si="27"/>
        <v>0</v>
      </c>
      <c r="I352" s="1670">
        <f t="shared" si="27"/>
        <v>0</v>
      </c>
      <c r="J352" s="1670">
        <f t="shared" si="27"/>
        <v>0</v>
      </c>
      <c r="K352" s="1670">
        <f t="shared" si="27"/>
        <v>8925</v>
      </c>
      <c r="L352" s="1670">
        <f t="shared" si="27"/>
        <v>142271</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row>
    <row r="355" spans="1:14" ht="12.75" customHeight="1" x14ac:dyDescent="0.2">
      <c r="A355" s="1513" t="s">
        <v>1854</v>
      </c>
      <c r="B355" s="690" t="s">
        <v>1847</v>
      </c>
      <c r="C355" s="616"/>
      <c r="D355" s="616"/>
      <c r="E355" s="616"/>
      <c r="F355" s="616"/>
      <c r="G355" s="616"/>
      <c r="H355" s="467">
        <v>0</v>
      </c>
      <c r="I355" s="701"/>
      <c r="J355" s="616"/>
      <c r="K355" s="1743">
        <f>H355</f>
        <v>0</v>
      </c>
      <c r="L355" s="467"/>
    </row>
    <row r="356" spans="1:14" ht="12.75" customHeight="1" x14ac:dyDescent="0.2">
      <c r="A356" s="1834" t="s">
        <v>698</v>
      </c>
      <c r="B356" s="683" t="s">
        <v>558</v>
      </c>
      <c r="C356" s="616"/>
      <c r="D356" s="616"/>
      <c r="E356" s="616"/>
      <c r="F356" s="616"/>
      <c r="G356" s="616"/>
      <c r="H356" s="479">
        <v>0</v>
      </c>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row>
    <row r="361" spans="1:14" ht="12.75" customHeight="1" x14ac:dyDescent="0.2">
      <c r="A361" s="1505" t="s">
        <v>619</v>
      </c>
      <c r="B361" s="602" t="s">
        <v>618</v>
      </c>
      <c r="C361" s="616"/>
      <c r="D361" s="616"/>
      <c r="E361" s="616"/>
      <c r="F361" s="616"/>
      <c r="G361" s="616"/>
      <c r="H361" s="467">
        <v>0</v>
      </c>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8905</v>
      </c>
      <c r="F367" s="1670">
        <f t="shared" si="28"/>
        <v>20</v>
      </c>
      <c r="G367" s="1670">
        <f t="shared" si="28"/>
        <v>0</v>
      </c>
      <c r="H367" s="1670">
        <f t="shared" si="28"/>
        <v>0</v>
      </c>
      <c r="I367" s="1670">
        <f t="shared" si="28"/>
        <v>0</v>
      </c>
      <c r="J367" s="1670">
        <f t="shared" si="28"/>
        <v>0</v>
      </c>
      <c r="K367" s="1670">
        <f t="shared" si="28"/>
        <v>8925</v>
      </c>
      <c r="L367" s="1670">
        <f t="shared" si="28"/>
        <v>142271</v>
      </c>
    </row>
    <row r="368" spans="1:14" ht="13.5" thickTop="1" x14ac:dyDescent="0.2">
      <c r="A368" s="2160" t="s">
        <v>996</v>
      </c>
      <c r="B368" s="2161"/>
      <c r="C368" s="654"/>
      <c r="D368" s="654"/>
      <c r="E368" s="626"/>
      <c r="F368" s="626"/>
      <c r="G368" s="626"/>
      <c r="H368" s="626"/>
      <c r="I368" s="626"/>
      <c r="J368" s="623"/>
      <c r="K368" s="1671">
        <f>'Revenues 9-14'!K268-'Expenditures 15-22'!K367</f>
        <v>63013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4d435f69-8686-490b-bd6d-b153bf22ab50"/>
    <ds:schemaRef ds:uri="http://schemas.microsoft.com/office/infopath/2007/PartnerControls"/>
    <ds:schemaRef ds:uri="http://purl.org/dc/elements/1.1/"/>
    <ds:schemaRef ds:uri="http://schemas.openxmlformats.org/package/2006/metadata/core-properties"/>
    <ds:schemaRef ds:uri="d21dc803-237d-4c68-8692-8d731fd29118"/>
    <ds:schemaRef ds:uri="http://schemas.microsoft.com/office/2006/documentManagement/types"/>
    <ds:schemaRef ds:uri="http://purl.org/dc/dcmitype/"/>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2019-08-15T20:10:48Z</cp:lastPrinted>
  <dcterms:created xsi:type="dcterms:W3CDTF">2003-10-29T19:06:34Z</dcterms:created>
  <dcterms:modified xsi:type="dcterms:W3CDTF">2019-11-07T21:14:38Z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