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30EDCF9-B4B9-461A-923A-5091BC365D5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0" i="179" l="1"/>
  <c r="G28" i="179" l="1"/>
  <c r="F28" i="179" l="1"/>
  <c r="I25" i="179" l="1"/>
  <c r="I24" i="179"/>
  <c r="G25" i="179"/>
  <c r="G24" i="179"/>
  <c r="F25" i="179"/>
  <c r="F24" i="179"/>
  <c r="E25" i="179"/>
  <c r="E24" i="179"/>
  <c r="I48" i="179"/>
  <c r="G48" i="179"/>
  <c r="F48" i="179"/>
  <c r="E48" i="179"/>
  <c r="K43" i="179"/>
  <c r="K49" i="179" s="1"/>
  <c r="I43" i="179"/>
  <c r="G43" i="179"/>
  <c r="G49" i="179" s="1"/>
  <c r="F43" i="179"/>
  <c r="E43" i="179"/>
  <c r="K42" i="179"/>
  <c r="I42" i="179"/>
  <c r="G42" i="179"/>
  <c r="F42" i="179"/>
  <c r="E42" i="179"/>
  <c r="L23" i="179"/>
  <c r="L22" i="179"/>
  <c r="E49" i="179" l="1"/>
  <c r="I49" i="179"/>
  <c r="D45" i="174" s="1"/>
  <c r="F49" i="179"/>
  <c r="D35" i="171" s="1"/>
  <c r="L29" i="179"/>
  <c r="L28" i="179"/>
  <c r="L25" i="179"/>
  <c r="L24" i="179"/>
  <c r="L21" i="179"/>
  <c r="L20" i="179"/>
  <c r="L19" i="179"/>
  <c r="L18" i="179"/>
  <c r="L17" i="179"/>
  <c r="L16" i="179"/>
  <c r="L15" i="179"/>
  <c r="L14" i="179"/>
  <c r="L46" i="179"/>
  <c r="L43" i="179"/>
  <c r="L42" i="17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49" i="179" l="1"/>
  <c r="L48" i="179"/>
  <c r="L47" i="179"/>
  <c r="L41" i="179"/>
  <c r="L40" i="179"/>
  <c r="L39" i="179"/>
  <c r="L38" i="179"/>
  <c r="L37" i="179"/>
  <c r="L34" i="179"/>
  <c r="L33" i="179"/>
  <c r="L32" i="179"/>
  <c r="L3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D11" i="37"/>
  <c r="J22" i="37"/>
  <c r="L22" i="37"/>
  <c r="D24" i="37"/>
  <c r="B4270" i="106" s="1"/>
  <c r="D4270" i="106" s="1"/>
  <c r="L5" i="11" l="1"/>
  <c r="B2056" i="106" s="1"/>
  <c r="D2056" i="106" s="1"/>
  <c r="D69" i="36"/>
  <c r="B6289" i="106"/>
  <c r="D6289" i="106" s="1"/>
  <c r="L15" i="11"/>
  <c r="B3459" i="106" s="1"/>
  <c r="D3459" i="106" s="1"/>
  <c r="H28" i="118"/>
  <c r="F19" i="7"/>
  <c r="B1807" i="106" s="1"/>
  <c r="D1807" i="106" s="1"/>
  <c r="K76" i="4"/>
  <c r="B3586" i="106" s="1"/>
  <c r="D3586" i="106" s="1"/>
  <c r="D54" i="36"/>
  <c r="E30" i="108"/>
  <c r="D14" i="4"/>
  <c r="B2570" i="106" s="1"/>
  <c r="D2570" i="106" s="1"/>
  <c r="H112" i="29"/>
  <c r="B7018" i="106" s="1"/>
  <c r="D7018" i="106" s="1"/>
  <c r="G33" i="108"/>
  <c r="L367" i="29"/>
  <c r="I210" i="29"/>
  <c r="B7071" i="106" s="1"/>
  <c r="D7071" i="106" s="1"/>
  <c r="F44" i="34"/>
  <c r="E34" i="108"/>
  <c r="D37" i="108"/>
  <c r="D31" i="108"/>
  <c r="F36" i="108"/>
  <c r="F56" i="34"/>
  <c r="G30" i="108"/>
  <c r="D36" i="108"/>
  <c r="F37" i="108"/>
  <c r="G38" i="108"/>
  <c r="G26" i="108"/>
  <c r="B1124" i="106"/>
  <c r="D1124" i="106" s="1"/>
  <c r="E26" i="108"/>
  <c r="B1274" i="106"/>
  <c r="D1274" i="106" s="1"/>
  <c r="L13" i="11"/>
  <c r="B2060" i="106" s="1"/>
  <c r="D2060" i="106" s="1"/>
  <c r="K28" i="118"/>
  <c r="O27" i="118" s="1"/>
  <c r="O29" i="118" s="1"/>
  <c r="D22" i="37"/>
  <c r="H33" i="118"/>
  <c r="L342" i="29"/>
  <c r="B7727" i="106"/>
  <c r="D7727" i="106" s="1"/>
  <c r="F27" i="108"/>
  <c r="B7078" i="106"/>
  <c r="D7078" i="106" s="1"/>
  <c r="J41" i="3"/>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3" i="106"/>
  <c r="D7252" i="106"/>
  <c r="D7254" i="106"/>
  <c r="D41" i="108"/>
  <c r="E43" i="108" s="1"/>
  <c r="B1317" i="106"/>
  <c r="D1317" i="106" s="1"/>
  <c r="L114" i="29"/>
  <c r="D44" i="36"/>
  <c r="I7" i="4"/>
  <c r="B4444" i="106" s="1"/>
  <c r="D4444" i="106" s="1"/>
  <c r="B1328" i="106"/>
  <c r="D1328" i="106" s="1"/>
  <c r="L16" i="11"/>
  <c r="B2061" i="106" s="1"/>
  <c r="D2061"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<sst xmlns="http://schemas.openxmlformats.org/spreadsheetml/2006/main" count="5182" uniqueCount="2165">
  <si>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</si>
  <si>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</si>
  <si>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</si>
  <si>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</si>
  <si>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</si>
  <si>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</si>
  <si>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</si>
  <si>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</si>
  <si>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</si>
  <si>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</si>
  <si>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</si>
  <si>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</si>
  <si>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</si>
  <si>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</si>
  <si>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</si>
  <si>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</si>
  <si>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</si>
  <si>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</si>
  <si>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</si>
  <si>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</si>
  <si>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</si>
  <si>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</si>
  <si>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</si>
  <si>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</si>
  <si>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</si>
  <si>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</si>
  <si>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</si>
  <si>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</si>
  <si>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</si>
  <si>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</si>
  <si>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</si>
  <si>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</si>
  <si>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</si>
  <si>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</si>
  <si>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</si>
  <si>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</si>
  <si>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</si>
  <si>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</si>
  <si>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</si>
  <si>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</si>
  <si>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</si>
  <si>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</si>
  <si>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</si>
  <si>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</si>
  <si>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</si>
  <si>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</si>
  <si>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</si>
  <si>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</si>
  <si>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</si>
  <si>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</si>
  <si>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</si>
  <si>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</si>
  <si>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</si>
  <si>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</si>
  <si>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</si>
  <si>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</si>
  <si>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</si>
  <si>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</si>
  <si>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</si>
  <si>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</si>
  <si>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</si>
  <si>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</si>
  <si>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</si>
  <si>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</si>
  <si>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</si>
  <si>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</si>
  <si>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</si>
  <si>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</si>
  <si>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</si>
  <si>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</si>
  <si>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</si>
  <si>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</si>
  <si>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</si>
  <si>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</si>
  <si>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</si>
  <si>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</si>
  <si>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</si>
  <si>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</si>
  <si>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</si>
  <si>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</si>
  <si>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</si>
  <si>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</si>
  <si>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</si>
  <si>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</si>
  <si>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</si>
  <si>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</si>
  <si>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</si>
  <si>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</si>
  <si>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</si>
  <si>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</si>
  <si>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</si>
  <si>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</si>
  <si>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</si>
  <si>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</si>
  <si>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</si>
  <si>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</si>
  <si>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</si>
  <si>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</si>
  <si>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</si>
  <si>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</si>
  <si>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</si>
  <si>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</si>
  <si>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</si>
  <si>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</si>
  <si>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</si>
  <si>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</si>
  <si>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</si>
  <si>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</si>
  <si>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</si>
  <si>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</si>
  <si>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</si>
  <si>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</si>
  <si>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</si>
  <si>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</si>
  <si>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</si>
  <si>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</si>
  <si>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</si>
  <si>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</si>
  <si>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</si>
  <si>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</si>
  <si>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</si>
  <si>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</si>
  <si>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</si>
  <si>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</si>
  <si>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</si>
  <si>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</si>
  <si>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</si>
  <si>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</si>
  <si>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</si>
  <si>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</si>
  <si>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</si>
  <si>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</si>
  <si>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</si>
  <si>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</si>
  <si>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</si>
  <si>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</si>
  <si>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</si>
  <si>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</si>
  <si>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</si>
  <si>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</si>
  <si>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</si>
  <si>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</si>
  <si>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</si>
  <si>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</si>
  <si>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</si>
  <si>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</si>
  <si>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</si>
  <si>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</si>
  <si>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</si>
  <si>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</si>
  <si>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</si>
  <si>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</si>
  <si>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</si>
  <si>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</si>
  <si>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</si>
  <si>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</si>
  <si>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</si>
  <si>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</si>
  <si>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</si>
  <si>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</si>
  <si>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</si>
  <si>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</si>
  <si>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</si>
  <si>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</si>
  <si>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</si>
  <si>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</si>
  <si>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</si>
  <si>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</si>
  <si>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</si>
  <si>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</si>
  <si>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</si>
  <si>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</si>
  <si>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</si>
  <si>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</si>
  <si>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</si>
  <si>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</si>
  <si>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</si>
  <si>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</si>
  <si>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</si>
  <si>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</si>
  <si>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</si>
  <si>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</si>
  <si>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</si>
  <si>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</si>
  <si>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</si>
  <si>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</si>
  <si>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</si>
  <si>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</si>
  <si>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</si>
  <si>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</si>
  <si>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</si>
  <si>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</si>
  <si>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</si>
  <si>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</si>
  <si>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</si>
  <si>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</si>
  <si>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</si>
  <si>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</si>
  <si>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</si>
  <si>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</si>
  <si>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</si>
  <si>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</si>
  <si>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</si>
  <si>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</si>
  <si>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</si>
  <si>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</si>
  <si>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</si>
  <si>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</si>
  <si>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</si>
  <si>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</si>
  <si>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</si>
  <si>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</si>
  <si>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</si>
  <si>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</si>
  <si>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</si>
  <si>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</si>
  <si>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</si>
  <si>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</si>
  <si>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</si>
  <si>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</si>
  <si>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</si>
  <si>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</si>
  <si>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</si>
  <si>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</si>
  <si>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</si>
  <si>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</si>
  <si>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</si>
  <si>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</si>
  <si>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</si>
  <si>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</si>
  <si>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</si>
  <si>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</si>
  <si>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</si>
  <si>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</si>
  <si>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</si>
  <si>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</si>
  <si>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</si>
  <si>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</si>
  <si>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</si>
  <si>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</si>
  <si>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</si>
  <si>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</si>
  <si>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</si>
  <si>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</si>
  <si>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</si>
  <si>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</si>
  <si>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</si>
  <si>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</si>
  <si>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</si>
  <si>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</si>
  <si>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</si>
  <si>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</si>
  <si>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</si>
  <si>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</si>
  <si>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</si>
  <si>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</si>
  <si>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</si>
  <si>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</si>
  <si>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</si>
  <si>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</si>
  <si>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</si>
  <si>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</si>
  <si>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</si>
  <si>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</si>
  <si>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</si>
  <si>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</si>
  <si>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</si>
  <si>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</si>
  <si>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</si>
  <si>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</si>
  <si>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</si>
  <si>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</si>
  <si>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</si>
  <si>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</si>
  <si>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</si>
  <si>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</si>
  <si>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</si>
  <si>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</si>
  <si>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</si>
  <si>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</si>
  <si>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</si>
  <si>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</si>
  <si>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</si>
  <si>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</si>
  <si>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</si>
  <si>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</si>
  <si>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</si>
  <si>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</si>
  <si>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</si>
  <si>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</si>
  <si>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</si>
  <si>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</si>
  <si>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</si>
  <si>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</si>
  <si>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</si>
  <si>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</si>
  <si>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</si>
  <si>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</si>
  <si>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</si>
  <si>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</si>
  <si>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</si>
  <si>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</si>
  <si>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</si>
  <si>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</si>
  <si>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</si>
  <si>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</si>
  <si>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</si>
  <si>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</si>
  <si>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</si>
  <si>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</si>
  <si>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</si>
  <si>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</si>
  <si>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</si>
  <si>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</si>
  <si>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</si>
  <si>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</si>
  <si>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</si>
  <si>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</si>
  <si>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</si>
  <si>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</si>
  <si>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</si>
  <si>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</si>
  <si>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</si>
  <si>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</si>
  <si>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</si>
  <si>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</si>
  <si>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</si>
  <si>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</si>
  <si>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</si>
  <si>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</si>
  <si>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</si>
  <si>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</si>
  <si>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</si>
  <si>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</si>
  <si>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</si>
  <si>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</si>
  <si>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</si>
  <si>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</si>
  <si>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</si>
  <si>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</si>
  <si>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</si>
  <si>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</si>
  <si>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</si>
  <si>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</si>
  <si>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</si>
  <si>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</si>
  <si>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</si>
  <si>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</si>
  <si>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</si>
  <si>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</si>
  <si>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</si>
  <si>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</si>
  <si>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</si>
  <si>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</si>
  <si>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</si>
  <si>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</si>
  <si>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</si>
  <si>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</si>
  <si>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</si>
  <si>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</si>
  <si>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</si>
  <si>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</si>
  <si>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</si>
  <si>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</si>
  <si>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</si>
  <si>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</si>
  <si>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</si>
  <si>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</si>
  <si>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</si>
  <si>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</si>
  <si>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</si>
  <si>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</si>
  <si>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</si>
  <si>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</si>
  <si>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</si>
  <si>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</si>
  <si>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</si>
  <si>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</si>
  <si>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</si>
  <si>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</si>
  <si>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</si>
  <si>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</si>
  <si>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</si>
  <si>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</si>
  <si>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</si>
  <si>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</si>
  <si>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</si>
  <si>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</si>
  <si>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</si>
  <si>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</si>
  <si>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</si>
  <si>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</si>
  <si>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</si>
  <si>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</si>
  <si>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</si>
  <si>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</si>
  <si>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</si>
  <si>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</si>
  <si>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</si>
  <si>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</si>
  <si>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</si>
  <si>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</si>
  <si>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</si>
  <si>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</si>
  <si>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</si>
  <si>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</si>
  <si>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</si>
  <si>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</si>
  <si>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</si>
  <si>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</si>
  <si>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</si>
  <si>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</si>
  <si>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</si>
  <si>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</si>
  <si>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</si>
  <si>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</si>
  <si>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</si>
  <si>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</si>
  <si>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</si>
  <si>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</si>
  <si>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</si>
  <si>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</si>
  <si>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</si>
  <si>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</si>
  <si>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</si>
  <si>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</si>
  <si>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</si>
  <si>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</si>
  <si>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</si>
  <si>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</si>
  <si>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</si>
  <si>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</si>
  <si>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</si>
  <si>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</si>
  <si>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</si>
  <si>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</si>
  <si>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</si>
  <si>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</si>
  <si>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</si>
  <si>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</si>
  <si>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</si>
  <si>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</si>
  <si>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</si>
  <si>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</si>
  <si>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</si>
  <si>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</si>
  <si>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</si>
  <si>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</si>
  <si>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</si>
  <si>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</si>
  <si>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</si>
  <si>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</si>
  <si>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</si>
  <si>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</si>
  <si>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</si>
  <si>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</si>
  <si>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</si>
  <si>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</si>
  <si>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</si>
  <si>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</si>
  <si>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</si>
  <si>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</si>
  <si>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</si>
  <si>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</si>
  <si>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</si>
  <si>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</si>
  <si>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</si>
  <si>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</si>
  <si>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</si>
  <si>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</si>
  <si>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</si>
  <si>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</si>
  <si>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</si>
  <si>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</si>
  <si>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</si>
  <si>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</si>
  <si>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</si>
  <si>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</si>
  <si>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</si>
  <si>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</si>
  <si>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</si>
  <si>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</si>
  <si>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</si>
  <si>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</si>
  <si>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</si>
  <si>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</si>
  <si>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</si>
  <si>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</si>
  <si>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</si>
  <si>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</si>
  <si>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</si>
  <si>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</si>
  <si>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</si>
  <si>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</si>
  <si>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</si>
  <si>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</si>
  <si>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</si>
  <si>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</si>
  <si>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</si>
  <si>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</si>
  <si>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</si>
  <si>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</si>
  <si>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</si>
  <si>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</si>
  <si>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</si>
  <si>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</si>
  <si>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</si>
  <si>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</si>
  <si>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</si>
  <si>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</si>
  <si>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</si>
  <si>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</si>
  <si>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</si>
  <si>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</si>
  <si>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</si>
  <si>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</si>
  <si>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</si>
  <si>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</si>
  <si>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</si>
  <si>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</si>
  <si>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</si>
  <si>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</si>
  <si>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</si>
  <si>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</si>
  <si>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</si>
  <si>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</si>
  <si>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</si>
  <si>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</si>
  <si>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</si>
  <si>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</si>
  <si>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</si>
  <si>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</si>
  <si>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</si>
  <si>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</si>
  <si>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</si>
  <si>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</si>
  <si>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</si>
  <si>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</si>
  <si>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</si>
  <si>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</si>
  <si>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</si>
  <si>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</si>
  <si>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</si>
  <si>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</si>
  <si>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</si>
  <si>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</si>
  <si>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</si>
  <si>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</si>
  <si>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</si>
  <si>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</si>
  <si>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</si>
  <si>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</si>
  <si>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</si>
  <si>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</si>
  <si>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</si>
  <si>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</si>
  <si>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</si>
  <si>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</si>
  <si>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</si>
  <si>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</si>
  <si>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</si>
  <si>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</si>
  <si>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</si>
  <si>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</si>
  <si>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</si>
  <si>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</si>
  <si>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</si>
  <si>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</si>
  <si>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</si>
  <si>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</si>
  <si>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</si>
  <si>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</si>
  <si>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</si>
  <si>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</si>
  <si>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</si>
  <si>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</si>
  <si>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</si>
  <si>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</si>
  <si>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</si>
  <si>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</si>
  <si>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</si>
  <si>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</si>
  <si>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</si>
  <si>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</si>
  <si>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</si>
  <si>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</si>
  <si>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</si>
  <si>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</si>
  <si>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</si>
  <si>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</si>
  <si>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</si>
  <si>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</si>
  <si>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</si>
  <si>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</si>
  <si>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</si>
  <si>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</si>
  <si>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</si>
  <si>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</si>
  <si>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</si>
  <si>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</si>
  <si>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</si>
  <si>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</si>
  <si>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</si>
  <si>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</si>
  <si>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</si>
  <si>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</si>
  <si>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</si>
  <si>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</si>
  <si>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</si>
  <si>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</si>
  <si>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</si>
  <si>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</si>
  <si>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</si>
  <si>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</si>
  <si>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</si>
  <si>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</si>
  <si>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</si>
  <si>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</si>
  <si>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</si>
  <si>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</si>
  <si>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</si>
  <si>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</si>
  <si>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</si>
  <si>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</si>
  <si>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</si>
  <si>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</si>
  <si>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</si>
  <si>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</si>
  <si>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</si>
  <si>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</si>
  <si>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</si>
  <si>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</si>
  <si>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</si>
  <si>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</si>
  <si>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</si>
  <si>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</si>
  <si>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</si>
  <si>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</si>
  <si>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</si>
  <si>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</si>
  <si>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</si>
  <si>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</si>
  <si>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</si>
  <si>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</si>
  <si>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</si>
  <si>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</si>
  <si>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</si>
  <si>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</si>
  <si>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</si>
  <si>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</si>
  <si>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</si>
  <si>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</si>
  <si>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</si>
  <si>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</si>
  <si>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</si>
  <si>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</si>
  <si>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</si>
  <si>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</si>
  <si>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</si>
  <si>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</si>
  <si>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</si>
  <si>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</si>
  <si>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</si>
  <si>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</si>
  <si>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</si>
  <si>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</si>
  <si>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</si>
  <si>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</si>
  <si>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</si>
  <si>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</si>
  <si>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</si>
  <si>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</si>
  <si>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</si>
  <si>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</si>
  <si>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</si>
  <si>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</si>
  <si>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</si>
  <si>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</si>
  <si>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</si>
  <si>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</si>
  <si>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</si>
  <si>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</si>
  <si>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</si>
  <si>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</si>
  <si>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</si>
  <si>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</si>
  <si>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</si>
  <si>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</si>
  <si>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</si>
  <si>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</si>
  <si>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</si>
  <si>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</si>
  <si>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</si>
  <si>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</si>
  <si>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</si>
  <si>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</si>
  <si>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</si>
  <si>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</si>
  <si>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</si>
  <si>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</si>
  <si>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</si>
  <si>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</si>
  <si>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</si>
  <si>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</si>
  <si>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</si>
  <si>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</si>
  <si>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</si>
  <si>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</si>
  <si>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</si>
  <si>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</si>
  <si>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</si>
  <si>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</si>
  <si>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</si>
  <si>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</si>
  <si>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</si>
  <si>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</si>
  <si>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</si>
  <si>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</si>
  <si>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</si>
  <si>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</si>
  <si>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</si>
  <si>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</si>
  <si>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</si>
  <si>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</si>
  <si>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</si>
  <si>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</si>
  <si>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</si>
  <si>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</si>
  <si>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</si>
  <si>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</si>
  <si>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</si>
  <si>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</si>
  <si>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</si>
  <si>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</si>
  <si>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</si>
  <si>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</si>
  <si>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</si>
  <si>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</si>
  <si>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</si>
  <si>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</si>
  <si>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</si>
  <si>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</si>
  <si>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</si>
  <si>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</si>
  <si>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</si>
  <si>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</si>
  <si>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</si>
  <si>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</si>
  <si>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</si>
  <si>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</si>
  <si>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</si>
  <si>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</si>
  <si>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</si>
  <si>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</si>
  <si>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</si>
  <si>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</si>
  <si>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</si>
  <si>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</si>
  <si>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</si>
  <si>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</si>
  <si>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</si>
  <si>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</si>
  <si>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</si>
  <si>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</si>
  <si>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</si>
  <si>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</si>
  <si>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</si>
  <si>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</si>
  <si>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</si>
  <si>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</si>
  <si>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</si>
  <si>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</si>
  <si>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</si>
  <si>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</si>
  <si>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</si>
  <si>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</si>
  <si>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</si>
  <si>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</si>
  <si>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</si>
  <si>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</si>
  <si>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</si>
  <si>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</si>
  <si>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</si>
  <si>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</si>
  <si>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</si>
  <si>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</si>
  <si>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</si>
  <si>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</si>
  <si>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</si>
  <si>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</si>
  <si>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</si>
  <si>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</si>
  <si>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</si>
  <si>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</si>
  <si>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</si>
  <si>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</si>
  <si>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</si>
  <si>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</si>
  <si>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</si>
  <si>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</si>
  <si>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</si>
  <si>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</si>
  <si>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</si>
  <si>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</si>
  <si>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</si>
  <si>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</si>
  <si>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</si>
  <si>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</si>
  <si>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</si>
  <si>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</si>
  <si>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</si>
  <si>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</si>
  <si>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</si>
  <si>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</si>
  <si>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</si>
  <si>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</si>
  <si>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</si>
  <si>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</si>
  <si>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</si>
  <si>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</si>
  <si>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</si>
  <si>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</si>
  <si>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</si>
  <si>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</si>
  <si>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</si>
  <si>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</si>
  <si>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</si>
  <si>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</si>
  <si>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</si>
  <si>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</si>
  <si>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</si>
  <si>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</si>
  <si>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</si>
  <si>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</si>
  <si>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</si>
  <si>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</si>
  <si>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</si>
  <si>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</si>
  <si>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</si>
  <si>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</si>
  <si>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</si>
  <si>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</si>
  <si>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</si>
  <si>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</si>
  <si>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</si>
  <si>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</si>
  <si>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</si>
  <si>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</si>
  <si>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</si>
  <si>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</si>
  <si>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</si>
  <si>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</si>
  <si>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</si>
  <si>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</si>
  <si>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</si>
  <si>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</si>
  <si>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</si>
  <si>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</si>
  <si>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</si>
  <si>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</si>
  <si>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</si>
  <si>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</si>
  <si>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</si>
  <si>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</si>
  <si>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</si>
  <si>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</si>
  <si>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</si>
  <si>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</si>
  <si>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</si>
  <si>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</si>
  <si>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</si>
  <si>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</si>
  <si>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</si>
  <si>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</si>
  <si>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</si>
  <si>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</si>
  <si>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</si>
  <si>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</si>
  <si>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</si>
  <si>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</si>
  <si>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</si>
  <si>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</si>
  <si>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</si>
  <si>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</si>
  <si>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</si>
  <si>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</si>
  <si>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</si>
  <si>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</si>
  <si>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</si>
  <si>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</si>
  <si>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</si>
  <si>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</si>
  <si>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</si>
  <si>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</si>
  <si>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</si>
  <si>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</si>
  <si>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</si>
  <si>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</si>
  <si>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</si>
  <si>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</si>
  <si>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</si>
  <si>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</si>
  <si>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</si>
  <si>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</si>
  <si>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</si>
  <si>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</si>
  <si>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</si>
  <si>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</si>
  <si>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</si>
  <si>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</si>
  <si>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</si>
  <si>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</si>
  <si>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</si>
  <si>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</si>
  <si>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</si>
  <si>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</si>
  <si>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</si>
  <si>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</si>
  <si>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</si>
  <si>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</si>
  <si>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</si>
  <si>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</si>
  <si>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</si>
  <si>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</si>
  <si>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</si>
  <si>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</si>
  <si>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</si>
  <si>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</si>
  <si>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</si>
  <si>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</si>
  <si>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</si>
  <si>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</si>
  <si>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</si>
  <si>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</si>
  <si>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</si>
  <si>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</si>
  <si>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</si>
  <si>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</si>
  <si>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</si>
  <si>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</si>
  <si>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</si>
  <si>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</si>
  <si>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</si>
  <si>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</si>
  <si>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</si>
  <si>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</si>
  <si>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</si>
  <si>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</si>
  <si>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</si>
  <si>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</si>
  <si>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</si>
  <si>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</si>
  <si>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</si>
  <si>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</si>
  <si>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</si>
  <si>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</si>
  <si>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</si>
  <si>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</si>
  <si>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</si>
  <si>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</si>
  <si>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</si>
  <si>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</si>
  <si>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</si>
  <si>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</si>
  <si>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</si>
  <si>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</si>
  <si>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</si>
  <si>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</si>
  <si>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</si>
  <si>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</si>
  <si>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</si>
  <si>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</si>
  <si>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</si>
  <si>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</si>
  <si>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</si>
  <si>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</si>
  <si>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</si>
  <si>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</si>
  <si>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</si>
  <si>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</si>
  <si>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</si>
  <si>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</si>
  <si>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</si>
  <si>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</si>
  <si>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</si>
  <si>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</si>
  <si>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</si>
  <si>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</si>
  <si>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</si>
  <si>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</si>
  <si>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</si>
  <si>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</si>
  <si>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</si>
  <si>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</si>
  <si>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</si>
  <si>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</si>
  <si>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</si>
  <si>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</si>
  <si>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</si>
  <si>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</si>
  <si>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</si>
  <si>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</si>
  <si>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</si>
  <si>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</si>
  <si>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</si>
  <si>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</si>
  <si>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</si>
  <si>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</si>
  <si>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</si>
  <si>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</si>
  <si>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</si>
  <si>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</si>
  <si>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</si>
  <si>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</si>
  <si>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</si>
  <si>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</si>
  <si>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</si>
  <si>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</si>
  <si>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</si>
  <si>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</si>
  <si>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</si>
  <si>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</si>
  <si>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</si>
  <si>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</si>
  <si>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</si>
  <si>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</si>
  <si>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</si>
  <si>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</si>
  <si>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</si>
  <si>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</si>
  <si>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</si>
  <si>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</si>
  <si>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</si>
  <si>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</si>
  <si>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</si>
  <si>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</si>
  <si>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</si>
  <si>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</si>
  <si>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</si>
  <si>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</si>
  <si>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</si>
  <si>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</si>
  <si>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</si>
  <si>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</si>
  <si>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</si>
  <si>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</si>
  <si>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</si>
  <si>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</si>
  <si>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</si>
  <si>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</si>
  <si>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</si>
  <si>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</si>
  <si>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</si>
  <si>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</si>
  <si>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</si>
  <si>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</si>
  <si>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</si>
  <si>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</si>
  <si>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</si>
  <si>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</si>
  <si>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</si>
  <si>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</si>
  <si>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</si>
  <si>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</si>
  <si>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</si>
  <si>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</si>
  <si>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</si>
  <si>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</si>
  <si>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</si>
  <si>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</si>
  <si>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</si>
  <si>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</si>
  <si>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</si>
  <si>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</si>
  <si>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</si>
  <si>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</si>
  <si>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</si>
  <si>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</si>
  <si>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</si>
  <si>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</si>
  <si>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</si>
  <si>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</si>
  <si>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</si>
  <si>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</si>
  <si>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</si>
  <si>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</si>
  <si>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</si>
  <si>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</si>
  <si>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</si>
  <si>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</si>
  <si>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</si>
  <si>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</si>
  <si>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</si>
  <si>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</si>
  <si>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</si>
  <si>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</si>
  <si>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</si>
  <si>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</si>
  <si>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</si>
  <si>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</si>
  <si>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</si>
  <si>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</si>
  <si>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</si>
  <si>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</si>
  <si>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</si>
  <si>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</si>
  <si>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</si>
  <si>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</si>
  <si>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</si>
  <si>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</si>
  <si>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</si>
  <si>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</si>
  <si>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</si>
  <si>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</si>
  <si>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</si>
  <si>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</si>
  <si>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</si>
  <si>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</si>
  <si>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</si>
  <si>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</si>
  <si>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</si>
  <si>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</si>
  <si>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</si>
  <si>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</si>
  <si>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</si>
  <si>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</si>
  <si>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</si>
  <si>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</si>
  <si>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</si>
  <si>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</si>
  <si>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</si>
  <si>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</si>
  <si>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</si>
  <si>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</si>
  <si>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</si>
  <si>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</si>
  <si>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</si>
  <si>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</si>
  <si>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</si>
  <si>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</si>
  <si>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</si>
  <si>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</si>
  <si>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</si>
  <si>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</si>
  <si>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</si>
  <si>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</si>
  <si>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</si>
  <si>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</si>
  <si>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</si>
  <si>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</si>
  <si>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</si>
  <si>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</si>
  <si>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</si>
  <si>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</si>
  <si>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</si>
  <si>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</si>
  <si>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</si>
  <si>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</si>
  <si>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</si>
  <si>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</si>
  <si>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</si>
  <si>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</si>
  <si>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</si>
  <si>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</si>
  <si>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</si>
  <si>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</si>
  <si>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</si>
  <si>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</si>
  <si>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</si>
  <si>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</si>
  <si>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</si>
  <si>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</si>
  <si>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</si>
  <si>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</si>
  <si>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</si>
  <si>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</si>
  <si>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</si>
  <si>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</si>
  <si>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</si>
  <si>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</si>
  <si>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</si>
  <si>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</si>
  <si>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</si>
  <si>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</si>
  <si>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</si>
  <si>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</si>
  <si>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</si>
  <si>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</si>
  <si>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</si>
  <si>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</si>
  <si>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</si>
  <si>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</si>
  <si>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</si>
  <si>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</si>
  <si>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</si>
  <si>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</si>
  <si>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</si>
  <si>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</si>
  <si>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</si>
  <si>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</si>
  <si>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</si>
  <si>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</si>
  <si>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</si>
  <si>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</si>
  <si>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</si>
  <si>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</si>
  <si>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</si>
  <si>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</si>
  <si>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</si>
  <si>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</si>
  <si>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</si>
  <si>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</si>
  <si>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</si>
  <si>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</si>
  <si>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</si>
  <si>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</si>
  <si>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</si>
  <si>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</si>
  <si>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</si>
  <si>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</si>
  <si>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</si>
  <si>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</si>
  <si>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</si>
  <si>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</si>
  <si>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</si>
  <si>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</si>
  <si>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</si>
  <si>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</si>
  <si>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</si>
  <si>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</si>
  <si>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</si>
  <si>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</si>
  <si>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</si>
  <si>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</si>
  <si>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</si>
  <si>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</si>
  <si>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</si>
  <si>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</si>
  <si>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</si>
  <si>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</si>
  <si>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</si>
  <si>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</si>
  <si>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</si>
  <si>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</si>
  <si>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</si>
  <si>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</si>
  <si>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</si>
  <si>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</si>
  <si>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</si>
  <si>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</si>
  <si>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</si>
  <si>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</si>
  <si>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</si>
  <si>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</si>
  <si>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</si>
  <si>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</si>
  <si>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</si>
  <si>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</si>
  <si>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</si>
  <si>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</si>
  <si>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</si>
  <si>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</si>
  <si>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</si>
  <si>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</si>
  <si>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</si>
  <si>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</si>
  <si>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</si>
  <si>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</si>
  <si>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</si>
  <si>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</si>
  <si>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</si>
  <si>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</si>
  <si>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</si>
  <si>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</si>
  <si>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</si>
  <si>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</si>
  <si>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</si>
  <si>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</si>
  <si>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</si>
  <si>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</si>
  <si>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</si>
  <si>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</si>
  <si>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</si>
  <si>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</si>
  <si>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</si>
  <si>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</si>
  <si>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</si>
  <si>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</si>
  <si>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</si>
  <si>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</si>
  <si>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</si>
  <si>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</si>
  <si>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</si>
  <si>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</si>
  <si>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</si>
  <si>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</si>
  <si>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</si>
  <si>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</si>
  <si>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</si>
  <si>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</si>
  <si>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</si>
  <si>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</si>
  <si>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</si>
  <si>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</si>
  <si>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</si>
  <si>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</si>
  <si>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</si>
  <si>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</si>
  <si>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</si>
  <si>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</si>
  <si>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</si>
  <si>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</si>
  <si>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</si>
  <si>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</si>
  <si>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</si>
  <si>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</si>
  <si>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</si>
  <si>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</si>
  <si>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</si>
  <si>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</si>
  <si>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</si>
  <si>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</si>
  <si>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</si>
  <si>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</si>
  <si>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</si>
  <si>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</si>
  <si>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</si>
  <si>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</si>
  <si>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</si>
  <si>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</si>
  <si>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</si>
  <si>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</si>
  <si>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</si>
  <si>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</si>
  <si>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</si>
  <si>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</si>
  <si>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</si>
  <si>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</si>
  <si>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</si>
  <si>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</si>
  <si>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</si>
  <si>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</si>
  <si>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</si>
  <si>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</si>
  <si>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</si>
  <si>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</si>
  <si>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</si>
  <si>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</si>
  <si>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</si>
  <si>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</si>
  <si>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</si>
  <si>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</si>
  <si>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</si>
  <si>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</si>
  <si>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</si>
  <si>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</si>
  <si>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</si>
  <si>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</si>
  <si>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</si>
  <si>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</si>
  <si>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</si>
  <si>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</si>
  <si>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</si>
  <si>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</si>
  <si>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</si>
  <si>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</si>
  <si>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</si>
  <si>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</si>
  <si>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</si>
  <si>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</si>
  <si>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</si>
  <si>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</si>
  <si>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</si>
  <si>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</si>
  <si>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</si>
  <si>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</si>
  <si>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</si>
  <si>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</si>
  <si>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</si>
  <si>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</si>
  <si>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</si>
  <si>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</si>
  <si>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</si>
  <si>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</si>
  <si>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</si>
  <si>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</si>
  <si>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</si>
  <si>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</si>
  <si>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</si>
  <si>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</si>
  <si>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</si>
  <si>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</si>
  <si>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</si>
  <si>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</si>
  <si>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</si>
  <si>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</si>
  <si>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</si>
  <si>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</si>
  <si>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</si>
  <si>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</si>
  <si>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</si>
  <si>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</si>
  <si>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</si>
  <si>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</si>
  <si>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</si>
  <si>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</si>
  <si>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</si>
  <si>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</si>
  <si>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</si>
  <si>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</si>
  <si>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</si>
  <si>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</si>
  <si>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</si>
  <si>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</si>
  <si>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</si>
  <si>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</si>
  <si>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</si>
  <si>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</si>
  <si>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</si>
  <si>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</si>
  <si>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</si>
  <si>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</si>
  <si>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</si>
  <si>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</si>
  <si>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</si>
  <si>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</si>
  <si>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</si>
  <si>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</si>
  <si>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</si>
  <si>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</si>
  <si>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</si>
  <si>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</si>
  <si>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</si>
  <si>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</si>
  <si>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</si>
  <si>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</si>
  <si>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</si>
  <si>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</si>
  <si>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</si>
  <si>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</si>
  <si>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</si>
  <si>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</si>
  <si>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</si>
  <si>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</si>
  <si>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</si>
  <si>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</si>
  <si>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</si>
  <si>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</si>
  <si>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</si>
  <si>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</si>
  <si>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</si>
  <si>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</si>
  <si>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</si>
  <si>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</si>
  <si>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</si>
  <si>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</si>
  <si>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</si>
  <si>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</si>
  <si>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</si>
  <si>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</si>
  <si>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</si>
  <si>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</si>
  <si>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</si>
  <si>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</si>
  <si>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</si>
  <si>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</si>
  <si>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</si>
  <si>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</si>
  <si>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</si>
  <si>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</si>
  <si>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</si>
  <si>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</si>
  <si>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</si>
  <si>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</si>
  <si>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</si>
  <si>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</si>
  <si>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</si>
  <si>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</si>
  <si>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</si>
  <si>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</si>
  <si>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</si>
  <si>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</si>
  <si>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</si>
  <si>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</si>
  <si>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</si>
  <si>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</si>
  <si>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</si>
  <si>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</si>
  <si>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</si>
  <si>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</si>
  <si>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</si>
  <si>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</si>
  <si>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</si>
  <si>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</si>
  <si>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</si>
  <si>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</si>
  <si>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</si>
  <si>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</si>
  <si>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</si>
  <si>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</si>
  <si>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</si>
  <si>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</si>
  <si>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</si>
  <si>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</si>
  <si>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</si>
  <si>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</si>
  <si>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</si>
  <si>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</si>
  <si>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</si>
  <si>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</si>
  <si>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</si>
  <si>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</si>
  <si>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</si>
  <si>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</si>
  <si>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</si>
  <si>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</si>
  <si>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</si>
  <si>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</si>
  <si>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</si>
  <si>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</si>
  <si>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</si>
  <si>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</si>
  <si>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</si>
  <si>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</si>
  <si>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</si>
  <si>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</si>
  <si>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</si>
  <si>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</si>
  <si>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</si>
  <si>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</si>
  <si>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</si>
  <si>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</si>
  <si>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</si>
  <si>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</si>
  <si>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</si>
  <si>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</si>
  <si>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</si>
  <si>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</si>
  <si>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</si>
  <si>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</si>
  <si>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</si>
  <si>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</si>
  <si>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</si>
  <si>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</si>
  <si>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</si>
  <si>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</si>
  <si>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</si>
  <si>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</si>
  <si>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</si>
  <si>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</si>
  <si>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</si>
  <si>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</si>
  <si>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</si>
  <si>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</si>
  <si>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</si>
  <si>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</si>
  <si>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</si>
  <si>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</si>
  <si>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</si>
  <si>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</si>
  <si>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</si>
  <si>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</si>
  <si>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</si>
  <si>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</si>
  <si>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</si>
  <si>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</si>
  <si>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</si>
  <si>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</si>
  <si>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</si>
  <si>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</si>
  <si>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</si>
  <si>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</si>
  <si>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</si>
  <si>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</si>
  <si>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</si>
  <si>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</si>
  <si>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</si>
  <si>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</si>
  <si>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</si>
  <si>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</si>
  <si>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</si>
  <si>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</si>
  <si>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</si>
  <si>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</si>
  <si>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</si>
  <si>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</si>
  <si>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</si>
  <si>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</si>
  <si>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</si>
  <si>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</si>
  <si>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</si>
  <si>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</si>
  <si>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</si>
  <si>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</si>
  <si>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</si>
  <si>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</si>
  <si>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</si>
  <si>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</si>
  <si>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</si>
  <si>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</si>
  <si>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</si>
  <si>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</si>
  <si>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</si>
  <si>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</si>
  <si>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</si>
  <si>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</si>
  <si>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</si>
  <si>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</si>
  <si>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</si>
  <si>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</si>
  <si>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</si>
  <si>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</si>
  <si>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</si>
  <si>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</si>
  <si>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</si>
  <si>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</si>
  <si>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</si>
  <si>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</si>
  <si>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</si>
  <si>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</si>
  <si>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</si>
  <si>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</si>
  <si>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</si>
  <si>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</si>
  <si>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</si>
  <si>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</si>
  <si>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</si>
  <si>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</si>
  <si>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</si>
  <si>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</si>
  <si>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</si>
  <si>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</si>
  <si>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</si>
  <si>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</si>
  <si>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</si>
  <si>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</si>
  <si>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</si>
  <si>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</si>
  <si>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</si>
  <si>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</si>
  <si>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</si>
  <si>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</si>
  <si>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</si>
  <si>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</si>
  <si>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</si>
  <si>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</si>
  <si>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</si>
  <si>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</si>
  <si>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</si>
  <si>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</si>
  <si>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</si>
  <si>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</si>
  <si>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</si>
  <si>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</si>
  <si>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</si>
  <si>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</si>
  <si>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</si>
  <si>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</si>
  <si>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</si>
  <si>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</si>
  <si>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</si>
  <si>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</si>
  <si>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</si>
  <si>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</si>
  <si>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</si>
  <si>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</si>
  <si>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</si>
  <si>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</si>
  <si>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</si>
  <si>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</si>
  <si>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</si>
  <si>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</si>
  <si>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</si>
  <si>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</si>
  <si>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</si>
  <si>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</si>
  <si>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</si>
  <si>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</si>
  <si>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</si>
  <si>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</si>
  <si>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</si>
  <si>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</si>
  <si>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</si>
  <si>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</si>
  <si>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</si>
  <si>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</si>
  <si>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</si>
  <si>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</si>
  <si>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</si>
  <si>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</si>
  <si>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</si>
  <si>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</si>
  <si>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</si>
  <si>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</si>
  <si>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</si>
  <si>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</si>
  <si>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</si>
  <si>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</si>
  <si>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</si>
  <si>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</si>
  <si>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</si>
  <si>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</si>
  <si>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</si>
  <si>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</si>
  <si>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</si>
  <si>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</si>
  <si>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</si>
  <si>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</si>
  <si>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</si>
  <si>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</si>
  <si>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</si>
  <si>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</si>
  <si>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</si>
  <si>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</si>
  <si>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</si>
  <si>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</si>
  <si>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</si>
  <si>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</si>
  <si>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</si>
  <si>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</si>
  <si>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</si>
  <si>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</si>
  <si>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</si>
  <si>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</si>
  <si>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</si>
  <si>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</si>
  <si>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</si>
  <si>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</si>
  <si>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</si>
  <si>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</si>
  <si>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</si>
  <si>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</si>
  <si>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</si>
  <si>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</si>
  <si>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</si>
  <si>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</si>
  <si>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</si>
  <si>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</si>
  <si>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</si>
  <si>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</si>
  <si>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</si>
  <si>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</si>
  <si>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</si>
  <si>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</si>
  <si>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</si>
  <si>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</si>
  <si>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</si>
  <si>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</si>
  <si>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</si>
  <si>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</si>
  <si>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</si>
  <si>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</si>
  <si>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</si>
  <si>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</si>
  <si>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</si>
  <si>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</si>
  <si>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</si>
  <si>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</si>
  <si>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</si>
  <si>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</si>
  <si>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</si>
  <si>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</si>
  <si>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</si>
  <si>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</si>
  <si>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</si>
  <si>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</si>
  <si>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</si>
  <si>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</si>
  <si>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</si>
  <si>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</si>
  <si>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</si>
  <si>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</si>
  <si>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</si>
  <si>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</si>
  <si>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</si>
  <si>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</si>
  <si>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</si>
  <si>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</si>
  <si>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</si>
  <si>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</si>
  <si>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</si>
  <si>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</si>
  <si>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</si>
  <si>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</si>
  <si>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</si>
  <si>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</si>
  <si>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</si>
  <si>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</si>
  <si>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</si>
  <si>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</si>
  <si>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</si>
  <si>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</si>
  <si>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</si>
  <si>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</si>
  <si>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</si>
  <si>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</si>
  <si>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</si>
  <si>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</si>
  <si>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</si>
  <si>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</si>
  <si>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</si>
  <si>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</si>
  <si>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</si>
  <si>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</si>
  <si>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</si>
  <si>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</si>
  <si>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</si>
  <si>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</si>
  <si>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</si>
  <si>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</si>
  <si>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</si>
  <si>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</si>
  <si>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</si>
  <si>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</si>
  <si>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</si>
  <si>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</si>
  <si>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</si>
  <si>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</si>
  <si>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</si>
  <si>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</si>
  <si>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</si>
  <si>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</si>
  <si>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</si>
  <si>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</si>
  <si>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</si>
  <si>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</si>
  <si>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</si>
  <si>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</si>
  <si>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</si>
  <si>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</si>
  <si>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</si>
  <si>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</si>
  <si>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</si>
  <si>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</si>
  <si>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</si>
  <si>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</si>
  <si>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</si>
  <si>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</si>
  <si>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</si>
  <si>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</si>
  <si>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</si>
  <si>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</si>
  <si>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</si>
  <si>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</si>
  <si>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</si>
  <si>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</si>
  <si>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</si>
  <si>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</si>
  <si>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</si>
  <si>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</si>
  <si>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</si>
  <si>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</si>
  <si>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</si>
  <si>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</si>
  <si>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</si>
  <si>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</si>
  <si>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</si>
  <si>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</si>
  <si>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</si>
  <si>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</si>
  <si>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</si>
  <si>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</si>
  <si>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</si>
  <si>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</si>
  <si>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</si>
  <si>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</si>
  <si>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</si>
  <si>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</si>
  <si>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</si>
  <si>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</si>
  <si>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</si>
  <si>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</si>
  <si>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</si>
  <si>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</si>
  <si>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</si>
  <si>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</si>
  <si>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</si>
  <si>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</si>
  <si>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</si>
  <si>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</si>
  <si>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</si>
  <si>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</si>
  <si>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</si>
  <si>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</si>
  <si>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</si>
  <si>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</si>
  <si>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</si>
  <si>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</si>
  <si>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</si>
  <si>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</si>
  <si>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</si>
  <si>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</si>
  <si>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</si>
  <si>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</si>
  <si>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</si>
  <si>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</si>
  <si>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</si>
  <si>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</si>
  <si>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</si>
  <si>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</si>
  <si>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</si>
  <si>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</si>
  <si>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</si>
  <si>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</si>
  <si>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</si>
  <si>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</si>
  <si>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</si>
  <si>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</si>
  <si>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</si>
  <si>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</si>
  <si>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</si>
  <si>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</si>
  <si>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</si>
  <si>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</si>
  <si>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</si>
  <si>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</si>
  <si>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</si>
  <si>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</si>
  <si>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</si>
  <si>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</si>
  <si>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</si>
  <si>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</si>
  <si>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</si>
  <si>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</si>
  <si>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</si>
  <si>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</si>
  <si>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</si>
  <si>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</si>
  <si>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</si>
  <si>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</si>
  <si>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</si>
  <si>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</si>
  <si>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</si>
  <si>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</si>
  <si>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</si>
  <si>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</si>
  <si>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</si>
  <si>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</si>
  <si>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</si>
  <si>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</si>
  <si>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</si>
  <si>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</si>
  <si>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</si>
  <si>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</si>
  <si>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</si>
  <si>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</si>
  <si>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</si>
  <si>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</si>
  <si>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</si>
  <si>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</si>
  <si>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</si>
  <si>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</si>
  <si>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</si>
  <si>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</si>
  <si>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</si>
  <si>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</si>
  <si>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</si>
  <si>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</si>
  <si>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</si>
  <si>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</si>
  <si>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</si>
  <si>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</si>
  <si>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</si>
  <si>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</si>
  <si>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</si>
  <si>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</si>
  <si>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</si>
  <si>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</si>
  <si>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</si>
  <si>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</si>
  <si>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</si>
  <si>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</si>
  <si>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</si>
  <si>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</si>
  <si>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</si>
  <si>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</si>
  <si>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</si>
  <si>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</si>
  <si>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</si>
  <si>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</si>
  <si>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</si>
  <si>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</si>
  <si>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</si>
  <si>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</si>
  <si>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</si>
  <si>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</si>
  <si>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</si>
  <si>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</si>
  <si>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</si>
  <si>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</si>
  <si>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</si>
  <si>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</si>
  <si>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</si>
  <si>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</si>
  <si>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</si>
  <si>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</si>
  <si>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</si>
  <si>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</si>
  <si>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</si>
  <si>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</si>
  <si>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</si>
  <si>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</si>
  <si>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</si>
  <si>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</si>
  <si>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</si>
  <si>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</si>
  <si>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</si>
  <si>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</si>
  <si>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</si>
  <si>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</si>
  <si>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</si>
  <si>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</si>
  <si>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</si>
  <si>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</si>
  <si>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</si>
  <si>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</si>
  <si>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</si>
  <si>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</si>
  <si>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</si>
  <si>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</si>
  <si>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</si>
  <si>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</si>
  <si>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</si>
  <si>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</si>
  <si>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</si>
  <si>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</si>
  <si>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</si>
  <si>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</si>
  <si>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</si>
  <si>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</si>
  <si>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</si>
  <si>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</si>
  <si>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</si>
  <si>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</si>
  <si>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</si>
  <si>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</si>
  <si>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</si>
  <si>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</si>
  <si>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</si>
  <si>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</si>
  <si>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</si>
  <si>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</si>
  <si>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</si>
  <si>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</si>
  <si>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</si>
  <si>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</si>
  <si>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</si>
  <si>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</si>
  <si>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</si>
  <si>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</si>
  <si>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</si>
  <si>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</si>
  <si>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</si>
  <si>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</si>
  <si>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</si>
  <si>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</si>
  <si>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</si>
  <si>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</si>
  <si>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</si>
  <si>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</si>
  <si>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56-099-030C-04</t>
  </si>
  <si>
    <t>WILL</t>
  </si>
  <si>
    <t>5800 WEST THEODORE ST</t>
  </si>
  <si>
    <t>PLAINFIELD</t>
  </si>
  <si>
    <t>815-577-6760</t>
  </si>
  <si>
    <t>X</t>
  </si>
  <si>
    <t>GASSENSMITH &amp; MICHALESKO, LTD</t>
  </si>
  <si>
    <t>JILL GASSENSMITH</t>
  </si>
  <si>
    <t>323 SPRINGFIELD</t>
  </si>
  <si>
    <t>JOLIET</t>
  </si>
  <si>
    <t>IL</t>
  </si>
  <si>
    <t>815-744-6200</t>
  </si>
  <si>
    <t>815-744-3822</t>
  </si>
  <si>
    <t>DR. TODD KOEHL</t>
  </si>
  <si>
    <t>TAXABLE REFUNDING BOND SERIES 2007C</t>
  </si>
  <si>
    <t>REFUNDING SCHOOL BOND SERIES 2010A</t>
  </si>
  <si>
    <t>TAXABLE REFUNDING BOND SERIES 2010B</t>
  </si>
  <si>
    <t>TAXABLE REFUNDING BOND SERIES 2012</t>
  </si>
  <si>
    <t>GO BOND SERIES 2013</t>
  </si>
  <si>
    <t>GO BOND SERIES 2015</t>
  </si>
  <si>
    <t>SERIES 2017A</t>
  </si>
  <si>
    <t>SERIES 2017B</t>
  </si>
  <si>
    <t>SERIES 2017C</t>
  </si>
  <si>
    <t>SERIES 2017D</t>
  </si>
  <si>
    <t>Southern Will County Special Education Cooperative</t>
  </si>
  <si>
    <t>PMA Financial Services - ISDLAF</t>
  </si>
  <si>
    <t>Rathbun, Cservenyak &amp; Kozol, LLC; Scaraino et al</t>
  </si>
  <si>
    <t>U.S. Department of Agriculture:</t>
  </si>
  <si>
    <t>Flowthrough from ISBE</t>
  </si>
  <si>
    <t>Child Nutrition Cluster</t>
  </si>
  <si>
    <t xml:space="preserve">   National School Lunch Program</t>
  </si>
  <si>
    <t xml:space="preserve">   School Breakfast Program</t>
  </si>
  <si>
    <t xml:space="preserve">   Special Milk</t>
  </si>
  <si>
    <t xml:space="preserve">   Non-cash Commodities received</t>
  </si>
  <si>
    <t xml:space="preserve">   Department of Defense Fruits &amp; Vegetables</t>
  </si>
  <si>
    <t>Total U.S. Department of Agriculture</t>
  </si>
  <si>
    <t>U.S. Department of Education:</t>
  </si>
  <si>
    <t>19-4210-00</t>
  </si>
  <si>
    <t>18-4210-00</t>
  </si>
  <si>
    <t>19-4220-00</t>
  </si>
  <si>
    <t>18-4220-00</t>
  </si>
  <si>
    <t>19-4215-00</t>
  </si>
  <si>
    <t>18-4215-00</t>
  </si>
  <si>
    <t xml:space="preserve">   Title I - Low Income</t>
  </si>
  <si>
    <t xml:space="preserve">   Title III - LIPLEP</t>
  </si>
  <si>
    <t xml:space="preserve">   Title II - Teacher Quality</t>
  </si>
  <si>
    <t xml:space="preserve">   IDEA Preschool Flowthrough</t>
  </si>
  <si>
    <t xml:space="preserve">   IDEA Flowthrough</t>
  </si>
  <si>
    <t xml:space="preserve">   Total Special Education Cluster</t>
  </si>
  <si>
    <t>Total U.S. Department of Education</t>
  </si>
  <si>
    <t>U.S. Department of Health &amp; Human Services</t>
  </si>
  <si>
    <t xml:space="preserve">   Total Child Nutrition Cluster</t>
  </si>
  <si>
    <t>N/A</t>
  </si>
  <si>
    <t>84.010A</t>
  </si>
  <si>
    <t>84.367A</t>
  </si>
  <si>
    <t>84.173A</t>
  </si>
  <si>
    <t>84.027A</t>
  </si>
  <si>
    <t>Flowthrough from Illinois Healthcare and Family Services</t>
  </si>
  <si>
    <t xml:space="preserve">   Medicaid Administrative Outreach</t>
  </si>
  <si>
    <t>Total U.S. Department of Health &amp; Human Services</t>
  </si>
  <si>
    <t>TOTALS:</t>
  </si>
  <si>
    <t>84.365A</t>
  </si>
  <si>
    <t>19-4600-00</t>
  </si>
  <si>
    <t>18-4600-00</t>
  </si>
  <si>
    <t>19-4300-00</t>
  </si>
  <si>
    <t>18-4300-00</t>
  </si>
  <si>
    <t>19-4909-00</t>
  </si>
  <si>
    <t>18-4909-00</t>
  </si>
  <si>
    <t>19-4932-00</t>
  </si>
  <si>
    <t>18-4932-00</t>
  </si>
  <si>
    <t>19-4620-00</t>
  </si>
  <si>
    <t>18-4620-00</t>
  </si>
  <si>
    <t>Special Education Cluster</t>
  </si>
  <si>
    <t>18-4625-00</t>
  </si>
  <si>
    <t>Title IV</t>
  </si>
  <si>
    <t>19-4400-00</t>
  </si>
  <si>
    <t>NCREB federal subsidy</t>
  </si>
  <si>
    <r>
      <t xml:space="preserve">The accompanying Schedule of Expenditures of Federal Awards includes the federal grant activity of </t>
    </r>
    <r>
      <rPr>
        <b/>
        <sz val="9"/>
        <rFont val="Calibri"/>
        <family val="2"/>
        <scheme val="minor"/>
      </rPr>
      <t>the District</t>
    </r>
    <r>
      <rPr>
        <sz val="9"/>
        <rFont val="Calibri"/>
        <family val="2"/>
        <scheme val="minor"/>
      </rPr>
      <t xml:space="preserve">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</si>
  <si>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</si>
  <si>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</si>
  <si>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</si>
  <si>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</si>
  <si>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</si>
  <si>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</si>
  <si>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Sepcial Education cluster</t>
  </si>
  <si>
    <t>NONE.</t>
  </si>
  <si>
    <t>066-004945</t>
  </si>
  <si>
    <t>GASSENSMITH &amp; MICHALESKO, LTD.</t>
  </si>
  <si>
    <t>Arbor management</t>
  </si>
  <si>
    <t>Grand Prarie Transit</t>
  </si>
  <si>
    <t>SOWIC</t>
  </si>
  <si>
    <t>10-2560-400</t>
  </si>
  <si>
    <t>Ed-Food services-supplies</t>
  </si>
  <si>
    <t>10-4120-600</t>
  </si>
  <si>
    <t>Ed-Special Education-Other</t>
  </si>
  <si>
    <t>40-2550-300</t>
  </si>
  <si>
    <t>Trans-Pupil transportation-PS</t>
  </si>
  <si>
    <t>JILLEGASSENSMITH.COM</t>
  </si>
  <si>
    <t>84.040A</t>
  </si>
  <si>
    <t>19-4331-00</t>
  </si>
  <si>
    <t xml:space="preserve">   Title 1 - School Improvement &amp; Accountability</t>
  </si>
  <si>
    <t xml:space="preserve">   IDEA Preschool Flowthrough (M)</t>
  </si>
  <si>
    <t xml:space="preserve">   IDEA Flowthrough (M)</t>
  </si>
  <si>
    <t xml:space="preserve">   IDEA Room &amp; Board (M)</t>
  </si>
  <si>
    <t>Troy CCSD 30-C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</si>
</sst>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3" fontId="72" fillId="0" borderId="22" xfId="3" applyNumberFormat="1" applyFont="1" applyBorder="1" applyAlignment="1" applyProtection="1">
      <alignment horizontal="left" vertical="center" wrapText="1"/>
      <protection locked="0"/>
    </xf>
    <xf numFmtId="181" fontId="61" fillId="0" borderId="22" xfId="1"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181" fontId="61" fillId="0" borderId="8" xfId="1"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72"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81" fontId="61" fillId="0" borderId="22" xfId="1"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DDFC7"/>
      <color rgb="FFFF9966"/>
      <color rgb="FFDDDDDD"/>
      <color rgb="FFFFCC99"/>
      <color rgb="FF0000FF"/>
      <color rgb="FFFFFF99"/>
      <color rgb="FFC0C0C0"/>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8" t="s">
        <v>404</v>
      </c>
      <c r="J1" s="2029"/>
      <c r="K1" s="2029"/>
      <c r="L1" s="2029"/>
      <c r="M1" s="2029"/>
      <c r="N1" s="2029"/>
      <c r="O1" s="2029"/>
      <c r="P1" s="2029"/>
      <c r="Q1" s="2029"/>
      <c r="R1" s="2029"/>
      <c r="S1" s="2029"/>
    </row>
    <row r="2" spans="1:28" ht="12" customHeight="1" x14ac:dyDescent="0.2">
      <c r="A2" s="47" t="s">
        <v>1989</v>
      </c>
      <c r="D2" s="48"/>
      <c r="I2" s="2030" t="s">
        <v>978</v>
      </c>
      <c r="J2" s="2029"/>
      <c r="K2" s="2029"/>
      <c r="L2" s="2029"/>
      <c r="M2" s="2029"/>
      <c r="N2" s="2029"/>
      <c r="O2" s="2029"/>
      <c r="P2" s="2029"/>
      <c r="Q2" s="2029"/>
      <c r="R2" s="2029"/>
      <c r="S2" s="2029"/>
    </row>
    <row r="3" spans="1:28" ht="12" customHeight="1" x14ac:dyDescent="0.2">
      <c r="A3" s="155" t="s">
        <v>1941</v>
      </c>
      <c r="B3" s="156"/>
      <c r="C3" s="156"/>
      <c r="D3" s="157"/>
      <c r="I3" s="2030" t="s">
        <v>52</v>
      </c>
      <c r="J3" s="2029"/>
      <c r="K3" s="2029"/>
      <c r="L3" s="2029"/>
      <c r="M3" s="2029"/>
      <c r="N3" s="2029"/>
      <c r="O3" s="2029"/>
      <c r="P3" s="2029"/>
      <c r="Q3" s="2029"/>
      <c r="R3" s="2029"/>
      <c r="S3" s="2029"/>
    </row>
    <row r="4" spans="1:28" ht="12" customHeight="1" x14ac:dyDescent="0.2">
      <c r="A4" s="37"/>
      <c r="I4" s="2030" t="s">
        <v>523</v>
      </c>
      <c r="J4" s="2029"/>
      <c r="K4" s="2029"/>
      <c r="L4" s="2029"/>
      <c r="M4" s="2029"/>
      <c r="N4" s="2029"/>
      <c r="O4" s="2029"/>
      <c r="P4" s="2029"/>
      <c r="Q4" s="2029"/>
      <c r="R4" s="2029"/>
      <c r="S4" s="2029"/>
    </row>
    <row r="5" spans="1:28" ht="14.1" customHeight="1" x14ac:dyDescent="0.2">
      <c r="B5" s="104" t="s">
        <v>2138</v>
      </c>
      <c r="C5" s="26" t="s">
        <v>909</v>
      </c>
      <c r="D5" s="84"/>
      <c r="E5" s="84"/>
      <c r="H5" s="38"/>
      <c r="I5" s="2037" t="s">
        <v>679</v>
      </c>
      <c r="J5" s="1982"/>
      <c r="K5" s="1982"/>
      <c r="L5" s="1982"/>
      <c r="M5" s="1982"/>
      <c r="N5" s="1982"/>
      <c r="O5" s="1982"/>
      <c r="P5" s="1982"/>
      <c r="Q5" s="1982"/>
      <c r="R5" s="1982"/>
      <c r="S5" s="1982"/>
    </row>
    <row r="6" spans="1:28" ht="14.1" customHeight="1" x14ac:dyDescent="0.2">
      <c r="B6" s="104"/>
      <c r="C6" s="26" t="s">
        <v>910</v>
      </c>
      <c r="D6" s="84"/>
      <c r="E6" s="84"/>
      <c r="I6" s="2036" t="s">
        <v>882</v>
      </c>
      <c r="J6" s="1982"/>
      <c r="K6" s="1982"/>
      <c r="L6" s="1982"/>
      <c r="M6" s="1982"/>
      <c r="N6" s="1982"/>
      <c r="O6" s="1982"/>
      <c r="P6" s="1982"/>
      <c r="Q6" s="1982"/>
      <c r="R6" s="1982"/>
      <c r="S6" s="1982"/>
    </row>
    <row r="7" spans="1:28" ht="12.2" customHeight="1" x14ac:dyDescent="0.2">
      <c r="I7" s="2031">
        <v>43646</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673</v>
      </c>
      <c r="J9" s="2034"/>
      <c r="K9" s="2034"/>
      <c r="L9" s="2034"/>
      <c r="M9" s="2034"/>
      <c r="N9" s="2034"/>
      <c r="O9" s="2034"/>
      <c r="P9" s="2034"/>
      <c r="Q9" s="2034"/>
      <c r="R9" s="2034"/>
      <c r="S9" s="2035"/>
      <c r="T9" s="1978" t="s">
        <v>532</v>
      </c>
      <c r="U9" s="1979"/>
      <c r="V9" s="1979"/>
      <c r="W9" s="1979"/>
      <c r="X9" s="1979"/>
      <c r="Y9" s="1979"/>
      <c r="Z9" s="1979"/>
      <c r="AA9" s="1980"/>
    </row>
    <row r="10" spans="1:28" ht="13.5" customHeight="1" x14ac:dyDescent="0.2">
      <c r="A10" s="1987" t="s">
        <v>674</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954</v>
      </c>
      <c r="B11" s="1991"/>
      <c r="C11" s="1991"/>
      <c r="D11" s="1991"/>
      <c r="E11" s="1991"/>
      <c r="F11" s="1991"/>
      <c r="G11" s="1991"/>
      <c r="H11" s="1992"/>
      <c r="I11" s="27"/>
      <c r="J11" s="74"/>
      <c r="K11" s="27"/>
      <c r="O11" s="148" t="s">
        <v>2065</v>
      </c>
      <c r="P11" s="100" t="s">
        <v>201</v>
      </c>
      <c r="Q11" s="30"/>
      <c r="R11" s="28"/>
      <c r="S11" s="27"/>
      <c r="T11" s="1984"/>
      <c r="U11" s="1985"/>
      <c r="V11" s="1985"/>
      <c r="W11" s="1985"/>
      <c r="X11" s="1985"/>
      <c r="Y11" s="1985"/>
      <c r="Z11" s="1985"/>
      <c r="AA11" s="198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8" t="s">
        <v>2060</v>
      </c>
      <c r="B13" s="1999"/>
      <c r="C13" s="1999"/>
      <c r="D13" s="1999"/>
      <c r="E13" s="1999"/>
      <c r="F13" s="1999"/>
      <c r="G13" s="1999"/>
      <c r="H13" s="2000"/>
      <c r="I13" s="31"/>
      <c r="J13" s="30"/>
      <c r="K13" s="28"/>
      <c r="L13" s="30"/>
      <c r="M13" s="30"/>
      <c r="N13" s="30"/>
      <c r="O13" s="30"/>
      <c r="P13" s="30"/>
      <c r="Q13" s="30"/>
      <c r="R13" s="30"/>
      <c r="S13" s="30"/>
      <c r="T13" s="2003" t="s">
        <v>2066</v>
      </c>
      <c r="U13" s="2004"/>
      <c r="V13" s="2004"/>
      <c r="W13" s="2004"/>
      <c r="X13" s="2004"/>
      <c r="Y13" s="2005"/>
      <c r="Z13" s="2005"/>
      <c r="AA13" s="200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6" t="s">
        <v>2061</v>
      </c>
      <c r="B15" s="2001"/>
      <c r="C15" s="2001"/>
      <c r="D15" s="2001"/>
      <c r="E15" s="2001"/>
      <c r="F15" s="2001"/>
      <c r="G15" s="2001"/>
      <c r="H15" s="2002"/>
      <c r="T15" s="1964" t="s">
        <v>2067</v>
      </c>
      <c r="U15" s="1965"/>
      <c r="V15" s="1965"/>
      <c r="W15" s="1965"/>
      <c r="X15" s="1965"/>
      <c r="Y15" s="2007"/>
      <c r="Z15" s="2007"/>
      <c r="AA15" s="200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6" t="s">
        <v>2164</v>
      </c>
      <c r="B17" s="2026"/>
      <c r="C17" s="2026"/>
      <c r="D17" s="2026"/>
      <c r="E17" s="2026"/>
      <c r="F17" s="2026"/>
      <c r="G17" s="2026"/>
      <c r="H17" s="2027"/>
      <c r="T17" s="2013" t="s">
        <v>2068</v>
      </c>
      <c r="U17" s="2014"/>
      <c r="V17" s="2014"/>
      <c r="W17" s="2014"/>
      <c r="X17" s="2014"/>
      <c r="Y17" s="2014"/>
      <c r="Z17" s="2014"/>
      <c r="AA17" s="2015"/>
    </row>
    <row r="18" spans="1:27" ht="13.5" customHeight="1" x14ac:dyDescent="0.2">
      <c r="A18" s="85" t="s">
        <v>529</v>
      </c>
      <c r="B18" s="76"/>
      <c r="C18" s="72"/>
      <c r="D18" s="76"/>
      <c r="E18" s="76"/>
      <c r="F18" s="76"/>
      <c r="G18" s="76"/>
      <c r="H18" s="56"/>
      <c r="I18" s="2023" t="s">
        <v>675</v>
      </c>
      <c r="J18" s="2024"/>
      <c r="K18" s="2024"/>
      <c r="L18" s="2024"/>
      <c r="M18" s="2024"/>
      <c r="N18" s="2024"/>
      <c r="O18" s="2024"/>
      <c r="P18" s="2024"/>
      <c r="Q18" s="2024"/>
      <c r="R18" s="2024"/>
      <c r="S18" s="2025"/>
      <c r="T18" s="85" t="s">
        <v>710</v>
      </c>
      <c r="U18" s="51"/>
      <c r="V18" s="72"/>
      <c r="W18" s="50"/>
      <c r="X18" s="85" t="s">
        <v>265</v>
      </c>
      <c r="Y18" s="81"/>
      <c r="Z18" s="159" t="s">
        <v>676</v>
      </c>
      <c r="AA18" s="46"/>
    </row>
    <row r="19" spans="1:27" ht="13.5" customHeight="1" x14ac:dyDescent="0.2">
      <c r="A19" s="1996" t="s">
        <v>2062</v>
      </c>
      <c r="B19" s="1997"/>
      <c r="C19" s="1997"/>
      <c r="D19" s="1997"/>
      <c r="E19" s="1997"/>
      <c r="F19" s="1997"/>
      <c r="G19" s="1997"/>
      <c r="H19" s="1995"/>
      <c r="I19" s="30"/>
      <c r="J19" s="99"/>
      <c r="K19" s="40"/>
      <c r="L19" s="38"/>
      <c r="M19" s="112" t="s">
        <v>314</v>
      </c>
      <c r="P19" s="27"/>
      <c r="Q19" s="27"/>
      <c r="R19" s="27"/>
      <c r="S19" s="31"/>
      <c r="T19" s="1996" t="s">
        <v>2069</v>
      </c>
      <c r="U19" s="1994"/>
      <c r="V19" s="1994"/>
      <c r="W19" s="1995"/>
      <c r="X19" s="2011" t="s">
        <v>2070</v>
      </c>
      <c r="Y19" s="2012"/>
      <c r="Z19" s="2009">
        <v>60435</v>
      </c>
      <c r="AA19" s="201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3" t="s">
        <v>2063</v>
      </c>
      <c r="B21" s="1994"/>
      <c r="C21" s="1994"/>
      <c r="D21" s="1994"/>
      <c r="E21" s="1994"/>
      <c r="F21" s="1994"/>
      <c r="G21" s="1994"/>
      <c r="H21" s="1995"/>
      <c r="I21" s="2019" t="s">
        <v>677</v>
      </c>
      <c r="J21" s="1982"/>
      <c r="K21" s="1982"/>
      <c r="L21" s="1982"/>
      <c r="M21" s="1982"/>
      <c r="N21" s="1982"/>
      <c r="O21" s="1982"/>
      <c r="P21" s="1982"/>
      <c r="Q21" s="1982"/>
      <c r="R21" s="1982"/>
      <c r="S21" s="1983"/>
      <c r="T21" s="1961" t="s">
        <v>2071</v>
      </c>
      <c r="U21" s="1962"/>
      <c r="V21" s="1962"/>
      <c r="W21" s="1962"/>
      <c r="X21" s="1975" t="s">
        <v>2072</v>
      </c>
      <c r="Y21" s="1976"/>
      <c r="Z21" s="1976"/>
      <c r="AA21" s="1977"/>
    </row>
    <row r="22" spans="1:27" ht="13.5" customHeight="1" x14ac:dyDescent="0.2">
      <c r="A22" s="87" t="s">
        <v>530</v>
      </c>
      <c r="B22" s="59"/>
      <c r="C22" s="59"/>
      <c r="D22" s="59"/>
      <c r="E22" s="59"/>
      <c r="F22" s="59"/>
      <c r="G22" s="59"/>
      <c r="H22" s="60"/>
      <c r="I22" s="2020" t="s">
        <v>1428</v>
      </c>
      <c r="J22" s="2021"/>
      <c r="K22" s="2021"/>
      <c r="L22" s="2021"/>
      <c r="M22" s="2021"/>
      <c r="N22" s="2021"/>
      <c r="O22" s="2021"/>
      <c r="P22" s="2021"/>
      <c r="Q22" s="2021"/>
      <c r="R22" s="2021"/>
      <c r="S22" s="2022"/>
      <c r="T22" s="85" t="s">
        <v>1515</v>
      </c>
      <c r="U22" s="51"/>
      <c r="V22" s="72"/>
      <c r="W22" s="51"/>
      <c r="X22" s="160" t="s">
        <v>1317</v>
      </c>
      <c r="Z22" s="45"/>
      <c r="AA22" s="46"/>
    </row>
    <row r="23" spans="1:27" ht="13.5" customHeight="1" x14ac:dyDescent="0.2">
      <c r="A23" s="2016"/>
      <c r="B23" s="2017"/>
      <c r="C23" s="2017"/>
      <c r="D23" s="2017"/>
      <c r="E23" s="2017"/>
      <c r="F23" s="2017"/>
      <c r="G23" s="2017"/>
      <c r="H23" s="2018"/>
      <c r="T23" s="1956" t="s">
        <v>2146</v>
      </c>
      <c r="U23" s="1957"/>
      <c r="V23" s="1957"/>
      <c r="W23" s="1957"/>
      <c r="X23" s="1972">
        <v>44530</v>
      </c>
      <c r="Y23" s="1973"/>
      <c r="Z23" s="1973"/>
      <c r="AA23" s="1974"/>
    </row>
    <row r="24" spans="1:27" ht="14.1" customHeight="1" x14ac:dyDescent="0.2">
      <c r="A24" s="88" t="s">
        <v>676</v>
      </c>
      <c r="B24" s="49"/>
      <c r="C24" s="49"/>
      <c r="D24" s="49"/>
      <c r="E24" s="49"/>
      <c r="F24" s="49"/>
      <c r="G24" s="49"/>
      <c r="H24" s="61"/>
      <c r="J24" s="2058">
        <f>IF(B5="x",IF(AUDITCHECK!D29="AFR form Incomplete.","",IF(AUDITCHECK!D29="Deficit reduction plan is required.","School District must complete a deficit reduction plan in the 2019-2020 Budget",)),"")</f>
        <v>0</v>
      </c>
      <c r="K24" s="2058"/>
      <c r="L24" s="2058"/>
      <c r="M24" s="2058"/>
      <c r="N24" s="2058"/>
      <c r="O24" s="2058"/>
      <c r="P24" s="2058"/>
      <c r="Q24" s="2058"/>
      <c r="R24" s="2058"/>
      <c r="S24" s="2059"/>
      <c r="T24" s="105" t="s">
        <v>530</v>
      </c>
      <c r="U24" s="106"/>
      <c r="V24" s="106"/>
      <c r="W24" s="106"/>
      <c r="X24" s="107"/>
      <c r="Y24" s="107"/>
      <c r="Z24" s="107"/>
      <c r="AA24" s="108"/>
    </row>
    <row r="25" spans="1:27" ht="14.1" customHeight="1" x14ac:dyDescent="0.2">
      <c r="A25" s="1993">
        <v>60586</v>
      </c>
      <c r="B25" s="1994"/>
      <c r="C25" s="1994"/>
      <c r="D25" s="1994"/>
      <c r="E25" s="1994"/>
      <c r="F25" s="1994"/>
      <c r="G25" s="1994"/>
      <c r="H25" s="1995"/>
      <c r="I25" s="113"/>
      <c r="J25" s="2060"/>
      <c r="K25" s="2060"/>
      <c r="L25" s="2060"/>
      <c r="M25" s="2060"/>
      <c r="N25" s="2060"/>
      <c r="O25" s="2060"/>
      <c r="P25" s="2060"/>
      <c r="Q25" s="2060"/>
      <c r="R25" s="2060"/>
      <c r="S25" s="2061"/>
      <c r="T25" s="1953" t="s">
        <v>2157</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1" t="s">
        <v>1510</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2065</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2138</v>
      </c>
      <c r="C30" s="124" t="s">
        <v>1163</v>
      </c>
      <c r="D30" s="28"/>
      <c r="E30" s="28"/>
      <c r="F30" s="140"/>
      <c r="G30" s="114"/>
      <c r="H30" s="114"/>
      <c r="I30" s="54"/>
      <c r="J30" s="148" t="s">
        <v>2065</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2065</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7"/>
      <c r="Q35" s="1994"/>
      <c r="R35" s="19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6" t="s">
        <v>2073</v>
      </c>
      <c r="B38" s="2026"/>
      <c r="C38" s="2026"/>
      <c r="D38" s="2026"/>
      <c r="E38" s="2026"/>
      <c r="F38" s="1994"/>
      <c r="G38" s="1994"/>
      <c r="H38" s="1995"/>
      <c r="I38" s="2045"/>
      <c r="J38" s="1965"/>
      <c r="K38" s="1965"/>
      <c r="L38" s="1965"/>
      <c r="M38" s="1965"/>
      <c r="N38" s="1965"/>
      <c r="O38" s="1965"/>
      <c r="P38" s="1966"/>
      <c r="Q38" s="1966"/>
      <c r="R38" s="1966"/>
      <c r="S38" s="1967"/>
      <c r="T38" s="1964"/>
      <c r="U38" s="1965"/>
      <c r="V38" s="1965"/>
      <c r="W38" s="1965"/>
      <c r="X38" s="1966"/>
      <c r="Y38" s="1966"/>
      <c r="Z38" s="1966"/>
      <c r="AA38" s="1967"/>
    </row>
    <row r="39" spans="1:27" ht="12" customHeight="1" x14ac:dyDescent="0.2">
      <c r="A39" s="2049" t="s">
        <v>530</v>
      </c>
      <c r="B39" s="2050"/>
      <c r="C39" s="72"/>
      <c r="D39" s="69"/>
      <c r="E39" s="69"/>
      <c r="F39" s="79"/>
      <c r="G39" s="69"/>
      <c r="H39" s="56"/>
      <c r="I39" s="2049" t="s">
        <v>530</v>
      </c>
      <c r="J39" s="2050"/>
      <c r="K39" s="2050"/>
      <c r="L39" s="2050"/>
      <c r="M39" s="2050"/>
      <c r="N39" s="67"/>
      <c r="O39" s="72"/>
      <c r="P39" s="72"/>
      <c r="Q39" s="78"/>
      <c r="R39" s="72"/>
      <c r="S39" s="56"/>
      <c r="T39" s="72" t="s">
        <v>530</v>
      </c>
      <c r="U39" s="51"/>
      <c r="V39" s="72"/>
      <c r="W39" s="50"/>
      <c r="X39" s="78"/>
      <c r="Y39" s="45"/>
      <c r="Z39" s="45"/>
      <c r="AA39" s="46"/>
    </row>
    <row r="40" spans="1:27" ht="13.5" customHeight="1" x14ac:dyDescent="0.2">
      <c r="A40" s="2052"/>
      <c r="B40" s="2053"/>
      <c r="C40" s="2054"/>
      <c r="D40" s="2054"/>
      <c r="E40" s="2054"/>
      <c r="F40" s="2055"/>
      <c r="G40" s="2055"/>
      <c r="H40" s="2056"/>
      <c r="I40" s="1968"/>
      <c r="J40" s="1970"/>
      <c r="K40" s="1970"/>
      <c r="L40" s="1970"/>
      <c r="M40" s="1970"/>
      <c r="N40" s="1970"/>
      <c r="O40" s="1970"/>
      <c r="P40" s="1970"/>
      <c r="Q40" s="1970"/>
      <c r="R40" s="1970"/>
      <c r="S40" s="1971"/>
      <c r="T40" s="1968"/>
      <c r="U40" s="1969"/>
      <c r="V40" s="1970"/>
      <c r="W40" s="1970"/>
      <c r="X40" s="1970"/>
      <c r="Y40" s="1970"/>
      <c r="Z40" s="1970"/>
      <c r="AA40" s="197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2" t="s">
        <v>2064</v>
      </c>
      <c r="B42" s="2043"/>
      <c r="C42" s="2044"/>
      <c r="D42" s="2057"/>
      <c r="E42" s="2043"/>
      <c r="F42" s="2043"/>
      <c r="G42" s="2043"/>
      <c r="H42" s="2044"/>
      <c r="I42" s="1963"/>
      <c r="J42" s="1959"/>
      <c r="K42" s="1959"/>
      <c r="L42" s="1959"/>
      <c r="M42" s="1959"/>
      <c r="N42" s="1959"/>
      <c r="O42" s="1960"/>
      <c r="P42" s="1958"/>
      <c r="Q42" s="1959"/>
      <c r="R42" s="1959"/>
      <c r="S42" s="1960"/>
      <c r="T42" s="1963"/>
      <c r="U42" s="1959"/>
      <c r="V42" s="1959"/>
      <c r="W42" s="1960"/>
      <c r="X42" s="1958"/>
      <c r="Y42" s="1959"/>
      <c r="Z42" s="1959"/>
      <c r="AA42" s="196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5" t="s">
        <v>1064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690</v>
      </c>
      <c r="B40" s="2062"/>
      <c r="C40" s="2062"/>
      <c r="D40" s="2062"/>
      <c r="E40" s="2062"/>
    </row>
    <row r="41" spans="1:5" x14ac:dyDescent="0.2">
      <c r="A41" s="2063" t="s">
        <v>1607</v>
      </c>
      <c r="B41" s="2063"/>
      <c r="C41" s="2063"/>
      <c r="D41" s="2063"/>
      <c r="E41" s="2063"/>
    </row>
    <row r="42" spans="1:5" ht="12.75" customHeight="1" x14ac:dyDescent="0.2">
      <c r="A42" s="2064" t="s">
        <v>1021</v>
      </c>
      <c r="B42" s="2064"/>
      <c r="C42" s="2064"/>
      <c r="D42" s="2064"/>
      <c r="E42" s="206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 colorId="8" zoomScale="110" zoomScaleNormal="110" workbookViewId="0">
      <selection activeCell="C44" sqref="C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1167</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0" t="s">
        <v>1632</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0" t="s">
        <v>312</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2138</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2138</v>
      </c>
      <c r="C53" s="179">
        <v>22</v>
      </c>
      <c r="D53" s="247" t="s">
        <v>1461</v>
      </c>
      <c r="E53" s="248"/>
      <c r="F53" s="249"/>
      <c r="G53" s="249" t="s">
        <v>1460</v>
      </c>
      <c r="H53" s="250">
        <v>33970</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1322</v>
      </c>
      <c r="B70" s="2083"/>
      <c r="C70" s="2083"/>
      <c r="D70" s="2083"/>
      <c r="E70" s="2084"/>
      <c r="F70" s="2084"/>
      <c r="G70" s="2084"/>
      <c r="H70" s="2084"/>
      <c r="I70" s="208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1319</v>
      </c>
      <c r="B83" s="2085"/>
      <c r="C83" s="2085"/>
      <c r="D83" s="208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2147</v>
      </c>
      <c r="D114" s="207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1329</v>
      </c>
      <c r="D117" s="2078"/>
      <c r="E117" s="2079"/>
      <c r="F117" s="2079"/>
      <c r="G117" s="2079"/>
      <c r="H117" s="207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19" sqref="F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385</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1143385544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3.0433000000000002E-2</v>
      </c>
      <c r="E10" s="356" t="s">
        <v>1004</v>
      </c>
      <c r="F10" s="355">
        <v>5.0799999999999999E-4</v>
      </c>
      <c r="G10" s="356" t="s">
        <v>1004</v>
      </c>
      <c r="H10" s="355">
        <v>1.835E-3</v>
      </c>
      <c r="I10" s="356" t="s">
        <v>1005</v>
      </c>
      <c r="J10" s="1732">
        <f>ROUND(D10+F10+H10,5)</f>
        <v>3.2779999999999997E-2</v>
      </c>
      <c r="K10" s="222"/>
      <c r="L10" s="355">
        <v>4.6099999999999998E-4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49831832</v>
      </c>
      <c r="E16" s="356"/>
      <c r="F16" s="1733">
        <f>SUM('Acct Summary 7-8'!C17,'Acct Summary 7-8'!D17,'Acct Summary 7-8'!F17)</f>
        <v>46976134</v>
      </c>
      <c r="G16" s="356"/>
      <c r="H16" s="1733">
        <f>SUM(D16-F16)</f>
        <v>2855698</v>
      </c>
      <c r="I16" s="222"/>
      <c r="J16" s="1733">
        <f>SUM('Acct Summary 7-8'!C81,'Acct Summary 7-8'!D81,'Acct Summary 7-8'!F81,'Acct Summary 7-8'!I81)</f>
        <v>45023796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585</v>
      </c>
      <c r="D31" s="237" t="s">
        <v>1071</v>
      </c>
      <c r="E31" s="222"/>
      <c r="F31" s="222"/>
      <c r="G31" s="363"/>
      <c r="H31" s="1735">
        <f>IF(B31="X",(J7*0.069),IF(B32="X",(J7*0.138),"Enter x in a.or b."))</f>
        <v>78893602.536000013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63590000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555</v>
      </c>
      <c r="B2" s="2115"/>
      <c r="C2" s="2115"/>
      <c r="D2" s="2115"/>
      <c r="E2" s="2115"/>
      <c r="F2" s="2115"/>
      <c r="G2" s="2115"/>
      <c r="H2" s="2115"/>
      <c r="I2" s="2115"/>
      <c r="J2" s="2115"/>
      <c r="K2" s="2115"/>
      <c r="L2" s="2115"/>
      <c r="M2" s="2115"/>
      <c r="N2" s="2115"/>
      <c r="O2" s="2115"/>
      <c r="P2" s="2115"/>
      <c r="Q2" s="2115"/>
      <c r="R2" s="2115"/>
    </row>
    <row r="3" spans="1:18" ht="12.75" x14ac:dyDescent="0.2">
      <c r="A3" s="2116" t="s">
        <v>1412</v>
      </c>
      <c r="B3" s="2116"/>
      <c r="C3" s="2116"/>
      <c r="D3" s="2116"/>
      <c r="E3" s="2116"/>
      <c r="F3" s="2116"/>
      <c r="G3" s="2116"/>
      <c r="H3" s="2116"/>
      <c r="I3" s="2116"/>
      <c r="J3" s="2116"/>
      <c r="K3" s="2116"/>
      <c r="L3" s="2116"/>
      <c r="M3" s="2116"/>
      <c r="N3" s="2116"/>
      <c r="O3" s="2116"/>
      <c r="P3" s="2116"/>
      <c r="Q3" s="2116"/>
      <c r="R3" s="2116"/>
    </row>
    <row r="4" spans="1:18" x14ac:dyDescent="0.2">
      <c r="A4" s="2117" t="s">
        <v>1553</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Troy CCSD 30-C</v>
      </c>
      <c r="E7" s="391"/>
      <c r="G7" s="252"/>
      <c r="H7" s="387"/>
      <c r="I7" s="387"/>
      <c r="J7" s="387"/>
      <c r="K7" s="387"/>
      <c r="L7" s="329"/>
      <c r="M7" s="329"/>
      <c r="N7" s="329"/>
      <c r="O7" s="329"/>
      <c r="P7" s="329"/>
    </row>
    <row r="8" spans="1:18" ht="12.75" x14ac:dyDescent="0.2">
      <c r="A8" s="329"/>
      <c r="B8" s="329"/>
      <c r="C8" s="389" t="s">
        <v>1124</v>
      </c>
      <c r="D8" s="392" t="str">
        <f>COVER!A13</f>
        <v>56-099-030C-04</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45023796</v>
      </c>
      <c r="I12" s="404"/>
      <c r="J12" s="404"/>
      <c r="K12" s="405">
        <f>TRUNC((H12/H13*100000),5)/100000</f>
        <v>0.90351476540000009</v>
      </c>
      <c r="L12" s="406"/>
      <c r="M12" s="360" t="s">
        <v>1143</v>
      </c>
      <c r="N12" s="360"/>
      <c r="O12" s="407">
        <v>0.35</v>
      </c>
      <c r="P12" s="218"/>
      <c r="Q12" s="218"/>
    </row>
    <row r="13" spans="1:18" s="408" customFormat="1" ht="12.75" x14ac:dyDescent="0.2">
      <c r="A13" s="218"/>
      <c r="B13" s="401"/>
      <c r="C13" s="2113" t="s">
        <v>1323</v>
      </c>
      <c r="D13" s="2114"/>
      <c r="E13" s="218"/>
      <c r="F13" s="409" t="s">
        <v>792</v>
      </c>
      <c r="G13" s="402"/>
      <c r="H13" s="403">
        <f>SUM('Acct Summary 7-8'!C8+'Acct Summary 7-8'!D8+'Acct Summary 7-8'!F8+'Acct Summary 7-8'!I8)+H14</f>
        <v>49831832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46976134</v>
      </c>
      <c r="I17" s="404"/>
      <c r="J17" s="416"/>
      <c r="K17" s="405">
        <f>TRUNC((H17/H18*100000),5)/100000</f>
        <v>0.94269329690000003</v>
      </c>
      <c r="L17" s="406"/>
      <c r="M17" s="417" t="s">
        <v>1170</v>
      </c>
      <c r="O17" s="418" t="str">
        <f>IF(AND(O16="2", J20 &gt; 2),"1",IF(AND(O16 = "1", J20 &gt; 2),"2",IF(AND(O16="1", J20 &gt;1),"1","0")))</f>
        <v>0</v>
      </c>
      <c r="P17" s="218"/>
    </row>
    <row r="18" spans="1:18" s="408" customFormat="1" ht="11.25" x14ac:dyDescent="0.2">
      <c r="A18" s="218"/>
      <c r="B18" s="401"/>
      <c r="C18" s="2113" t="s">
        <v>1316</v>
      </c>
      <c r="D18" s="2114"/>
      <c r="E18" s="218"/>
      <c r="F18" s="419" t="s">
        <v>793</v>
      </c>
      <c r="G18" s="402"/>
      <c r="H18" s="403">
        <f>SUM('Acct Summary 7-8'!C8+'Acct Summary 7-8'!D8+'Acct Summary 7-8'!F8+'Acct Summary 7-8'!I8)+H19</f>
        <v>49831832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0" t="s">
        <v>1411</v>
      </c>
      <c r="D24" s="2110"/>
      <c r="E24" s="218"/>
      <c r="F24" s="218" t="s">
        <v>444</v>
      </c>
      <c r="G24" s="402"/>
      <c r="H24" s="403">
        <f>SUM('Assets-Liab 5-6'!C4+'Assets-Liab 5-6'!D4+'Assets-Liab 5-6'!F4+'Assets-Liab 5-6'!I4+'Assets-Liab 5-6'!C5+'Assets-Liab 5-6'!D5+'Assets-Liab 5-6'!F5+'Assets-Liab 5-6'!I5)</f>
        <v>45027124</v>
      </c>
      <c r="I24" s="422"/>
      <c r="J24" s="422"/>
      <c r="K24" s="423">
        <f>TRUNC(((H24/H25*100000)/100000),2)</f>
        <v>345.06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130489.26111000001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31858151.412470002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63590000</v>
      </c>
      <c r="I32" s="420"/>
      <c r="J32" s="420"/>
      <c r="K32" s="423">
        <f>TRUNC(100-((((H32/H33*100))*100)/100),2)</f>
        <v>19.39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78893602.536000013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0" t="s">
        <v>972</v>
      </c>
      <c r="B3" s="2121"/>
      <c r="C3" s="1559"/>
      <c r="D3" s="1560"/>
      <c r="E3" s="1560"/>
      <c r="F3" s="1560"/>
      <c r="G3" s="1560"/>
      <c r="H3" s="1560"/>
      <c r="I3" s="1560"/>
      <c r="J3" s="1560"/>
      <c r="K3" s="1560"/>
      <c r="L3" s="1560"/>
      <c r="M3" s="1561"/>
      <c r="N3" s="1562"/>
    </row>
    <row r="4" spans="1:14" ht="13.5" customHeight="1" x14ac:dyDescent="0.2">
      <c r="A4" s="463" t="s">
        <v>1650</v>
      </c>
      <c r="B4" s="464"/>
      <c r="C4" s="465">
        <v>27934113</v>
      </c>
      <c r="D4" s="466">
        <v>1432236</v>
      </c>
      <c r="E4" s="466">
        <v>2774499</v>
      </c>
      <c r="F4" s="466">
        <v>4007081</v>
      </c>
      <c r="G4" s="466">
        <v>802410</v>
      </c>
      <c r="H4" s="466">
        <v>735722</v>
      </c>
      <c r="I4" s="466">
        <v>11653694</v>
      </c>
      <c r="J4" s="467">
        <v>191296</v>
      </c>
      <c r="K4" s="466">
        <v>899378</v>
      </c>
      <c r="L4" s="466">
        <v>169064</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v>580</v>
      </c>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27934113</v>
      </c>
      <c r="D13" s="1737">
        <f t="shared" ref="D13:L13" si="0">SUM(D4:D12)</f>
        <v>1432816</v>
      </c>
      <c r="E13" s="1737">
        <f t="shared" si="0"/>
        <v>2774499</v>
      </c>
      <c r="F13" s="1737">
        <f t="shared" si="0"/>
        <v>4007081</v>
      </c>
      <c r="G13" s="1737">
        <f t="shared" si="0"/>
        <v>802410</v>
      </c>
      <c r="H13" s="1737">
        <f t="shared" si="0"/>
        <v>735722</v>
      </c>
      <c r="I13" s="1737">
        <f t="shared" si="0"/>
        <v>11653694</v>
      </c>
      <c r="J13" s="1737">
        <f t="shared" si="0"/>
        <v>191296</v>
      </c>
      <c r="K13" s="1737">
        <f t="shared" si="0"/>
        <v>899378</v>
      </c>
      <c r="L13" s="1737">
        <f t="shared" si="0"/>
        <v>169064</v>
      </c>
      <c r="M13" s="468"/>
      <c r="N13" s="469"/>
    </row>
    <row r="14" spans="1:14" ht="18" customHeight="1" thickTop="1" x14ac:dyDescent="0.2">
      <c r="A14" s="2122" t="s">
        <v>147</v>
      </c>
      <c r="B14" s="212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1816850</v>
      </c>
      <c r="N16" s="484"/>
    </row>
    <row r="17" spans="1:14" s="485" customFormat="1" ht="12.75" customHeight="1" x14ac:dyDescent="0.2">
      <c r="A17" s="482" t="s">
        <v>1402</v>
      </c>
      <c r="B17" s="483">
        <v>230</v>
      </c>
      <c r="C17" s="477"/>
      <c r="D17" s="477"/>
      <c r="E17" s="477"/>
      <c r="F17" s="477"/>
      <c r="G17" s="477"/>
      <c r="H17" s="477"/>
      <c r="I17" s="477"/>
      <c r="J17" s="477"/>
      <c r="K17" s="477"/>
      <c r="L17" s="477"/>
      <c r="M17" s="467">
        <v>101056671</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v>8637189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2774499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60815501</v>
      </c>
    </row>
    <row r="23" spans="1:14" ht="13.5" customHeight="1" thickBot="1" x14ac:dyDescent="0.25">
      <c r="A23" s="1736" t="s">
        <v>642</v>
      </c>
      <c r="B23" s="1741"/>
      <c r="C23" s="468"/>
      <c r="D23" s="468"/>
      <c r="E23" s="468"/>
      <c r="F23" s="468"/>
      <c r="G23" s="468"/>
      <c r="H23" s="468"/>
      <c r="I23" s="468"/>
      <c r="J23" s="468"/>
      <c r="K23" s="468"/>
      <c r="L23" s="468"/>
      <c r="M23" s="1688">
        <f>SUM(M15:M22)</f>
        <v>111510710</v>
      </c>
      <c r="N23" s="1688">
        <f>SUM(N21:N22)</f>
        <v>63590000</v>
      </c>
    </row>
    <row r="24" spans="1:14" ht="18" customHeight="1" thickTop="1" x14ac:dyDescent="0.2">
      <c r="A24" s="2124" t="s">
        <v>597</v>
      </c>
      <c r="B24" s="2125"/>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3701</v>
      </c>
      <c r="D31" s="467"/>
      <c r="E31" s="467"/>
      <c r="F31" s="466">
        <v>207</v>
      </c>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169064</v>
      </c>
      <c r="M33" s="468"/>
      <c r="N33" s="469"/>
    </row>
    <row r="34" spans="1:14" ht="13.5" customHeight="1" thickBot="1" x14ac:dyDescent="0.25">
      <c r="A34" s="1738" t="s">
        <v>653</v>
      </c>
      <c r="B34" s="1739"/>
      <c r="C34" s="1740">
        <f>SUM(C25:C33)</f>
        <v>3701</v>
      </c>
      <c r="D34" s="1740">
        <f t="shared" ref="D34:K34" si="1">SUM(D25:D33)</f>
        <v>0</v>
      </c>
      <c r="E34" s="1740">
        <f t="shared" si="1"/>
        <v>0</v>
      </c>
      <c r="F34" s="1740">
        <f t="shared" si="1"/>
        <v>207</v>
      </c>
      <c r="G34" s="1740">
        <f t="shared" si="1"/>
        <v>0</v>
      </c>
      <c r="H34" s="1740">
        <f t="shared" si="1"/>
        <v>0</v>
      </c>
      <c r="I34" s="1740">
        <f t="shared" si="1"/>
        <v>0</v>
      </c>
      <c r="J34" s="1740">
        <f t="shared" si="1"/>
        <v>0</v>
      </c>
      <c r="K34" s="1740">
        <f t="shared" si="1"/>
        <v>0</v>
      </c>
      <c r="L34" s="1721">
        <f>SUM(L33)</f>
        <v>169064</v>
      </c>
      <c r="M34" s="468"/>
      <c r="N34" s="480"/>
    </row>
    <row r="35" spans="1:14" ht="18" customHeight="1" thickTop="1" x14ac:dyDescent="0.2">
      <c r="A35" s="2126" t="s">
        <v>528</v>
      </c>
      <c r="B35" s="212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63590000</v>
      </c>
    </row>
    <row r="37" spans="1:14" ht="13.5" thickBot="1" x14ac:dyDescent="0.25">
      <c r="A37" s="1736" t="s">
        <v>652</v>
      </c>
      <c r="B37" s="1741"/>
      <c r="C37" s="477"/>
      <c r="D37" s="477"/>
      <c r="E37" s="477"/>
      <c r="F37" s="477"/>
      <c r="G37" s="477"/>
      <c r="H37" s="477"/>
      <c r="I37" s="477"/>
      <c r="J37" s="477"/>
      <c r="K37" s="477"/>
      <c r="L37" s="480"/>
      <c r="M37" s="468"/>
      <c r="N37" s="1688">
        <f>SUM(N36:N36)</f>
        <v>63590000</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27930412</v>
      </c>
      <c r="D39" s="466">
        <v>1432816</v>
      </c>
      <c r="E39" s="466">
        <v>2774499</v>
      </c>
      <c r="F39" s="466">
        <v>4006874</v>
      </c>
      <c r="G39" s="466">
        <v>802410</v>
      </c>
      <c r="H39" s="466">
        <v>735722</v>
      </c>
      <c r="I39" s="466">
        <v>11653694</v>
      </c>
      <c r="J39" s="467">
        <v>191296</v>
      </c>
      <c r="K39" s="466">
        <v>899378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111510710</v>
      </c>
      <c r="N40" s="497"/>
    </row>
    <row r="41" spans="1:14" ht="13.5" customHeight="1" thickBot="1" x14ac:dyDescent="0.25">
      <c r="A41" s="1736" t="s">
        <v>654</v>
      </c>
      <c r="B41" s="1706"/>
      <c r="C41" s="1688">
        <f>(SUM(C34,C37,C38,C39))</f>
        <v>27934113</v>
      </c>
      <c r="D41" s="1688">
        <f t="shared" ref="D41:L41" si="2">SUM(D34,D37,D38:D39)</f>
        <v>1432816</v>
      </c>
      <c r="E41" s="1688">
        <f t="shared" si="2"/>
        <v>2774499</v>
      </c>
      <c r="F41" s="1688">
        <f t="shared" si="2"/>
        <v>4007081</v>
      </c>
      <c r="G41" s="1688">
        <f t="shared" si="2"/>
        <v>802410</v>
      </c>
      <c r="H41" s="1688">
        <f t="shared" si="2"/>
        <v>735722</v>
      </c>
      <c r="I41" s="1688">
        <f t="shared" si="2"/>
        <v>11653694</v>
      </c>
      <c r="J41" s="1688">
        <f t="shared" si="2"/>
        <v>191296</v>
      </c>
      <c r="K41" s="1688">
        <f t="shared" si="2"/>
        <v>899378</v>
      </c>
      <c r="L41" s="1688">
        <f t="shared" si="2"/>
        <v>169064</v>
      </c>
      <c r="M41" s="1688">
        <f>SUM(M40)</f>
        <v>111510710</v>
      </c>
      <c r="N41" s="1688">
        <f>SUM(N37)</f>
        <v>63590000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pane="bottomLeft" activeCell="C19" sqref="C19:K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8" t="s">
        <v>1174</v>
      </c>
      <c r="B3" s="2149"/>
      <c r="C3" s="1573"/>
      <c r="D3" s="1574"/>
      <c r="E3" s="1574"/>
      <c r="F3" s="1574"/>
      <c r="G3" s="1574"/>
      <c r="H3" s="1574"/>
      <c r="I3" s="1574"/>
      <c r="J3" s="1574"/>
      <c r="K3" s="1575"/>
      <c r="L3" s="506"/>
    </row>
    <row r="4" spans="1:13" ht="15.75" customHeight="1" x14ac:dyDescent="0.2">
      <c r="A4" s="1928" t="s">
        <v>1498</v>
      </c>
      <c r="B4" s="1929">
        <v>1000</v>
      </c>
      <c r="C4" s="1742">
        <f>'Revenues 9-14'!C109</f>
        <v>36993412</v>
      </c>
      <c r="D4" s="1742">
        <f>'Revenues 9-14'!D109</f>
        <v>661510</v>
      </c>
      <c r="E4" s="1742">
        <f>'Revenues 9-14'!E109</f>
        <v>6297448</v>
      </c>
      <c r="F4" s="1742">
        <f>'Revenues 9-14'!F109</f>
        <v>2071298</v>
      </c>
      <c r="G4" s="1742">
        <f>'Revenues 9-14'!G109</f>
        <v>1887447</v>
      </c>
      <c r="H4" s="1742">
        <f>'Revenues 9-14'!H109</f>
        <v>270348</v>
      </c>
      <c r="I4" s="1742">
        <f>'Revenues 9-14'!I109</f>
        <v>596267</v>
      </c>
      <c r="J4" s="1742">
        <f>'Revenues 9-14'!J109</f>
        <v>321282</v>
      </c>
      <c r="K4" s="1742">
        <f>'Revenues 9-14'!K109</f>
        <v>539742</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1989943</v>
      </c>
      <c r="D6" s="1743">
        <f>'Revenues 9-14'!D170</f>
        <v>3319164</v>
      </c>
      <c r="E6" s="1743">
        <f>'Revenues 9-14'!E170</f>
        <v>0</v>
      </c>
      <c r="F6" s="1743">
        <f>'Revenues 9-14'!F170</f>
        <v>1760614</v>
      </c>
      <c r="G6" s="1743">
        <f>'Revenues 9-14'!G170</f>
        <v>0</v>
      </c>
      <c r="H6" s="1743">
        <f>'Revenues 9-14'!H170</f>
        <v>0</v>
      </c>
      <c r="I6" s="1743">
        <f>'Revenues 9-14'!I170</f>
        <v>0</v>
      </c>
      <c r="J6" s="1743">
        <f>'Revenues 9-14'!J170</f>
        <v>200000</v>
      </c>
      <c r="K6" s="1743">
        <f>'Revenues 9-14'!K170</f>
        <v>0</v>
      </c>
      <c r="L6" s="347"/>
      <c r="M6" s="513"/>
    </row>
    <row r="7" spans="1:13" ht="15.75" customHeight="1" x14ac:dyDescent="0.2">
      <c r="A7" s="1576" t="s">
        <v>1501</v>
      </c>
      <c r="B7" s="1578">
        <v>4000</v>
      </c>
      <c r="C7" s="1743">
        <f>'Revenues 9-14'!C267</f>
        <v>2407124</v>
      </c>
      <c r="D7" s="1743">
        <f>'Revenues 9-14'!D267</f>
        <v>0</v>
      </c>
      <c r="E7" s="1743">
        <f>'Revenues 9-14'!E267</f>
        <v>182652</v>
      </c>
      <c r="F7" s="1743">
        <f>'Revenues 9-14'!F267</f>
        <v>32500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41390479</v>
      </c>
      <c r="D8" s="1688">
        <f t="shared" ref="D8:K8" si="0">SUM(D4:D7)</f>
        <v>3980674</v>
      </c>
      <c r="E8" s="1688">
        <f t="shared" si="0"/>
        <v>6480100</v>
      </c>
      <c r="F8" s="1688">
        <f t="shared" si="0"/>
        <v>3864412</v>
      </c>
      <c r="G8" s="1688">
        <f t="shared" si="0"/>
        <v>1887447</v>
      </c>
      <c r="H8" s="1688">
        <f t="shared" si="0"/>
        <v>270348</v>
      </c>
      <c r="I8" s="1688">
        <f t="shared" si="0"/>
        <v>596267</v>
      </c>
      <c r="J8" s="1688">
        <f t="shared" si="0"/>
        <v>521282</v>
      </c>
      <c r="K8" s="1688">
        <f t="shared" si="0"/>
        <v>539742</v>
      </c>
      <c r="L8" s="347"/>
    </row>
    <row r="9" spans="1:13" ht="15.75" thickTop="1" x14ac:dyDescent="0.2">
      <c r="A9" s="514" t="s">
        <v>1652</v>
      </c>
      <c r="B9" s="515">
        <v>3998</v>
      </c>
      <c r="C9" s="481">
        <v>15215887</v>
      </c>
      <c r="D9" s="516"/>
      <c r="E9" s="481"/>
      <c r="F9" s="481"/>
      <c r="G9" s="517"/>
      <c r="H9" s="481"/>
      <c r="I9" s="509" t="s">
        <v>1168</v>
      </c>
      <c r="J9" s="478"/>
      <c r="K9" s="481"/>
      <c r="L9" s="347"/>
    </row>
    <row r="10" spans="1:13" s="519" customFormat="1" ht="13.5" thickBot="1" x14ac:dyDescent="0.25">
      <c r="A10" s="1736" t="s">
        <v>1172</v>
      </c>
      <c r="B10" s="1709"/>
      <c r="C10" s="1688">
        <f>SUM(C8:C9)</f>
        <v>56606366</v>
      </c>
      <c r="D10" s="1688">
        <f t="shared" ref="D10:K10" si="1">SUM(D8:D9)</f>
        <v>3980674</v>
      </c>
      <c r="E10" s="1688">
        <f t="shared" si="1"/>
        <v>6480100</v>
      </c>
      <c r="F10" s="1688">
        <f t="shared" si="1"/>
        <v>3864412</v>
      </c>
      <c r="G10" s="1688">
        <f t="shared" si="1"/>
        <v>1887447</v>
      </c>
      <c r="H10" s="1688">
        <f t="shared" si="1"/>
        <v>270348</v>
      </c>
      <c r="I10" s="1688">
        <f t="shared" si="1"/>
        <v>596267</v>
      </c>
      <c r="J10" s="1688">
        <f t="shared" si="1"/>
        <v>521282</v>
      </c>
      <c r="K10" s="1688">
        <f t="shared" si="1"/>
        <v>539742</v>
      </c>
      <c r="L10" s="518"/>
    </row>
    <row r="11" spans="1:13" s="519" customFormat="1" ht="16.7" customHeight="1" thickTop="1" x14ac:dyDescent="0.2">
      <c r="A11" s="2122" t="s">
        <v>1175</v>
      </c>
      <c r="B11" s="2123"/>
      <c r="C11" s="1570"/>
      <c r="D11" s="1571"/>
      <c r="E11" s="1571"/>
      <c r="F11" s="1571"/>
      <c r="G11" s="1571"/>
      <c r="H11" s="1571"/>
      <c r="I11" s="1571"/>
      <c r="J11" s="1571"/>
      <c r="K11" s="1572"/>
      <c r="L11" s="518"/>
    </row>
    <row r="12" spans="1:13" ht="15.75" customHeight="1" x14ac:dyDescent="0.2">
      <c r="A12" s="1576" t="s">
        <v>455</v>
      </c>
      <c r="B12" s="1578">
        <v>1000</v>
      </c>
      <c r="C12" s="1742">
        <f>'Expenditures 15-22'!K33</f>
        <v>23758061</v>
      </c>
      <c r="D12" s="520" t="s">
        <v>1168</v>
      </c>
      <c r="E12" s="468" t="s">
        <v>1168</v>
      </c>
      <c r="F12" s="468" t="s">
        <v>1168</v>
      </c>
      <c r="G12" s="1742">
        <f>'Expenditures 15-22'!K229</f>
        <v>639735</v>
      </c>
      <c r="H12" s="521"/>
      <c r="I12" s="468" t="s">
        <v>1168</v>
      </c>
      <c r="J12" s="468" t="s">
        <v>1168</v>
      </c>
      <c r="K12" s="521" t="s">
        <v>1168</v>
      </c>
      <c r="L12" s="347"/>
    </row>
    <row r="13" spans="1:13" ht="15.75" customHeight="1" x14ac:dyDescent="0.2">
      <c r="A13" s="1576" t="s">
        <v>456</v>
      </c>
      <c r="B13" s="1578">
        <v>2000</v>
      </c>
      <c r="C13" s="1743">
        <f>'Expenditures 15-22'!K74</f>
        <v>13416576</v>
      </c>
      <c r="D13" s="1743">
        <f>'Expenditures 15-22'!K129</f>
        <v>4070625</v>
      </c>
      <c r="E13" s="469" t="s">
        <v>1168</v>
      </c>
      <c r="F13" s="1743">
        <f>'Expenditures 15-22'!K184</f>
        <v>3735133</v>
      </c>
      <c r="G13" s="1743">
        <f>'Expenditures 15-22'!K279</f>
        <v>1092740</v>
      </c>
      <c r="H13" s="1743">
        <f>'Expenditures 15-22'!K303</f>
        <v>1810616</v>
      </c>
      <c r="I13" s="468" t="s">
        <v>1168</v>
      </c>
      <c r="J13" s="1743">
        <f>'Expenditures 15-22'!K330</f>
        <v>519685</v>
      </c>
      <c r="K13" s="1747">
        <f>'Expenditures 15-22'!K352</f>
        <v>10575</v>
      </c>
      <c r="L13" s="347"/>
    </row>
    <row r="14" spans="1:13" ht="15.75" customHeight="1" x14ac:dyDescent="0.2">
      <c r="A14" s="1576" t="s">
        <v>448</v>
      </c>
      <c r="B14" s="1578">
        <v>3000</v>
      </c>
      <c r="C14" s="1743">
        <f>'Expenditures 15-22'!K75</f>
        <v>69518</v>
      </c>
      <c r="D14" s="1743">
        <f>'Expenditures 15-22'!K130</f>
        <v>0</v>
      </c>
      <c r="E14" s="520" t="s">
        <v>1168</v>
      </c>
      <c r="F14" s="1743">
        <f>'Expenditures 15-22'!K185</f>
        <v>0</v>
      </c>
      <c r="G14" s="1743">
        <f>'Expenditures 15-22'!K280</f>
        <v>378</v>
      </c>
      <c r="H14" s="512"/>
      <c r="I14" s="468" t="s">
        <v>1168</v>
      </c>
      <c r="J14" s="468" t="s">
        <v>1168</v>
      </c>
      <c r="K14" s="512" t="s">
        <v>1168</v>
      </c>
      <c r="L14" s="347"/>
    </row>
    <row r="15" spans="1:13" ht="15.75" customHeight="1" x14ac:dyDescent="0.2">
      <c r="A15" s="1576" t="s">
        <v>107</v>
      </c>
      <c r="B15" s="1578">
        <v>4000</v>
      </c>
      <c r="C15" s="1743">
        <f>'Expenditures 15-22'!K102</f>
        <v>1906712</v>
      </c>
      <c r="D15" s="1743">
        <f>'Expenditures 15-22'!K139</f>
        <v>0</v>
      </c>
      <c r="E15" s="1743">
        <f>'Expenditures 15-22'!K160</f>
        <v>0</v>
      </c>
      <c r="F15" s="1743">
        <f>'Expenditures 15-22'!K196</f>
        <v>19509</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7263265</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39150867</v>
      </c>
      <c r="D17" s="1688">
        <f t="shared" si="2"/>
        <v>4070625</v>
      </c>
      <c r="E17" s="1688">
        <f t="shared" si="2"/>
        <v>7263265</v>
      </c>
      <c r="F17" s="1688">
        <f t="shared" si="2"/>
        <v>3754642</v>
      </c>
      <c r="G17" s="1688">
        <f t="shared" si="2"/>
        <v>1732853</v>
      </c>
      <c r="H17" s="1688">
        <f t="shared" si="2"/>
        <v>1810616</v>
      </c>
      <c r="I17" s="468"/>
      <c r="J17" s="1688">
        <f>SUM(J12:J16)</f>
        <v>519685</v>
      </c>
      <c r="K17" s="1688">
        <f>SUM(K12:K16)</f>
        <v>10575</v>
      </c>
      <c r="L17" s="347"/>
    </row>
    <row r="18" spans="1:12" ht="15" customHeight="1" thickTop="1" x14ac:dyDescent="0.2">
      <c r="A18" s="1744" t="s">
        <v>1653</v>
      </c>
      <c r="B18" s="1745">
        <v>4180</v>
      </c>
      <c r="C18" s="1742">
        <f t="shared" ref="C18:H18" si="3">C9</f>
        <v>15215887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54366754</v>
      </c>
      <c r="D19" s="1688">
        <f t="shared" si="4"/>
        <v>4070625</v>
      </c>
      <c r="E19" s="1688">
        <f t="shared" si="4"/>
        <v>7263265</v>
      </c>
      <c r="F19" s="1688">
        <f t="shared" si="4"/>
        <v>3754642</v>
      </c>
      <c r="G19" s="1688">
        <f t="shared" si="4"/>
        <v>1732853</v>
      </c>
      <c r="H19" s="1688">
        <f t="shared" si="4"/>
        <v>1810616</v>
      </c>
      <c r="I19" s="468"/>
      <c r="J19" s="1688">
        <f>SUM(J17:J18)</f>
        <v>519685</v>
      </c>
      <c r="K19" s="1688">
        <f>SUM(K17:K18)</f>
        <v>10575</v>
      </c>
      <c r="L19" s="347"/>
    </row>
    <row r="20" spans="1:12" ht="16.5" thickTop="1" thickBot="1" x14ac:dyDescent="0.25">
      <c r="A20" s="2138" t="s">
        <v>1654</v>
      </c>
      <c r="B20" s="2139"/>
      <c r="C20" s="1746">
        <f>C8-C17</f>
        <v>2239612</v>
      </c>
      <c r="D20" s="1746">
        <f t="shared" ref="D20:K20" si="5">D8-D17</f>
        <v>-89951</v>
      </c>
      <c r="E20" s="1746">
        <f t="shared" si="5"/>
        <v>-783165</v>
      </c>
      <c r="F20" s="1746">
        <f t="shared" si="5"/>
        <v>109770</v>
      </c>
      <c r="G20" s="1746">
        <f t="shared" si="5"/>
        <v>154594</v>
      </c>
      <c r="H20" s="1746">
        <f t="shared" si="5"/>
        <v>-1540268</v>
      </c>
      <c r="I20" s="1746">
        <f t="shared" si="5"/>
        <v>596267</v>
      </c>
      <c r="J20" s="1746">
        <f t="shared" si="5"/>
        <v>1597</v>
      </c>
      <c r="K20" s="1746">
        <f t="shared" si="5"/>
        <v>529167</v>
      </c>
      <c r="L20" s="347"/>
    </row>
    <row r="21" spans="1:12" ht="16.7" customHeight="1" thickTop="1" x14ac:dyDescent="0.2">
      <c r="A21" s="2150" t="s">
        <v>594</v>
      </c>
      <c r="B21" s="2151"/>
      <c r="C21" s="1570"/>
      <c r="D21" s="1571"/>
      <c r="E21" s="1571"/>
      <c r="F21" s="1571"/>
      <c r="G21" s="1571"/>
      <c r="H21" s="1571"/>
      <c r="I21" s="1571"/>
      <c r="J21" s="1571"/>
      <c r="K21" s="1572"/>
      <c r="L21" s="524"/>
    </row>
    <row r="22" spans="1:12" ht="15.75" customHeight="1" collapsed="1" x14ac:dyDescent="0.2">
      <c r="A22" s="2146" t="s">
        <v>595</v>
      </c>
      <c r="B22" s="2147"/>
      <c r="C22" s="477"/>
      <c r="D22" s="477"/>
      <c r="E22" s="477"/>
      <c r="F22" s="477"/>
      <c r="G22" s="477"/>
      <c r="H22" s="477"/>
      <c r="I22" s="477"/>
      <c r="J22" s="477"/>
      <c r="K22" s="477"/>
      <c r="L22" s="347"/>
    </row>
    <row r="23" spans="1:12" s="485" customFormat="1" ht="15.75" customHeight="1" x14ac:dyDescent="0.2">
      <c r="A23" s="2142" t="s">
        <v>292</v>
      </c>
      <c r="B23" s="2143"/>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44" t="s">
        <v>980</v>
      </c>
      <c r="B32" s="2145"/>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270000</v>
      </c>
      <c r="F39" s="477"/>
      <c r="G39" s="477"/>
      <c r="H39" s="477"/>
      <c r="I39" s="477"/>
      <c r="J39" s="477"/>
      <c r="K39" s="477"/>
      <c r="L39" s="524"/>
    </row>
    <row r="40" spans="1:12" s="485" customFormat="1" ht="13.5" customHeight="1" x14ac:dyDescent="0.2">
      <c r="A40" s="1489" t="s">
        <v>641</v>
      </c>
      <c r="B40" s="483">
        <v>7700</v>
      </c>
      <c r="C40" s="477"/>
      <c r="D40" s="477"/>
      <c r="E40" s="1743">
        <f>SUM(C66:D69)</f>
        <v>93884</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1273299</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52" t="s">
        <v>373</v>
      </c>
      <c r="B44" s="2153"/>
      <c r="C44" s="1703">
        <f>SUM(C24:C43)</f>
        <v>0</v>
      </c>
      <c r="D44" s="1703">
        <f t="shared" ref="D44:K44" si="6">SUM(D24:D43)</f>
        <v>0</v>
      </c>
      <c r="E44" s="1703">
        <f t="shared" si="6"/>
        <v>363884</v>
      </c>
      <c r="F44" s="1703">
        <f t="shared" si="6"/>
        <v>0</v>
      </c>
      <c r="G44" s="1703">
        <f t="shared" si="6"/>
        <v>0</v>
      </c>
      <c r="H44" s="1703">
        <f t="shared" si="6"/>
        <v>1273299</v>
      </c>
      <c r="I44" s="1703">
        <f t="shared" si="6"/>
        <v>0</v>
      </c>
      <c r="J44" s="1703">
        <f t="shared" si="6"/>
        <v>0</v>
      </c>
      <c r="K44" s="1703">
        <f t="shared" si="6"/>
        <v>0</v>
      </c>
      <c r="L44" s="524"/>
    </row>
    <row r="45" spans="1:12" ht="15.75" customHeight="1" thickTop="1" x14ac:dyDescent="0.2">
      <c r="A45" s="2146" t="s">
        <v>108</v>
      </c>
      <c r="B45" s="2147"/>
      <c r="C45" s="528"/>
      <c r="D45" s="528"/>
      <c r="E45" s="528"/>
      <c r="F45" s="528"/>
      <c r="G45" s="528"/>
      <c r="H45" s="528"/>
      <c r="I45" s="528"/>
      <c r="J45" s="528"/>
      <c r="K45" s="528"/>
      <c r="L45" s="347"/>
    </row>
    <row r="46" spans="1:12" s="485" customFormat="1" ht="15.75" customHeight="1" x14ac:dyDescent="0.2">
      <c r="A46" s="2154" t="s">
        <v>109</v>
      </c>
      <c r="B46" s="215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v>270000</v>
      </c>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v>93884</v>
      </c>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v>1273299</v>
      </c>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v>270000</v>
      </c>
      <c r="F75" s="532"/>
      <c r="G75" s="532"/>
      <c r="H75" s="532"/>
      <c r="I75" s="530"/>
      <c r="J75" s="530"/>
      <c r="K75" s="532"/>
      <c r="L75" s="524"/>
    </row>
    <row r="76" spans="1:12" s="485" customFormat="1" ht="14.25" thickTop="1" thickBot="1" x14ac:dyDescent="0.25">
      <c r="A76" s="2128" t="s">
        <v>439</v>
      </c>
      <c r="B76" s="2129"/>
      <c r="C76" s="1703">
        <f t="shared" ref="C76:K76" si="7">SUM(C47:C75)</f>
        <v>1273299</v>
      </c>
      <c r="D76" s="1703">
        <f t="shared" si="7"/>
        <v>363884</v>
      </c>
      <c r="E76" s="1703">
        <f t="shared" si="7"/>
        <v>270000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30" t="s">
        <v>1176</v>
      </c>
      <c r="B77" s="2131"/>
      <c r="C77" s="1703">
        <f t="shared" ref="C77:K77" si="8">C44-C76</f>
        <v>-1273299</v>
      </c>
      <c r="D77" s="1703">
        <f t="shared" si="8"/>
        <v>-363884</v>
      </c>
      <c r="E77" s="1703">
        <f t="shared" si="8"/>
        <v>93884</v>
      </c>
      <c r="F77" s="1703">
        <f t="shared" si="8"/>
        <v>0</v>
      </c>
      <c r="G77" s="1703">
        <f t="shared" si="8"/>
        <v>0</v>
      </c>
      <c r="H77" s="1703">
        <f t="shared" si="8"/>
        <v>1273299</v>
      </c>
      <c r="I77" s="1703">
        <f t="shared" si="8"/>
        <v>0</v>
      </c>
      <c r="J77" s="1703">
        <f t="shared" si="8"/>
        <v>0</v>
      </c>
      <c r="K77" s="1703">
        <f t="shared" si="8"/>
        <v>0</v>
      </c>
      <c r="L77" s="347"/>
    </row>
    <row r="78" spans="1:12" ht="21.75" customHeight="1" thickTop="1" thickBot="1" x14ac:dyDescent="0.25">
      <c r="A78" s="2134" t="s">
        <v>596</v>
      </c>
      <c r="B78" s="2135"/>
      <c r="C78" s="1702">
        <f t="shared" ref="C78:K78" si="9">C20+C77</f>
        <v>966313</v>
      </c>
      <c r="D78" s="1702">
        <f t="shared" si="9"/>
        <v>-453835</v>
      </c>
      <c r="E78" s="1702">
        <f t="shared" si="9"/>
        <v>-689281</v>
      </c>
      <c r="F78" s="1702">
        <f t="shared" si="9"/>
        <v>109770</v>
      </c>
      <c r="G78" s="1702">
        <f t="shared" si="9"/>
        <v>154594</v>
      </c>
      <c r="H78" s="1702">
        <f t="shared" si="9"/>
        <v>-266969</v>
      </c>
      <c r="I78" s="1702">
        <f t="shared" si="9"/>
        <v>596267</v>
      </c>
      <c r="J78" s="1702">
        <f t="shared" si="9"/>
        <v>1597</v>
      </c>
      <c r="K78" s="1702">
        <f t="shared" si="9"/>
        <v>529167</v>
      </c>
      <c r="L78" s="533"/>
    </row>
    <row r="79" spans="1:12" ht="13.5" thickTop="1" x14ac:dyDescent="0.2">
      <c r="A79" s="1494" t="s">
        <v>1945</v>
      </c>
      <c r="B79" s="534"/>
      <c r="C79" s="478">
        <v>26964099</v>
      </c>
      <c r="D79" s="535">
        <v>1886651</v>
      </c>
      <c r="E79" s="535">
        <v>3463780</v>
      </c>
      <c r="F79" s="535">
        <v>3897104</v>
      </c>
      <c r="G79" s="535">
        <v>647816</v>
      </c>
      <c r="H79" s="535">
        <v>1002691</v>
      </c>
      <c r="I79" s="535">
        <v>11057427</v>
      </c>
      <c r="J79" s="535">
        <v>189699</v>
      </c>
      <c r="K79" s="535">
        <v>370211</v>
      </c>
      <c r="L79" s="347"/>
    </row>
    <row r="80" spans="1:12" x14ac:dyDescent="0.2">
      <c r="A80" s="2140" t="s">
        <v>1791</v>
      </c>
      <c r="B80" s="2141"/>
      <c r="C80" s="467"/>
      <c r="D80" s="467"/>
      <c r="E80" s="467"/>
      <c r="F80" s="467"/>
      <c r="G80" s="467"/>
      <c r="H80" s="467"/>
      <c r="I80" s="467"/>
      <c r="J80" s="467"/>
      <c r="K80" s="467"/>
      <c r="L80" s="347"/>
    </row>
    <row r="81" spans="1:12" ht="13.5" thickBot="1" x14ac:dyDescent="0.25">
      <c r="A81" s="2132" t="s">
        <v>1946</v>
      </c>
      <c r="B81" s="2133"/>
      <c r="C81" s="1688">
        <f>(SUM(C78:C80))</f>
        <v>27930412</v>
      </c>
      <c r="D81" s="1688">
        <f>SUM(D78:D80)</f>
        <v>1432816</v>
      </c>
      <c r="E81" s="1688">
        <f t="shared" ref="E81:K81" si="10">SUM(E78:E80)</f>
        <v>2774499</v>
      </c>
      <c r="F81" s="1688">
        <f t="shared" si="10"/>
        <v>4006874</v>
      </c>
      <c r="G81" s="1688">
        <f t="shared" si="10"/>
        <v>802410</v>
      </c>
      <c r="H81" s="1688">
        <f t="shared" si="10"/>
        <v>735722</v>
      </c>
      <c r="I81" s="1688">
        <f t="shared" si="10"/>
        <v>11653694</v>
      </c>
      <c r="J81" s="1688">
        <f t="shared" si="10"/>
        <v>191296</v>
      </c>
      <c r="K81" s="1688">
        <f t="shared" si="10"/>
        <v>899378</v>
      </c>
      <c r="L81" s="347"/>
    </row>
    <row r="82" spans="1:12" ht="0.75" customHeight="1" thickTop="1" thickBot="1" x14ac:dyDescent="0.25">
      <c r="A82" s="536" t="s">
        <v>342</v>
      </c>
      <c r="B82" s="537"/>
      <c r="C82" s="538">
        <f>(C81-C79)</f>
        <v>966313</v>
      </c>
      <c r="D82" s="538">
        <f t="shared" ref="D82:K82" si="11">(D81-D79)</f>
        <v>-453835</v>
      </c>
      <c r="E82" s="538">
        <f t="shared" si="11"/>
        <v>-689281</v>
      </c>
      <c r="F82" s="538">
        <f t="shared" si="11"/>
        <v>109770</v>
      </c>
      <c r="G82" s="538">
        <f t="shared" si="11"/>
        <v>154594</v>
      </c>
      <c r="H82" s="538">
        <f t="shared" si="11"/>
        <v>-266969</v>
      </c>
      <c r="I82" s="538">
        <f t="shared" si="11"/>
        <v>596267</v>
      </c>
      <c r="J82" s="538">
        <f t="shared" si="11"/>
        <v>1597</v>
      </c>
      <c r="K82" s="538">
        <f t="shared" si="11"/>
        <v>529167</v>
      </c>
    </row>
    <row r="83" spans="1:12" ht="14.25" hidden="1" thickTop="1" thickBot="1" x14ac:dyDescent="0.25">
      <c r="A83" s="539" t="s">
        <v>343</v>
      </c>
      <c r="B83" s="464"/>
      <c r="C83" s="540">
        <f>C82/C81</f>
        <v>3.4597162404908316E-2</v>
      </c>
      <c r="D83" s="540">
        <f t="shared" ref="D83:K83" si="12">D82/D81</f>
        <v>-0.31674339203358981</v>
      </c>
      <c r="E83" s="540">
        <f t="shared" si="12"/>
        <v>-0.24843440203078104</v>
      </c>
      <c r="F83" s="540">
        <f t="shared" si="12"/>
        <v>2.7395420969064662E-2</v>
      </c>
      <c r="G83" s="540">
        <f t="shared" si="12"/>
        <v>0.19266210540746004</v>
      </c>
      <c r="H83" s="540">
        <f t="shared" si="12"/>
        <v>-0.36286668062121291</v>
      </c>
      <c r="I83" s="540">
        <f t="shared" si="12"/>
        <v>5.1165493104589843E-2</v>
      </c>
      <c r="J83" s="540">
        <f t="shared" si="12"/>
        <v>8.3483188357310143E-3</v>
      </c>
      <c r="K83" s="540">
        <f t="shared" si="12"/>
        <v>0.58836996235175865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65" activePane="bottomLeft" state="frozen"/>
      <selection pane="bottomLeft" activeCell="E175" sqref="E17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6" t="s">
        <v>1798</v>
      </c>
      <c r="B1" s="452"/>
      <c r="C1" s="453" t="s">
        <v>424</v>
      </c>
      <c r="D1" s="453" t="s">
        <v>425</v>
      </c>
      <c r="E1" s="453" t="s">
        <v>426</v>
      </c>
      <c r="F1" s="453" t="s">
        <v>427</v>
      </c>
      <c r="G1" s="453" t="s">
        <v>428</v>
      </c>
      <c r="H1" s="453" t="s">
        <v>429</v>
      </c>
      <c r="I1" s="453" t="s">
        <v>430</v>
      </c>
      <c r="J1" s="453" t="s">
        <v>431</v>
      </c>
      <c r="K1" s="453" t="s">
        <v>755</v>
      </c>
    </row>
    <row r="2" spans="1:12" ht="36" x14ac:dyDescent="0.2">
      <c r="A2" s="213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1937">
        <v>34363845</v>
      </c>
      <c r="D5" s="481">
        <v>588510</v>
      </c>
      <c r="E5" s="466">
        <v>6297448</v>
      </c>
      <c r="F5" s="548">
        <v>2034332</v>
      </c>
      <c r="G5" s="466">
        <v>675733</v>
      </c>
      <c r="H5" s="466">
        <v>0</v>
      </c>
      <c r="I5" s="466">
        <v>494844</v>
      </c>
      <c r="J5" s="467">
        <v>321282</v>
      </c>
      <c r="K5" s="466">
        <v>520333</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42947</v>
      </c>
      <c r="D7" s="466">
        <v>0</v>
      </c>
      <c r="E7" s="468"/>
      <c r="F7" s="467">
        <v>0</v>
      </c>
      <c r="G7" s="467">
        <v>0</v>
      </c>
      <c r="H7" s="467">
        <v>0</v>
      </c>
      <c r="I7" s="468"/>
      <c r="J7" s="468"/>
      <c r="K7" s="468"/>
    </row>
    <row r="8" spans="1:12" x14ac:dyDescent="0.2">
      <c r="A8" s="463" t="s">
        <v>412</v>
      </c>
      <c r="B8" s="470">
        <v>1150</v>
      </c>
      <c r="C8" s="475"/>
      <c r="D8" s="475"/>
      <c r="E8" s="477"/>
      <c r="F8" s="477"/>
      <c r="G8" s="481">
        <v>519214</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34406792</v>
      </c>
      <c r="D12" s="1707">
        <f t="shared" si="0"/>
        <v>588510</v>
      </c>
      <c r="E12" s="1707">
        <f t="shared" si="0"/>
        <v>6297448</v>
      </c>
      <c r="F12" s="1707">
        <f t="shared" si="0"/>
        <v>2034332</v>
      </c>
      <c r="G12" s="1707">
        <f t="shared" si="0"/>
        <v>1194947</v>
      </c>
      <c r="H12" s="1707">
        <f t="shared" si="0"/>
        <v>0</v>
      </c>
      <c r="I12" s="1707">
        <f t="shared" si="0"/>
        <v>494844</v>
      </c>
      <c r="J12" s="1707">
        <f t="shared" si="0"/>
        <v>321282</v>
      </c>
      <c r="K12" s="1688">
        <f t="shared" si="0"/>
        <v>520333</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69792</v>
      </c>
      <c r="D16" s="466">
        <v>35800</v>
      </c>
      <c r="E16" s="466">
        <v>0</v>
      </c>
      <c r="F16" s="466">
        <v>0</v>
      </c>
      <c r="G16" s="466">
        <v>692500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69792</v>
      </c>
      <c r="D18" s="1710">
        <f t="shared" ref="D18:K18" si="1">SUM(D14:D17)</f>
        <v>35800</v>
      </c>
      <c r="E18" s="1710">
        <f t="shared" si="1"/>
        <v>0</v>
      </c>
      <c r="F18" s="1710">
        <f t="shared" si="1"/>
        <v>0</v>
      </c>
      <c r="G18" s="1710">
        <f t="shared" si="1"/>
        <v>692500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674213</v>
      </c>
      <c r="D65" s="466">
        <v>0</v>
      </c>
      <c r="E65" s="466">
        <v>0</v>
      </c>
      <c r="F65" s="467">
        <v>24502</v>
      </c>
      <c r="G65" s="466">
        <v>0</v>
      </c>
      <c r="H65" s="466">
        <v>13074</v>
      </c>
      <c r="I65" s="466">
        <v>101423</v>
      </c>
      <c r="J65" s="467">
        <v>0</v>
      </c>
      <c r="K65" s="466">
        <v>19409</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674213</v>
      </c>
      <c r="D67" s="1688">
        <f t="shared" ref="D67:K67" si="2">SUM(D65:D66)</f>
        <v>0</v>
      </c>
      <c r="E67" s="1688">
        <f t="shared" si="2"/>
        <v>0</v>
      </c>
      <c r="F67" s="1688">
        <f t="shared" si="2"/>
        <v>24502</v>
      </c>
      <c r="G67" s="1688">
        <f t="shared" si="2"/>
        <v>0</v>
      </c>
      <c r="H67" s="1688">
        <f t="shared" si="2"/>
        <v>13074</v>
      </c>
      <c r="I67" s="1688">
        <f t="shared" si="2"/>
        <v>101423</v>
      </c>
      <c r="J67" s="1688">
        <f t="shared" si="2"/>
        <v>0</v>
      </c>
      <c r="K67" s="1688">
        <f t="shared" si="2"/>
        <v>19409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438692</v>
      </c>
      <c r="D69" s="468"/>
      <c r="E69" s="468"/>
      <c r="F69" s="468"/>
      <c r="G69" s="468"/>
      <c r="H69" s="468"/>
      <c r="I69" s="468"/>
      <c r="J69" s="468"/>
      <c r="K69" s="468"/>
    </row>
    <row r="70" spans="1:11" ht="12.75" customHeight="1" x14ac:dyDescent="0.2">
      <c r="A70" s="463" t="s">
        <v>996</v>
      </c>
      <c r="B70" s="470">
        <v>1612</v>
      </c>
      <c r="C70" s="551">
        <v>37509</v>
      </c>
      <c r="D70" s="468"/>
      <c r="E70" s="468"/>
      <c r="F70" s="468"/>
      <c r="G70" s="468"/>
      <c r="H70" s="468"/>
      <c r="I70" s="468"/>
      <c r="J70" s="468"/>
      <c r="K70" s="468"/>
    </row>
    <row r="71" spans="1:11" ht="12.75" customHeight="1" x14ac:dyDescent="0.2">
      <c r="A71" s="463" t="s">
        <v>272</v>
      </c>
      <c r="B71" s="470">
        <v>1613</v>
      </c>
      <c r="C71" s="551">
        <v>115590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1688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593479</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10620</v>
      </c>
      <c r="D79" s="466">
        <v>0</v>
      </c>
      <c r="E79" s="468"/>
      <c r="F79" s="468"/>
      <c r="G79" s="468"/>
      <c r="H79" s="468"/>
      <c r="I79" s="468"/>
      <c r="J79" s="468"/>
      <c r="K79" s="468"/>
    </row>
    <row r="80" spans="1:11" ht="12.75" customHeight="1" x14ac:dyDescent="0.2">
      <c r="A80" s="463" t="s">
        <v>550</v>
      </c>
      <c r="B80" s="470">
        <v>1730</v>
      </c>
      <c r="C80" s="551">
        <v>69201</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79821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629043</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629043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36774</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257274</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651</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134288</v>
      </c>
      <c r="D106" s="489">
        <v>426</v>
      </c>
      <c r="E106" s="467">
        <v>0</v>
      </c>
      <c r="F106" s="467">
        <v>0</v>
      </c>
      <c r="G106" s="467">
        <v>0</v>
      </c>
      <c r="H106" s="467">
        <v>0</v>
      </c>
      <c r="I106" s="521"/>
      <c r="J106" s="467">
        <v>0</v>
      </c>
      <c r="K106" s="467">
        <v>0</v>
      </c>
    </row>
    <row r="107" spans="1:12" ht="12.75" customHeight="1" x14ac:dyDescent="0.2">
      <c r="A107" s="463" t="s">
        <v>78</v>
      </c>
      <c r="B107" s="470">
        <v>1999</v>
      </c>
      <c r="C107" s="551">
        <v>405333</v>
      </c>
      <c r="D107" s="466">
        <v>0</v>
      </c>
      <c r="E107" s="466">
        <v>0</v>
      </c>
      <c r="F107" s="466">
        <v>12464</v>
      </c>
      <c r="G107" s="466">
        <v>0</v>
      </c>
      <c r="H107" s="466">
        <v>0</v>
      </c>
      <c r="I107" s="466">
        <v>0</v>
      </c>
      <c r="J107" s="467">
        <v>0</v>
      </c>
      <c r="K107" s="466">
        <v>0</v>
      </c>
    </row>
    <row r="108" spans="1:12" ht="12.75" customHeight="1" thickBot="1" x14ac:dyDescent="0.25">
      <c r="A108" s="1708" t="s">
        <v>486</v>
      </c>
      <c r="B108" s="1712"/>
      <c r="C108" s="1707">
        <f>SUM(C95:C107)</f>
        <v>540272</v>
      </c>
      <c r="D108" s="1707">
        <f t="shared" ref="D108:K108" si="3">SUM(D95:D107)</f>
        <v>37200</v>
      </c>
      <c r="E108" s="1707">
        <f t="shared" si="3"/>
        <v>0</v>
      </c>
      <c r="F108" s="1707">
        <f t="shared" si="3"/>
        <v>12464</v>
      </c>
      <c r="G108" s="1707">
        <f t="shared" si="3"/>
        <v>0</v>
      </c>
      <c r="H108" s="1707">
        <f t="shared" si="3"/>
        <v>257274</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36993412</v>
      </c>
      <c r="D109" s="1715">
        <f t="shared" si="4"/>
        <v>661510</v>
      </c>
      <c r="E109" s="1715">
        <f t="shared" si="4"/>
        <v>6297448</v>
      </c>
      <c r="F109" s="1715">
        <f t="shared" si="4"/>
        <v>2071298</v>
      </c>
      <c r="G109" s="1715">
        <f t="shared" si="4"/>
        <v>1887447</v>
      </c>
      <c r="H109" s="1715">
        <f t="shared" si="4"/>
        <v>270348</v>
      </c>
      <c r="I109" s="1715">
        <f t="shared" si="4"/>
        <v>596267</v>
      </c>
      <c r="J109" s="1715">
        <f t="shared" si="4"/>
        <v>321282</v>
      </c>
      <c r="K109" s="1702">
        <f t="shared" si="4"/>
        <v>539742</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1306085</v>
      </c>
      <c r="D117" s="481">
        <v>3319164</v>
      </c>
      <c r="E117" s="466">
        <v>0</v>
      </c>
      <c r="F117" s="481">
        <v>0</v>
      </c>
      <c r="G117" s="481">
        <v>0</v>
      </c>
      <c r="H117" s="466">
        <v>0</v>
      </c>
      <c r="I117" s="468"/>
      <c r="J117" s="467">
        <v>200000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1306085</v>
      </c>
      <c r="D122" s="1707">
        <f t="shared" si="5"/>
        <v>3319164</v>
      </c>
      <c r="E122" s="1707">
        <f t="shared" si="5"/>
        <v>0</v>
      </c>
      <c r="F122" s="1707">
        <f t="shared" si="5"/>
        <v>0</v>
      </c>
      <c r="G122" s="1707">
        <f t="shared" si="5"/>
        <v>0</v>
      </c>
      <c r="H122" s="1707">
        <f t="shared" si="5"/>
        <v>0</v>
      </c>
      <c r="I122" s="468"/>
      <c r="J122" s="1707">
        <f>SUM(J117:J121)</f>
        <v>200000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134996</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82399</v>
      </c>
      <c r="D128" s="561"/>
      <c r="E128" s="468"/>
      <c r="F128" s="466">
        <v>0</v>
      </c>
      <c r="G128" s="468"/>
      <c r="H128" s="468"/>
      <c r="I128" s="468"/>
      <c r="J128" s="468"/>
      <c r="K128" s="468"/>
    </row>
    <row r="129" spans="1:11" ht="12.75" customHeight="1" x14ac:dyDescent="0.2">
      <c r="A129" s="463" t="s">
        <v>1446</v>
      </c>
      <c r="B129" s="562">
        <v>3130</v>
      </c>
      <c r="C129" s="466">
        <v>792</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218187</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12936</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936096</v>
      </c>
      <c r="G152" s="467">
        <v>0</v>
      </c>
      <c r="H152" s="468"/>
      <c r="I152" s="468"/>
      <c r="J152" s="468"/>
      <c r="K152" s="468"/>
    </row>
    <row r="153" spans="1:11" ht="12.75" customHeight="1" x14ac:dyDescent="0.2">
      <c r="A153" s="463" t="s">
        <v>1056</v>
      </c>
      <c r="B153" s="562">
        <v>3510</v>
      </c>
      <c r="C153" s="551">
        <v>0</v>
      </c>
      <c r="D153" s="466">
        <v>0</v>
      </c>
      <c r="E153" s="561"/>
      <c r="F153" s="466">
        <v>824518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1760614</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452735</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56" t="s">
        <v>397</v>
      </c>
      <c r="B169" s="2157"/>
      <c r="C169" s="1722">
        <f t="shared" ref="C169:K169" si="6">SUM(C132,C141,C145,C146:C150,C155,C156:C167,C168)</f>
        <v>683858</v>
      </c>
      <c r="D169" s="1722">
        <f t="shared" si="6"/>
        <v>0</v>
      </c>
      <c r="E169" s="1722">
        <f t="shared" si="6"/>
        <v>0</v>
      </c>
      <c r="F169" s="1722">
        <f t="shared" si="6"/>
        <v>1760614</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1989943</v>
      </c>
      <c r="D170" s="1715">
        <f t="shared" si="7"/>
        <v>3319164</v>
      </c>
      <c r="E170" s="1715">
        <f t="shared" si="7"/>
        <v>0</v>
      </c>
      <c r="F170" s="1715">
        <f t="shared" si="7"/>
        <v>1760614</v>
      </c>
      <c r="G170" s="1715">
        <f t="shared" si="7"/>
        <v>0</v>
      </c>
      <c r="H170" s="1715">
        <f t="shared" si="7"/>
        <v>0</v>
      </c>
      <c r="I170" s="1715">
        <f t="shared" si="7"/>
        <v>0</v>
      </c>
      <c r="J170" s="1715">
        <f t="shared" si="7"/>
        <v>200000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8" t="s">
        <v>1491</v>
      </c>
      <c r="B172" s="215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182652</v>
      </c>
      <c r="F174" s="466">
        <v>0</v>
      </c>
      <c r="G174" s="466">
        <v>0</v>
      </c>
      <c r="H174" s="467">
        <v>0</v>
      </c>
      <c r="I174" s="467">
        <v>0</v>
      </c>
      <c r="J174" s="467">
        <v>0</v>
      </c>
      <c r="K174" s="467">
        <v>0</v>
      </c>
    </row>
    <row r="175" spans="1:11" ht="13.5" thickBot="1" x14ac:dyDescent="0.25">
      <c r="A175" s="2162" t="s">
        <v>1664</v>
      </c>
      <c r="B175" s="2163"/>
      <c r="C175" s="1707">
        <f>SUM(C173:C174)</f>
        <v>0</v>
      </c>
      <c r="D175" s="1707">
        <f t="shared" ref="D175:K175" si="8">SUM(D173:D174)</f>
        <v>0</v>
      </c>
      <c r="E175" s="1707">
        <f t="shared" si="8"/>
        <v>182652</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6" t="s">
        <v>1663</v>
      </c>
      <c r="B176" s="216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64" t="s">
        <v>784</v>
      </c>
      <c r="B181" s="216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0" t="s">
        <v>1799</v>
      </c>
      <c r="B182" s="216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655016</v>
      </c>
      <c r="D191" s="468"/>
      <c r="E191" s="561"/>
      <c r="F191" s="468"/>
      <c r="G191" s="585">
        <v>0</v>
      </c>
      <c r="H191" s="468"/>
      <c r="I191" s="468"/>
      <c r="J191" s="468"/>
      <c r="K191" s="468"/>
    </row>
    <row r="192" spans="1:11" ht="12.75" customHeight="1" x14ac:dyDescent="0.2">
      <c r="A192" s="463" t="s">
        <v>1046</v>
      </c>
      <c r="B192" s="470">
        <v>4215</v>
      </c>
      <c r="C192" s="551">
        <v>3400</v>
      </c>
      <c r="D192" s="468"/>
      <c r="E192" s="561"/>
      <c r="F192" s="468"/>
      <c r="G192" s="585">
        <v>0</v>
      </c>
      <c r="H192" s="468"/>
      <c r="I192" s="468"/>
      <c r="J192" s="468"/>
      <c r="K192" s="468"/>
    </row>
    <row r="193" spans="1:11" ht="12.75" customHeight="1" x14ac:dyDescent="0.2">
      <c r="A193" s="463" t="s">
        <v>1058</v>
      </c>
      <c r="B193" s="470">
        <v>4220</v>
      </c>
      <c r="C193" s="551">
        <v>125387</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783803</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375866</v>
      </c>
      <c r="D200" s="466">
        <v>0</v>
      </c>
      <c r="E200" s="468"/>
      <c r="F200" s="466">
        <v>32500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6184</v>
      </c>
      <c r="D203" s="466">
        <v>0</v>
      </c>
      <c r="E203" s="468"/>
      <c r="F203" s="466">
        <v>0</v>
      </c>
      <c r="G203" s="466">
        <v>0</v>
      </c>
      <c r="H203" s="468"/>
      <c r="I203" s="468"/>
      <c r="J203" s="468"/>
      <c r="K203" s="468"/>
    </row>
    <row r="204" spans="1:11" ht="12.75" customHeight="1" thickBot="1" x14ac:dyDescent="0.25">
      <c r="A204" s="1708" t="s">
        <v>399</v>
      </c>
      <c r="B204" s="1709"/>
      <c r="C204" s="1707">
        <f>SUM(C200:C203)</f>
        <v>382050</v>
      </c>
      <c r="D204" s="1707">
        <f>SUM(D200:D203)</f>
        <v>0</v>
      </c>
      <c r="E204" s="468"/>
      <c r="F204" s="1707">
        <f>SUM(F200:F203)</f>
        <v>32500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16881</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16881</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35718</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1028998</v>
      </c>
      <c r="D213" s="466">
        <v>0</v>
      </c>
      <c r="E213" s="468"/>
      <c r="F213" s="466">
        <v>0</v>
      </c>
      <c r="G213" s="466">
        <v>0</v>
      </c>
      <c r="H213" s="468"/>
      <c r="I213" s="468"/>
      <c r="J213" s="468"/>
      <c r="K213" s="468"/>
    </row>
    <row r="214" spans="1:11" ht="12.75" customHeight="1" x14ac:dyDescent="0.2">
      <c r="A214" s="463" t="s">
        <v>1053</v>
      </c>
      <c r="B214" s="470">
        <v>4625</v>
      </c>
      <c r="C214" s="551">
        <v>5117</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1069833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44320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75239</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34998</v>
      </c>
      <c r="D263" s="576">
        <v>0</v>
      </c>
      <c r="E263" s="468"/>
      <c r="F263" s="576">
        <v>0</v>
      </c>
      <c r="G263" s="576">
        <v>0</v>
      </c>
      <c r="H263" s="468"/>
      <c r="I263" s="468"/>
      <c r="J263" s="468"/>
      <c r="K263" s="468"/>
    </row>
    <row r="264" spans="1:11" ht="12.75" customHeight="1" thickTop="1" thickBot="1" x14ac:dyDescent="0.25">
      <c r="A264" s="463" t="s">
        <v>376</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2407124</v>
      </c>
      <c r="D266" s="1715">
        <f t="shared" si="10"/>
        <v>0</v>
      </c>
      <c r="E266" s="1715">
        <f t="shared" si="10"/>
        <v>0</v>
      </c>
      <c r="F266" s="1715">
        <f t="shared" si="10"/>
        <v>32500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2407124</v>
      </c>
      <c r="D267" s="1715">
        <f>SUM(D175,D181,D266)</f>
        <v>0</v>
      </c>
      <c r="E267" s="1715">
        <f>SUM(E175,E266)</f>
        <v>182652</v>
      </c>
      <c r="F267" s="1715">
        <f t="shared" ref="F267:K267" si="11">SUM(F175,F181,F266)</f>
        <v>32500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41390479</v>
      </c>
      <c r="D268" s="1715">
        <f t="shared" si="12"/>
        <v>3980674</v>
      </c>
      <c r="E268" s="1715">
        <f t="shared" si="12"/>
        <v>6480100</v>
      </c>
      <c r="F268" s="1715">
        <f t="shared" si="12"/>
        <v>3864412</v>
      </c>
      <c r="G268" s="1715">
        <f t="shared" si="12"/>
        <v>1887447</v>
      </c>
      <c r="H268" s="1715">
        <f t="shared" si="12"/>
        <v>270348</v>
      </c>
      <c r="I268" s="1715">
        <f t="shared" si="12"/>
        <v>596267</v>
      </c>
      <c r="J268" s="1715">
        <f t="shared" si="12"/>
        <v>521282</v>
      </c>
      <c r="K268" s="1702">
        <f t="shared" si="12"/>
        <v>539742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03" colorId="8" zoomScaleNormal="100" workbookViewId="0">
      <selection activeCell="D120" sqref="D12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4" t="s">
        <v>296</v>
      </c>
      <c r="B3" s="217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15815102</v>
      </c>
      <c r="D5" s="466">
        <v>277465</v>
      </c>
      <c r="E5" s="466">
        <v>324248</v>
      </c>
      <c r="F5" s="466">
        <v>484924</v>
      </c>
      <c r="G5" s="466">
        <v>131921</v>
      </c>
      <c r="H5" s="466">
        <v>0</v>
      </c>
      <c r="I5" s="466">
        <v>78037</v>
      </c>
      <c r="J5" s="466">
        <v>0</v>
      </c>
      <c r="K5" s="1671">
        <f>SUM(C5:J5)</f>
        <v>17111697</v>
      </c>
      <c r="L5" s="466">
        <v>16872590</v>
      </c>
    </row>
    <row r="6" spans="1:14" x14ac:dyDescent="0.2">
      <c r="A6" s="1504" t="s">
        <v>1432</v>
      </c>
      <c r="B6" s="614" t="s">
        <v>1430</v>
      </c>
      <c r="C6" s="477"/>
      <c r="D6" s="477"/>
      <c r="E6" s="466"/>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4582535</v>
      </c>
      <c r="D8" s="466">
        <v>86259</v>
      </c>
      <c r="E8" s="466">
        <v>528681</v>
      </c>
      <c r="F8" s="466">
        <v>84963</v>
      </c>
      <c r="G8" s="466">
        <v>8238</v>
      </c>
      <c r="H8" s="466">
        <v>4256</v>
      </c>
      <c r="I8" s="467">
        <v>6214</v>
      </c>
      <c r="J8" s="467">
        <v>0</v>
      </c>
      <c r="K8" s="1671">
        <f t="shared" si="0"/>
        <v>5301146</v>
      </c>
      <c r="L8" s="466">
        <v>5304099</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283047</v>
      </c>
      <c r="D10" s="466">
        <v>8533</v>
      </c>
      <c r="E10" s="466">
        <v>74475</v>
      </c>
      <c r="F10" s="466">
        <v>39056</v>
      </c>
      <c r="G10" s="466">
        <v>0</v>
      </c>
      <c r="H10" s="466">
        <v>267742</v>
      </c>
      <c r="I10" s="467">
        <v>0</v>
      </c>
      <c r="J10" s="467">
        <v>0</v>
      </c>
      <c r="K10" s="1671">
        <f t="shared" si="0"/>
        <v>672853</v>
      </c>
      <c r="L10" s="466">
        <v>353000</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0</v>
      </c>
      <c r="F13" s="466">
        <v>0</v>
      </c>
      <c r="G13" s="466">
        <v>0</v>
      </c>
      <c r="H13" s="466">
        <v>0</v>
      </c>
      <c r="I13" s="467">
        <v>0</v>
      </c>
      <c r="J13" s="467">
        <v>0</v>
      </c>
      <c r="K13" s="1671">
        <f t="shared" si="0"/>
        <v>0</v>
      </c>
      <c r="L13" s="466">
        <v>0</v>
      </c>
    </row>
    <row r="14" spans="1:14" x14ac:dyDescent="0.2">
      <c r="A14" s="1504" t="s">
        <v>962</v>
      </c>
      <c r="B14" s="614">
        <v>1500</v>
      </c>
      <c r="C14" s="466">
        <v>380941</v>
      </c>
      <c r="D14" s="466">
        <v>26100</v>
      </c>
      <c r="E14" s="466">
        <v>87797</v>
      </c>
      <c r="F14" s="466">
        <v>109254</v>
      </c>
      <c r="G14" s="466">
        <v>0</v>
      </c>
      <c r="H14" s="466">
        <v>0</v>
      </c>
      <c r="I14" s="467">
        <v>494</v>
      </c>
      <c r="J14" s="467">
        <v>0</v>
      </c>
      <c r="K14" s="1671">
        <f t="shared" si="0"/>
        <v>604586</v>
      </c>
      <c r="L14" s="466">
        <v>527027</v>
      </c>
    </row>
    <row r="15" spans="1:14" x14ac:dyDescent="0.2">
      <c r="A15" s="1504" t="s">
        <v>963</v>
      </c>
      <c r="B15" s="614">
        <v>1600</v>
      </c>
      <c r="C15" s="466">
        <v>0</v>
      </c>
      <c r="D15" s="466">
        <v>0</v>
      </c>
      <c r="E15" s="466">
        <v>0</v>
      </c>
      <c r="F15" s="466">
        <v>0</v>
      </c>
      <c r="G15" s="466">
        <v>0</v>
      </c>
      <c r="H15" s="466">
        <v>0</v>
      </c>
      <c r="I15" s="467">
        <v>0</v>
      </c>
      <c r="J15" s="467">
        <v>0</v>
      </c>
      <c r="K15" s="1671">
        <f t="shared" si="0"/>
        <v>0</v>
      </c>
      <c r="L15" s="466">
        <v>0</v>
      </c>
    </row>
    <row r="16" spans="1:14" x14ac:dyDescent="0.2">
      <c r="A16" s="1504" t="s">
        <v>986</v>
      </c>
      <c r="B16" s="614" t="s">
        <v>423</v>
      </c>
      <c r="C16" s="466">
        <v>0</v>
      </c>
      <c r="D16" s="466">
        <v>0</v>
      </c>
      <c r="E16" s="466">
        <v>0</v>
      </c>
      <c r="F16" s="466">
        <v>4625</v>
      </c>
      <c r="G16" s="466">
        <v>0</v>
      </c>
      <c r="H16" s="466">
        <v>0</v>
      </c>
      <c r="I16" s="467">
        <v>0</v>
      </c>
      <c r="J16" s="467">
        <v>0</v>
      </c>
      <c r="K16" s="1671">
        <f t="shared" si="0"/>
        <v>4625</v>
      </c>
      <c r="L16" s="466">
        <v>8000</v>
      </c>
    </row>
    <row r="17" spans="1:12" x14ac:dyDescent="0.2">
      <c r="A17" s="1504" t="s">
        <v>723</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1086</v>
      </c>
      <c r="B18" s="614">
        <v>1800</v>
      </c>
      <c r="C18" s="466">
        <v>49287</v>
      </c>
      <c r="D18" s="466">
        <v>3787</v>
      </c>
      <c r="E18" s="466">
        <v>0</v>
      </c>
      <c r="F18" s="466">
        <v>10080</v>
      </c>
      <c r="G18" s="466">
        <v>0</v>
      </c>
      <c r="H18" s="466">
        <v>0</v>
      </c>
      <c r="I18" s="467">
        <v>0</v>
      </c>
      <c r="J18" s="467">
        <v>0</v>
      </c>
      <c r="K18" s="1671">
        <f t="shared" si="0"/>
        <v>63154</v>
      </c>
      <c r="L18" s="466">
        <v>161259</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0</v>
      </c>
      <c r="I22" s="616"/>
      <c r="J22" s="477"/>
      <c r="K22" s="1671">
        <f t="shared" si="0"/>
        <v>0</v>
      </c>
      <c r="L22" s="471">
        <v>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21110912</v>
      </c>
      <c r="D33" s="1670">
        <f t="shared" ref="D33:L33" si="1">SUM(D5:D32)</f>
        <v>402144</v>
      </c>
      <c r="E33" s="1670">
        <f t="shared" si="1"/>
        <v>1015201</v>
      </c>
      <c r="F33" s="1670">
        <f t="shared" si="1"/>
        <v>732902</v>
      </c>
      <c r="G33" s="1670">
        <f t="shared" si="1"/>
        <v>140159</v>
      </c>
      <c r="H33" s="1670">
        <f t="shared" si="1"/>
        <v>271998</v>
      </c>
      <c r="I33" s="1670">
        <f t="shared" si="1"/>
        <v>84745</v>
      </c>
      <c r="J33" s="1670">
        <f t="shared" si="1"/>
        <v>0</v>
      </c>
      <c r="K33" s="1670">
        <f t="shared" si="1"/>
        <v>23758061</v>
      </c>
      <c r="L33" s="1670">
        <f t="shared" si="1"/>
        <v>23225975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1089</v>
      </c>
      <c r="B37" s="614">
        <v>2120</v>
      </c>
      <c r="C37" s="466">
        <v>978559</v>
      </c>
      <c r="D37" s="466">
        <v>16909</v>
      </c>
      <c r="E37" s="466">
        <v>0</v>
      </c>
      <c r="F37" s="466">
        <v>1391</v>
      </c>
      <c r="G37" s="466">
        <v>0</v>
      </c>
      <c r="H37" s="466">
        <v>0</v>
      </c>
      <c r="I37" s="467">
        <v>0</v>
      </c>
      <c r="J37" s="467">
        <v>0</v>
      </c>
      <c r="K37" s="1671">
        <f t="shared" si="2"/>
        <v>996859</v>
      </c>
      <c r="L37" s="466">
        <v>996132</v>
      </c>
    </row>
    <row r="38" spans="1:14" x14ac:dyDescent="0.2">
      <c r="A38" s="1504" t="s">
        <v>198</v>
      </c>
      <c r="B38" s="614">
        <v>2130</v>
      </c>
      <c r="C38" s="466">
        <v>359147</v>
      </c>
      <c r="D38" s="466">
        <v>1291</v>
      </c>
      <c r="E38" s="466">
        <v>0</v>
      </c>
      <c r="F38" s="466">
        <v>27664</v>
      </c>
      <c r="G38" s="466">
        <v>0</v>
      </c>
      <c r="H38" s="466">
        <v>0</v>
      </c>
      <c r="I38" s="467">
        <v>0</v>
      </c>
      <c r="J38" s="467">
        <v>0</v>
      </c>
      <c r="K38" s="1671">
        <f t="shared" si="2"/>
        <v>388102</v>
      </c>
      <c r="L38" s="466">
        <v>382974</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1668</v>
      </c>
      <c r="B41" s="614">
        <v>2190</v>
      </c>
      <c r="C41" s="466">
        <v>74209</v>
      </c>
      <c r="D41" s="466">
        <v>758</v>
      </c>
      <c r="E41" s="466">
        <v>0</v>
      </c>
      <c r="F41" s="466">
        <v>23928</v>
      </c>
      <c r="G41" s="466">
        <v>0</v>
      </c>
      <c r="H41" s="466">
        <v>0</v>
      </c>
      <c r="I41" s="467">
        <v>0</v>
      </c>
      <c r="J41" s="467">
        <v>0</v>
      </c>
      <c r="K41" s="1671">
        <f t="shared" si="2"/>
        <v>98895</v>
      </c>
      <c r="L41" s="466">
        <v>89500</v>
      </c>
    </row>
    <row r="42" spans="1:14" ht="12.75" customHeight="1" thickBot="1" x14ac:dyDescent="0.25">
      <c r="A42" s="1668" t="s">
        <v>559</v>
      </c>
      <c r="B42" s="1669" t="s">
        <v>715</v>
      </c>
      <c r="C42" s="1670">
        <f>SUM(C36:C41)</f>
        <v>1411915</v>
      </c>
      <c r="D42" s="1670">
        <f t="shared" ref="D42:L42" si="3">SUM(D36:D41)</f>
        <v>18958</v>
      </c>
      <c r="E42" s="1670">
        <f t="shared" si="3"/>
        <v>0</v>
      </c>
      <c r="F42" s="1670">
        <f t="shared" si="3"/>
        <v>52983</v>
      </c>
      <c r="G42" s="1670">
        <f t="shared" si="3"/>
        <v>0</v>
      </c>
      <c r="H42" s="1670">
        <f t="shared" si="3"/>
        <v>0</v>
      </c>
      <c r="I42" s="1670">
        <f t="shared" si="3"/>
        <v>0</v>
      </c>
      <c r="J42" s="1670">
        <f t="shared" si="3"/>
        <v>0</v>
      </c>
      <c r="K42" s="1670">
        <f t="shared" si="3"/>
        <v>1483856</v>
      </c>
      <c r="L42" s="1670">
        <f t="shared" si="3"/>
        <v>1468606</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347773</v>
      </c>
      <c r="D44" s="481">
        <v>271572</v>
      </c>
      <c r="E44" s="481">
        <v>76330</v>
      </c>
      <c r="F44" s="481">
        <v>225483</v>
      </c>
      <c r="G44" s="481">
        <v>0</v>
      </c>
      <c r="H44" s="481">
        <v>63457</v>
      </c>
      <c r="I44" s="467">
        <v>1760</v>
      </c>
      <c r="J44" s="467">
        <v>0</v>
      </c>
      <c r="K44" s="1672">
        <f>SUM(C44:J44)</f>
        <v>986375</v>
      </c>
      <c r="L44" s="481">
        <v>1287468</v>
      </c>
    </row>
    <row r="45" spans="1:14" x14ac:dyDescent="0.2">
      <c r="A45" s="1504" t="s">
        <v>814</v>
      </c>
      <c r="B45" s="614">
        <v>2220</v>
      </c>
      <c r="C45" s="466">
        <v>450992</v>
      </c>
      <c r="D45" s="466">
        <v>2178</v>
      </c>
      <c r="E45" s="466">
        <v>4317</v>
      </c>
      <c r="F45" s="466">
        <v>72114</v>
      </c>
      <c r="G45" s="466">
        <v>0</v>
      </c>
      <c r="H45" s="466">
        <v>0</v>
      </c>
      <c r="I45" s="467">
        <v>0</v>
      </c>
      <c r="J45" s="467">
        <v>0</v>
      </c>
      <c r="K45" s="1672">
        <f>SUM(C45:J45)</f>
        <v>529601</v>
      </c>
      <c r="L45" s="466">
        <v>504197</v>
      </c>
    </row>
    <row r="46" spans="1:14" x14ac:dyDescent="0.2">
      <c r="A46" s="1504" t="s">
        <v>815</v>
      </c>
      <c r="B46" s="614">
        <v>2230</v>
      </c>
      <c r="C46" s="466">
        <v>0</v>
      </c>
      <c r="D46" s="466">
        <v>0</v>
      </c>
      <c r="E46" s="466">
        <v>5707</v>
      </c>
      <c r="F46" s="466">
        <v>2527</v>
      </c>
      <c r="G46" s="466">
        <v>0</v>
      </c>
      <c r="H46" s="466">
        <v>0</v>
      </c>
      <c r="I46" s="467">
        <v>0</v>
      </c>
      <c r="J46" s="467">
        <v>0</v>
      </c>
      <c r="K46" s="1672">
        <f>SUM(C46:J46)</f>
        <v>8234</v>
      </c>
      <c r="L46" s="466">
        <v>13000</v>
      </c>
    </row>
    <row r="47" spans="1:14" ht="12.75" customHeight="1" thickBot="1" x14ac:dyDescent="0.25">
      <c r="A47" s="1668" t="s">
        <v>560</v>
      </c>
      <c r="B47" s="1669" t="s">
        <v>32</v>
      </c>
      <c r="C47" s="1670">
        <f>SUM(C44:C46)</f>
        <v>798765</v>
      </c>
      <c r="D47" s="1670">
        <f t="shared" ref="D47:K47" si="4">SUM(D44:D46)</f>
        <v>273750</v>
      </c>
      <c r="E47" s="1670">
        <f t="shared" si="4"/>
        <v>86354</v>
      </c>
      <c r="F47" s="1670">
        <f t="shared" si="4"/>
        <v>300124</v>
      </c>
      <c r="G47" s="1670">
        <f t="shared" si="4"/>
        <v>0</v>
      </c>
      <c r="H47" s="1670">
        <f t="shared" si="4"/>
        <v>63457</v>
      </c>
      <c r="I47" s="1670">
        <f t="shared" si="4"/>
        <v>1760</v>
      </c>
      <c r="J47" s="1670">
        <f t="shared" si="4"/>
        <v>0</v>
      </c>
      <c r="K47" s="1670">
        <f t="shared" si="4"/>
        <v>1524210</v>
      </c>
      <c r="L47" s="1670">
        <f>SUM(L44:L46)</f>
        <v>1804665</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61782</v>
      </c>
      <c r="D49" s="481">
        <v>2741844</v>
      </c>
      <c r="E49" s="481">
        <v>518555</v>
      </c>
      <c r="F49" s="481">
        <v>7644</v>
      </c>
      <c r="G49" s="481">
        <v>0</v>
      </c>
      <c r="H49" s="481">
        <v>13008</v>
      </c>
      <c r="I49" s="467">
        <v>134140</v>
      </c>
      <c r="J49" s="467">
        <v>0</v>
      </c>
      <c r="K49" s="1672">
        <f>SUM(C49:J49)</f>
        <v>3476973</v>
      </c>
      <c r="L49" s="481">
        <v>4647771</v>
      </c>
    </row>
    <row r="50" spans="1:14" x14ac:dyDescent="0.2">
      <c r="A50" s="1504" t="s">
        <v>817</v>
      </c>
      <c r="B50" s="614">
        <v>2320</v>
      </c>
      <c r="C50" s="466">
        <v>202509</v>
      </c>
      <c r="D50" s="466">
        <v>63198</v>
      </c>
      <c r="E50" s="466">
        <v>72319</v>
      </c>
      <c r="F50" s="466">
        <v>10767</v>
      </c>
      <c r="G50" s="466">
        <v>0</v>
      </c>
      <c r="H50" s="466">
        <v>7683</v>
      </c>
      <c r="I50" s="467">
        <v>0</v>
      </c>
      <c r="J50" s="467">
        <v>0</v>
      </c>
      <c r="K50" s="1672">
        <f>SUM(C50:J50)</f>
        <v>356476</v>
      </c>
      <c r="L50" s="466">
        <v>402344</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c r="D52" s="474"/>
      <c r="E52" s="474"/>
      <c r="F52" s="474"/>
      <c r="G52" s="474"/>
      <c r="H52" s="474"/>
      <c r="I52" s="474"/>
      <c r="J52" s="474"/>
      <c r="K52" s="1672">
        <f>SUM(C52:J52)</f>
        <v>0</v>
      </c>
      <c r="L52" s="474">
        <v>0</v>
      </c>
    </row>
    <row r="53" spans="1:14" ht="12.75" customHeight="1" thickBot="1" x14ac:dyDescent="0.25">
      <c r="A53" s="1668" t="s">
        <v>716</v>
      </c>
      <c r="B53" s="1669" t="s">
        <v>33</v>
      </c>
      <c r="C53" s="1670">
        <f>SUM(C49:C52)</f>
        <v>264291</v>
      </c>
      <c r="D53" s="1670">
        <f t="shared" ref="D53:L53" si="5">SUM(D49:D52)</f>
        <v>2805042</v>
      </c>
      <c r="E53" s="1670">
        <f t="shared" si="5"/>
        <v>590874</v>
      </c>
      <c r="F53" s="1670">
        <f t="shared" si="5"/>
        <v>18411</v>
      </c>
      <c r="G53" s="1670">
        <f t="shared" si="5"/>
        <v>0</v>
      </c>
      <c r="H53" s="1670">
        <f t="shared" si="5"/>
        <v>20691</v>
      </c>
      <c r="I53" s="1670">
        <f t="shared" si="5"/>
        <v>134140</v>
      </c>
      <c r="J53" s="1670">
        <f t="shared" si="5"/>
        <v>0</v>
      </c>
      <c r="K53" s="1670">
        <f t="shared" si="5"/>
        <v>3833449</v>
      </c>
      <c r="L53" s="1670">
        <f t="shared" si="5"/>
        <v>5050115</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1887285</v>
      </c>
      <c r="D55" s="481">
        <v>441457</v>
      </c>
      <c r="E55" s="481">
        <v>87098</v>
      </c>
      <c r="F55" s="481">
        <v>22979</v>
      </c>
      <c r="G55" s="481">
        <v>0</v>
      </c>
      <c r="H55" s="481">
        <v>0</v>
      </c>
      <c r="I55" s="467">
        <v>0</v>
      </c>
      <c r="J55" s="467">
        <v>0</v>
      </c>
      <c r="K55" s="1672">
        <f>SUM(C55:J55)</f>
        <v>2438819</v>
      </c>
      <c r="L55" s="481">
        <v>2193207</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1887285</v>
      </c>
      <c r="D57" s="1674">
        <f t="shared" ref="D57:K57" si="6">SUM(D55:D56)</f>
        <v>441457</v>
      </c>
      <c r="E57" s="1674">
        <f t="shared" si="6"/>
        <v>87098</v>
      </c>
      <c r="F57" s="1674">
        <f t="shared" si="6"/>
        <v>22979</v>
      </c>
      <c r="G57" s="1674">
        <f t="shared" si="6"/>
        <v>0</v>
      </c>
      <c r="H57" s="1674">
        <f t="shared" si="6"/>
        <v>0</v>
      </c>
      <c r="I57" s="1674">
        <f t="shared" si="6"/>
        <v>0</v>
      </c>
      <c r="J57" s="1674">
        <f t="shared" si="6"/>
        <v>0</v>
      </c>
      <c r="K57" s="1674">
        <f t="shared" si="6"/>
        <v>2438819</v>
      </c>
      <c r="L57" s="1670">
        <f>SUM(L55:L56)</f>
        <v>2193207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138165</v>
      </c>
      <c r="D59" s="481">
        <v>209</v>
      </c>
      <c r="E59" s="481">
        <v>29924</v>
      </c>
      <c r="F59" s="481">
        <v>0</v>
      </c>
      <c r="G59" s="481">
        <v>0</v>
      </c>
      <c r="H59" s="481">
        <v>398</v>
      </c>
      <c r="I59" s="467">
        <v>0</v>
      </c>
      <c r="J59" s="467">
        <v>0</v>
      </c>
      <c r="K59" s="1672">
        <f t="shared" ref="K59:K64" si="7">SUM(C59:J59)</f>
        <v>168696</v>
      </c>
      <c r="L59" s="481">
        <v>179665</v>
      </c>
      <c r="M59" s="609"/>
      <c r="N59" s="609"/>
    </row>
    <row r="60" spans="1:14" s="343" customFormat="1" x14ac:dyDescent="0.2">
      <c r="A60" s="1504" t="s">
        <v>462</v>
      </c>
      <c r="B60" s="614">
        <v>2520</v>
      </c>
      <c r="C60" s="466">
        <v>161975</v>
      </c>
      <c r="D60" s="466">
        <v>314</v>
      </c>
      <c r="E60" s="466">
        <v>95099</v>
      </c>
      <c r="F60" s="466">
        <v>41674</v>
      </c>
      <c r="G60" s="466">
        <v>2548</v>
      </c>
      <c r="H60" s="466">
        <v>32777</v>
      </c>
      <c r="I60" s="467">
        <v>1289</v>
      </c>
      <c r="J60" s="467">
        <v>0</v>
      </c>
      <c r="K60" s="1672">
        <f t="shared" si="7"/>
        <v>335676</v>
      </c>
      <c r="L60" s="466">
        <v>464408</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362632</v>
      </c>
      <c r="D63" s="466">
        <v>5</v>
      </c>
      <c r="E63" s="466">
        <v>0</v>
      </c>
      <c r="F63" s="466">
        <v>998109</v>
      </c>
      <c r="G63" s="466">
        <v>0</v>
      </c>
      <c r="H63" s="466">
        <v>0</v>
      </c>
      <c r="I63" s="467">
        <v>0</v>
      </c>
      <c r="J63" s="467">
        <v>0</v>
      </c>
      <c r="K63" s="1672">
        <f t="shared" si="7"/>
        <v>1360746</v>
      </c>
      <c r="L63" s="466">
        <v>1275757</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662772</v>
      </c>
      <c r="D65" s="1670">
        <f t="shared" ref="D65:L65" si="8">SUM(D59:D64)</f>
        <v>528</v>
      </c>
      <c r="E65" s="1670">
        <f t="shared" si="8"/>
        <v>125023</v>
      </c>
      <c r="F65" s="1670">
        <f t="shared" si="8"/>
        <v>1039783</v>
      </c>
      <c r="G65" s="1670">
        <f t="shared" si="8"/>
        <v>2548</v>
      </c>
      <c r="H65" s="1670">
        <f t="shared" si="8"/>
        <v>33175</v>
      </c>
      <c r="I65" s="1670">
        <f t="shared" si="8"/>
        <v>1289</v>
      </c>
      <c r="J65" s="1670">
        <f t="shared" si="8"/>
        <v>0</v>
      </c>
      <c r="K65" s="1670">
        <f t="shared" si="8"/>
        <v>1865118</v>
      </c>
      <c r="L65" s="1670">
        <f t="shared" si="8"/>
        <v>1919830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247964</v>
      </c>
      <c r="D70" s="466">
        <v>609</v>
      </c>
      <c r="E70" s="466">
        <v>98526</v>
      </c>
      <c r="F70" s="466">
        <v>979</v>
      </c>
      <c r="G70" s="466">
        <v>0</v>
      </c>
      <c r="H70" s="466">
        <v>130</v>
      </c>
      <c r="I70" s="467">
        <v>0</v>
      </c>
      <c r="J70" s="467">
        <v>0</v>
      </c>
      <c r="K70" s="1672">
        <f>SUM(C70:J70)</f>
        <v>348208</v>
      </c>
      <c r="L70" s="466">
        <v>314780</v>
      </c>
      <c r="M70" s="609"/>
      <c r="N70" s="609"/>
    </row>
    <row r="71" spans="1:14" s="343" customFormat="1" x14ac:dyDescent="0.2">
      <c r="A71" s="1504" t="s">
        <v>403</v>
      </c>
      <c r="B71" s="614">
        <v>2660</v>
      </c>
      <c r="C71" s="466">
        <v>378822</v>
      </c>
      <c r="D71" s="466">
        <v>1395</v>
      </c>
      <c r="E71" s="466">
        <v>279094</v>
      </c>
      <c r="F71" s="466">
        <v>275786</v>
      </c>
      <c r="G71" s="466">
        <v>0</v>
      </c>
      <c r="H71" s="466">
        <v>0</v>
      </c>
      <c r="I71" s="467">
        <v>985874</v>
      </c>
      <c r="J71" s="467">
        <v>0</v>
      </c>
      <c r="K71" s="1672">
        <f>SUM(C71:J71)</f>
        <v>1920971</v>
      </c>
      <c r="L71" s="466">
        <v>1799523</v>
      </c>
      <c r="M71" s="609"/>
      <c r="N71" s="609"/>
    </row>
    <row r="72" spans="1:14" s="343" customFormat="1" ht="12.75" customHeight="1" thickBot="1" x14ac:dyDescent="0.25">
      <c r="A72" s="1668" t="s">
        <v>37</v>
      </c>
      <c r="B72" s="1675" t="s">
        <v>36</v>
      </c>
      <c r="C72" s="1670">
        <f>SUM(C67:C71)</f>
        <v>626786</v>
      </c>
      <c r="D72" s="1670">
        <f t="shared" ref="D72:K72" si="9">SUM(D67:D71)</f>
        <v>2004</v>
      </c>
      <c r="E72" s="1670">
        <f t="shared" si="9"/>
        <v>377620</v>
      </c>
      <c r="F72" s="1670">
        <f t="shared" si="9"/>
        <v>276765</v>
      </c>
      <c r="G72" s="1670">
        <f t="shared" si="9"/>
        <v>0</v>
      </c>
      <c r="H72" s="1670">
        <f t="shared" si="9"/>
        <v>130</v>
      </c>
      <c r="I72" s="1670">
        <f t="shared" si="9"/>
        <v>985874</v>
      </c>
      <c r="J72" s="1670">
        <f t="shared" si="9"/>
        <v>0</v>
      </c>
      <c r="K72" s="1670">
        <f t="shared" si="9"/>
        <v>2269179</v>
      </c>
      <c r="L72" s="1670">
        <f>SUM(L67:L71)</f>
        <v>2114303</v>
      </c>
      <c r="M72" s="609"/>
      <c r="N72" s="609"/>
    </row>
    <row r="73" spans="1:14" s="343" customFormat="1" ht="14.25" thickTop="1" thickBot="1" x14ac:dyDescent="0.25">
      <c r="A73" s="1510" t="s">
        <v>979</v>
      </c>
      <c r="B73" s="632" t="s">
        <v>573</v>
      </c>
      <c r="C73" s="573">
        <v>0</v>
      </c>
      <c r="D73" s="573">
        <v>0</v>
      </c>
      <c r="E73" s="573">
        <v>0</v>
      </c>
      <c r="F73" s="573">
        <v>1945</v>
      </c>
      <c r="G73" s="573">
        <v>0</v>
      </c>
      <c r="H73" s="573">
        <v>0</v>
      </c>
      <c r="I73" s="531">
        <v>0</v>
      </c>
      <c r="J73" s="531">
        <v>0</v>
      </c>
      <c r="K73" s="1670">
        <f>SUM(C73:J73)</f>
        <v>1945</v>
      </c>
      <c r="L73" s="576">
        <v>3000</v>
      </c>
      <c r="M73" s="609"/>
      <c r="N73" s="609"/>
    </row>
    <row r="74" spans="1:14" ht="12.75" customHeight="1" thickTop="1" thickBot="1" x14ac:dyDescent="0.25">
      <c r="A74" s="1668" t="s">
        <v>810</v>
      </c>
      <c r="B74" s="1676">
        <v>2000</v>
      </c>
      <c r="C74" s="1677">
        <f>SUM(C42,C47,C53,C57,C65,C72,C73)</f>
        <v>5651814</v>
      </c>
      <c r="D74" s="1677">
        <f t="shared" ref="D74:K74" si="10">SUM(D42,D47,D53,D57,D65,D72,D73)</f>
        <v>3541739</v>
      </c>
      <c r="E74" s="1677">
        <f t="shared" si="10"/>
        <v>1266969</v>
      </c>
      <c r="F74" s="1677">
        <f t="shared" si="10"/>
        <v>1712990</v>
      </c>
      <c r="G74" s="1677">
        <f t="shared" si="10"/>
        <v>2548</v>
      </c>
      <c r="H74" s="1677">
        <f t="shared" si="10"/>
        <v>117453</v>
      </c>
      <c r="I74" s="1677">
        <f t="shared" si="10"/>
        <v>1123063</v>
      </c>
      <c r="J74" s="1677">
        <f t="shared" si="10"/>
        <v>0</v>
      </c>
      <c r="K74" s="1677">
        <f t="shared" si="10"/>
        <v>13416576</v>
      </c>
      <c r="L74" s="1677">
        <f>SUM(L42,L47,L53,L57,L65,L72,L73)</f>
        <v>14553726</v>
      </c>
    </row>
    <row r="75" spans="1:14" s="259" customFormat="1" ht="15.75" customHeight="1" thickTop="1" thickBot="1" x14ac:dyDescent="0.25">
      <c r="A75" s="1610" t="s">
        <v>47</v>
      </c>
      <c r="B75" s="1611" t="s">
        <v>574</v>
      </c>
      <c r="C75" s="573">
        <v>54777</v>
      </c>
      <c r="D75" s="573">
        <v>5461</v>
      </c>
      <c r="E75" s="573">
        <v>9218</v>
      </c>
      <c r="F75" s="573">
        <v>62</v>
      </c>
      <c r="G75" s="573">
        <v>0</v>
      </c>
      <c r="H75" s="573">
        <v>0</v>
      </c>
      <c r="I75" s="531">
        <v>0</v>
      </c>
      <c r="J75" s="531">
        <v>0</v>
      </c>
      <c r="K75" s="1670">
        <f>SUM(C75:J75)</f>
        <v>69518</v>
      </c>
      <c r="L75" s="576">
        <v>74818</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10000</v>
      </c>
    </row>
    <row r="79" spans="1:14" x14ac:dyDescent="0.2">
      <c r="A79" s="1504" t="s">
        <v>303</v>
      </c>
      <c r="B79" s="614">
        <v>4120</v>
      </c>
      <c r="C79" s="616"/>
      <c r="D79" s="616"/>
      <c r="E79" s="466">
        <v>0</v>
      </c>
      <c r="F79" s="616"/>
      <c r="G79" s="616"/>
      <c r="H79" s="466">
        <v>1893187</v>
      </c>
      <c r="I79" s="477"/>
      <c r="J79" s="477"/>
      <c r="K79" s="1671">
        <f t="shared" si="11"/>
        <v>1893187</v>
      </c>
      <c r="L79" s="466">
        <v>1600000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13525</v>
      </c>
      <c r="F83" s="616"/>
      <c r="G83" s="616"/>
      <c r="H83" s="466">
        <v>0</v>
      </c>
      <c r="I83" s="477"/>
      <c r="J83" s="477"/>
      <c r="K83" s="1671">
        <f t="shared" si="11"/>
        <v>13525</v>
      </c>
      <c r="L83" s="466">
        <v>500</v>
      </c>
    </row>
    <row r="84" spans="1:12" ht="13.5" thickBot="1" x14ac:dyDescent="0.25">
      <c r="A84" s="1668" t="s">
        <v>1484</v>
      </c>
      <c r="B84" s="1678">
        <v>4100</v>
      </c>
      <c r="C84" s="616"/>
      <c r="D84" s="616"/>
      <c r="E84" s="1670">
        <f>SUM(E78:E83)</f>
        <v>13525</v>
      </c>
      <c r="F84" s="616"/>
      <c r="G84" s="616"/>
      <c r="H84" s="1670">
        <f>SUM(H78:H83)</f>
        <v>1893187</v>
      </c>
      <c r="I84" s="477"/>
      <c r="J84" s="477"/>
      <c r="K84" s="1670">
        <f>SUM(K78:K83)</f>
        <v>1906712</v>
      </c>
      <c r="L84" s="1670">
        <f>SUM(L78:L83)</f>
        <v>1610500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13525</v>
      </c>
      <c r="F102" s="616"/>
      <c r="G102" s="616"/>
      <c r="H102" s="1677">
        <f>SUM(H84,H92,H100,H101)</f>
        <v>1893187</v>
      </c>
      <c r="I102" s="477"/>
      <c r="J102" s="477"/>
      <c r="K102" s="1677">
        <f>SUM(K84,K92,K100,K101)</f>
        <v>1906712</v>
      </c>
      <c r="L102" s="1677">
        <f>SUM(L84,L92,L100,L101)</f>
        <v>1610500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150000</v>
      </c>
      <c r="M113" s="613"/>
      <c r="N113" s="613"/>
    </row>
    <row r="114" spans="1:14" ht="12.75" customHeight="1" thickTop="1" thickBot="1" x14ac:dyDescent="0.25">
      <c r="A114" s="1668" t="s">
        <v>48</v>
      </c>
      <c r="B114" s="1682"/>
      <c r="C114" s="1670">
        <f>SUM(C33,C74,C75,C102,C112,C113)</f>
        <v>26817503</v>
      </c>
      <c r="D114" s="1670">
        <f t="shared" ref="D114:K114" si="13">SUM(D33,D74,D75,D102,D112,D113)</f>
        <v>3949344</v>
      </c>
      <c r="E114" s="1670">
        <f t="shared" si="13"/>
        <v>2304913</v>
      </c>
      <c r="F114" s="1670">
        <f t="shared" si="13"/>
        <v>2445954</v>
      </c>
      <c r="G114" s="1670">
        <f t="shared" si="13"/>
        <v>142707</v>
      </c>
      <c r="H114" s="1670">
        <f>SUM(H33,H74,H75,H102,H112,H113)</f>
        <v>2282638</v>
      </c>
      <c r="I114" s="1670">
        <f t="shared" si="13"/>
        <v>1207808</v>
      </c>
      <c r="J114" s="1670">
        <f t="shared" si="13"/>
        <v>0</v>
      </c>
      <c r="K114" s="1670">
        <f t="shared" si="13"/>
        <v>39150867</v>
      </c>
      <c r="L114" s="1670">
        <f>SUM(L33,L74,L75,L102,L112,L113)</f>
        <v>39615019</v>
      </c>
    </row>
    <row r="115" spans="1:14" ht="13.5" thickTop="1" x14ac:dyDescent="0.2">
      <c r="A115" s="2193" t="s">
        <v>995</v>
      </c>
      <c r="B115" s="2194"/>
      <c r="C115" s="618"/>
      <c r="D115" s="618"/>
      <c r="E115" s="618"/>
      <c r="F115" s="618"/>
      <c r="G115" s="618"/>
      <c r="H115" s="618"/>
      <c r="I115" s="618"/>
      <c r="J115" s="618"/>
      <c r="K115" s="1684">
        <f>'Revenues 9-14'!C268-'Expenditures 15-22'!K114</f>
        <v>2239612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295</v>
      </c>
      <c r="B117" s="217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34</v>
      </c>
      <c r="E120" s="466">
        <v>0</v>
      </c>
      <c r="F120" s="466">
        <v>0</v>
      </c>
      <c r="G120" s="466">
        <v>0</v>
      </c>
      <c r="H120" s="466">
        <v>0</v>
      </c>
      <c r="I120" s="467">
        <v>0</v>
      </c>
      <c r="J120" s="467">
        <v>0</v>
      </c>
      <c r="K120" s="1671">
        <f>SUM(C120:J120)</f>
        <v>34</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368884</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1585826</v>
      </c>
      <c r="D124" s="466">
        <v>445483</v>
      </c>
      <c r="E124" s="466">
        <v>984294</v>
      </c>
      <c r="F124" s="466">
        <v>1001025</v>
      </c>
      <c r="G124" s="466">
        <v>48681</v>
      </c>
      <c r="H124" s="466">
        <v>2049</v>
      </c>
      <c r="I124" s="467">
        <v>3233</v>
      </c>
      <c r="J124" s="467">
        <v>0</v>
      </c>
      <c r="K124" s="1670">
        <f>SUM(C124:J124)</f>
        <v>4070591</v>
      </c>
      <c r="L124" s="466">
        <v>4248288</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1585826</v>
      </c>
      <c r="D127" s="1670">
        <f t="shared" ref="D127:L127" si="14">SUM(D122:D126)</f>
        <v>445483</v>
      </c>
      <c r="E127" s="1670">
        <f t="shared" si="14"/>
        <v>984294</v>
      </c>
      <c r="F127" s="1670">
        <f t="shared" si="14"/>
        <v>1001025</v>
      </c>
      <c r="G127" s="1670">
        <f t="shared" si="14"/>
        <v>48681</v>
      </c>
      <c r="H127" s="1670">
        <f t="shared" si="14"/>
        <v>2049</v>
      </c>
      <c r="I127" s="1670">
        <f t="shared" si="14"/>
        <v>3233</v>
      </c>
      <c r="J127" s="1670">
        <f t="shared" si="14"/>
        <v>0</v>
      </c>
      <c r="K127" s="1670">
        <f t="shared" si="14"/>
        <v>4070591</v>
      </c>
      <c r="L127" s="1670">
        <f t="shared" si="14"/>
        <v>4617172</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1585826</v>
      </c>
      <c r="D129" s="1677">
        <f t="shared" ref="D129:L129" si="15">SUM(D120,D127,D128)</f>
        <v>445517</v>
      </c>
      <c r="E129" s="1677">
        <f t="shared" si="15"/>
        <v>984294</v>
      </c>
      <c r="F129" s="1677">
        <f t="shared" si="15"/>
        <v>1001025</v>
      </c>
      <c r="G129" s="1677">
        <f t="shared" si="15"/>
        <v>48681</v>
      </c>
      <c r="H129" s="1677">
        <f t="shared" si="15"/>
        <v>2049</v>
      </c>
      <c r="I129" s="1677">
        <f t="shared" si="15"/>
        <v>3233</v>
      </c>
      <c r="J129" s="1677">
        <f t="shared" si="15"/>
        <v>0</v>
      </c>
      <c r="K129" s="1677">
        <f t="shared" si="15"/>
        <v>4070625</v>
      </c>
      <c r="L129" s="1677">
        <f t="shared" si="15"/>
        <v>4617172</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20000</v>
      </c>
    </row>
    <row r="151" spans="1:14" ht="12.75" customHeight="1" thickTop="1" thickBot="1" x14ac:dyDescent="0.25">
      <c r="A151" s="2183" t="s">
        <v>619</v>
      </c>
      <c r="B151" s="2165"/>
      <c r="C151" s="1670">
        <f>SUM(C129,C130,C139,C149,C150)</f>
        <v>1585826</v>
      </c>
      <c r="D151" s="1670">
        <f t="shared" ref="D151:K151" si="16">SUM(D129,D130,D139,D149,D150)</f>
        <v>445517</v>
      </c>
      <c r="E151" s="1670">
        <f t="shared" si="16"/>
        <v>984294</v>
      </c>
      <c r="F151" s="1670">
        <f t="shared" si="16"/>
        <v>1001025</v>
      </c>
      <c r="G151" s="1670">
        <f t="shared" si="16"/>
        <v>48681</v>
      </c>
      <c r="H151" s="1670">
        <f t="shared" si="16"/>
        <v>2049</v>
      </c>
      <c r="I151" s="1670">
        <f t="shared" si="16"/>
        <v>3233</v>
      </c>
      <c r="J151" s="1670">
        <f t="shared" si="16"/>
        <v>0</v>
      </c>
      <c r="K151" s="1670">
        <f t="shared" si="16"/>
        <v>4070625</v>
      </c>
      <c r="L151" s="1670">
        <f>SUM(L129,L130,L139,L149,L150)</f>
        <v>4637172</v>
      </c>
    </row>
    <row r="152" spans="1:14" ht="12.75" customHeight="1" thickTop="1" x14ac:dyDescent="0.2">
      <c r="A152" s="2186" t="s">
        <v>1177</v>
      </c>
      <c r="B152" s="2187"/>
      <c r="C152" s="618"/>
      <c r="D152" s="618"/>
      <c r="E152" s="618"/>
      <c r="F152" s="618"/>
      <c r="G152" s="618"/>
      <c r="H152" s="618"/>
      <c r="I152" s="618"/>
      <c r="J152" s="616"/>
      <c r="K152" s="1684">
        <f>'Revenues 9-14'!D268-'Expenditures 15-22'!K151</f>
        <v>-89951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620</v>
      </c>
      <c r="B154" s="217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2389229</v>
      </c>
      <c r="I169" s="616"/>
      <c r="J169" s="616"/>
      <c r="K169" s="1671">
        <f>SUM(C169:H169)</f>
        <v>2389229</v>
      </c>
      <c r="L169" s="656">
        <v>2113802</v>
      </c>
    </row>
    <row r="170" spans="1:14" ht="33.75" customHeight="1" x14ac:dyDescent="0.2">
      <c r="A170" s="669" t="s">
        <v>1669</v>
      </c>
      <c r="B170" s="671" t="s">
        <v>31</v>
      </c>
      <c r="C170" s="616"/>
      <c r="D170" s="616"/>
      <c r="E170" s="616"/>
      <c r="F170" s="616"/>
      <c r="G170" s="616"/>
      <c r="H170" s="569">
        <v>4868000</v>
      </c>
      <c r="I170" s="616"/>
      <c r="J170" s="616"/>
      <c r="K170" s="1671">
        <f>SUM(C170:J170)</f>
        <v>4868000</v>
      </c>
      <c r="L170" s="569">
        <v>3868000</v>
      </c>
    </row>
    <row r="171" spans="1:14" ht="15.75" customHeight="1" x14ac:dyDescent="0.2">
      <c r="A171" s="621" t="s">
        <v>765</v>
      </c>
      <c r="B171" s="672" t="s">
        <v>84</v>
      </c>
      <c r="C171" s="616"/>
      <c r="D171" s="616"/>
      <c r="E171" s="466">
        <v>0</v>
      </c>
      <c r="F171" s="616"/>
      <c r="G171" s="616"/>
      <c r="H171" s="569">
        <v>6036</v>
      </c>
      <c r="I171" s="477"/>
      <c r="J171" s="616"/>
      <c r="K171" s="1671">
        <f>SUM(C171:J171)</f>
        <v>6036</v>
      </c>
      <c r="L171" s="569">
        <v>0</v>
      </c>
    </row>
    <row r="172" spans="1:14" ht="12.75" customHeight="1" thickBot="1" x14ac:dyDescent="0.25">
      <c r="A172" s="1668" t="s">
        <v>637</v>
      </c>
      <c r="B172" s="1669" t="s">
        <v>491</v>
      </c>
      <c r="C172" s="616"/>
      <c r="D172" s="616"/>
      <c r="E172" s="1677">
        <f>SUM(E168,E169,E170,E171)</f>
        <v>0</v>
      </c>
      <c r="F172" s="616"/>
      <c r="G172" s="616"/>
      <c r="H172" s="1677">
        <f>SUM(H168,H169,H170,H171)</f>
        <v>7263265</v>
      </c>
      <c r="I172" s="638"/>
      <c r="J172" s="616"/>
      <c r="K172" s="1677">
        <f>SUM(K168,K169,K170,K171)</f>
        <v>7263265</v>
      </c>
      <c r="L172" s="1677">
        <f>SUM(L168,L169,L170,L171)</f>
        <v>5981802</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7263265</v>
      </c>
      <c r="I174" s="638"/>
      <c r="J174" s="616"/>
      <c r="K174" s="1677">
        <f>SUM(K160,K172,K173)</f>
        <v>7263265</v>
      </c>
      <c r="L174" s="1677">
        <f>SUM(L160,L172,L173)</f>
        <v>5981802</v>
      </c>
    </row>
    <row r="175" spans="1:14" ht="13.5" thickTop="1" x14ac:dyDescent="0.2">
      <c r="A175" s="2193" t="s">
        <v>995</v>
      </c>
      <c r="B175" s="2194"/>
      <c r="C175" s="616"/>
      <c r="D175" s="616"/>
      <c r="E175" s="616"/>
      <c r="F175" s="616"/>
      <c r="G175" s="616"/>
      <c r="H175" s="618"/>
      <c r="I175" s="616"/>
      <c r="J175" s="616"/>
      <c r="K175" s="1684">
        <f>'Revenues 9-14'!E268-'Expenditures 15-22'!K174</f>
        <v>-783165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1687701</v>
      </c>
      <c r="D182" s="466">
        <v>465326</v>
      </c>
      <c r="E182" s="466">
        <v>602513</v>
      </c>
      <c r="F182" s="466">
        <v>202582</v>
      </c>
      <c r="G182" s="466">
        <v>749355</v>
      </c>
      <c r="H182" s="466">
        <v>6756</v>
      </c>
      <c r="I182" s="467">
        <v>20900</v>
      </c>
      <c r="J182" s="467">
        <v>0</v>
      </c>
      <c r="K182" s="1671">
        <f>SUM(C182:J182)</f>
        <v>3735133</v>
      </c>
      <c r="L182" s="466">
        <v>4151342</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1687701</v>
      </c>
      <c r="D184" s="1677">
        <f t="shared" ref="D184:J184" si="17">SUM(D180,D182,D183)</f>
        <v>465326</v>
      </c>
      <c r="E184" s="1677">
        <f t="shared" si="17"/>
        <v>602513</v>
      </c>
      <c r="F184" s="1677">
        <f t="shared" si="17"/>
        <v>202582</v>
      </c>
      <c r="G184" s="1677">
        <f t="shared" si="17"/>
        <v>749355</v>
      </c>
      <c r="H184" s="1677">
        <f t="shared" si="17"/>
        <v>6756</v>
      </c>
      <c r="I184" s="1677">
        <f t="shared" si="17"/>
        <v>20900</v>
      </c>
      <c r="J184" s="1677">
        <f t="shared" si="17"/>
        <v>0</v>
      </c>
      <c r="K184" s="1677">
        <f>SUM(K180,K182,K183)</f>
        <v>3735133</v>
      </c>
      <c r="L184" s="1677">
        <f>SUM(L180, L182:L183)</f>
        <v>4151342</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19509</v>
      </c>
      <c r="F189" s="616"/>
      <c r="G189" s="616"/>
      <c r="H189" s="466">
        <v>0</v>
      </c>
      <c r="I189" s="477"/>
      <c r="J189" s="616"/>
      <c r="K189" s="1671">
        <f t="shared" si="18"/>
        <v>19509</v>
      </c>
      <c r="L189" s="466">
        <v>25000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19509</v>
      </c>
      <c r="F194" s="616"/>
      <c r="G194" s="616"/>
      <c r="H194" s="1670">
        <f>SUM(H188:H193)</f>
        <v>0</v>
      </c>
      <c r="I194" s="477"/>
      <c r="J194" s="616"/>
      <c r="K194" s="1670">
        <f>SUM(K188:K193)</f>
        <v>19509</v>
      </c>
      <c r="L194" s="1670">
        <f>SUM(L188:L193)</f>
        <v>25000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19509</v>
      </c>
      <c r="F196" s="616"/>
      <c r="G196" s="616"/>
      <c r="H196" s="1677">
        <f>SUM(H194,H195)</f>
        <v>0</v>
      </c>
      <c r="I196" s="477"/>
      <c r="J196" s="616"/>
      <c r="K196" s="1677">
        <f>SUM(K194,K195)</f>
        <v>19509</v>
      </c>
      <c r="L196" s="1677">
        <f>SUM(L194,L195)</f>
        <v>25000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5000</v>
      </c>
    </row>
    <row r="210" spans="1:14" ht="12.75" customHeight="1" thickTop="1" thickBot="1" x14ac:dyDescent="0.25">
      <c r="A210" s="1692" t="s">
        <v>276</v>
      </c>
      <c r="B210" s="1693"/>
      <c r="C210" s="1670">
        <f>SUM(C184,C185)</f>
        <v>1687701</v>
      </c>
      <c r="D210" s="1670">
        <f>SUM(D184,D185)</f>
        <v>465326</v>
      </c>
      <c r="E210" s="1670">
        <f>SUM(E184,E185,E196)</f>
        <v>622022</v>
      </c>
      <c r="F210" s="1670">
        <f>SUM(F184,F185)</f>
        <v>202582</v>
      </c>
      <c r="G210" s="1670">
        <f>SUM(G184,G185)</f>
        <v>749355</v>
      </c>
      <c r="H210" s="1670">
        <f>SUM(H184,H185,H196,H208,H209)</f>
        <v>6756</v>
      </c>
      <c r="I210" s="1670">
        <f>SUM(I184,I185)</f>
        <v>20900</v>
      </c>
      <c r="J210" s="1670">
        <f>SUM(J184,J185)</f>
        <v>0</v>
      </c>
      <c r="K210" s="1671">
        <f>SUM(K184,K185,K196,K208,K209)</f>
        <v>3754642</v>
      </c>
      <c r="L210" s="1670">
        <f>SUM(L184,L185,L196,L208,L209)</f>
        <v>4181342</v>
      </c>
    </row>
    <row r="211" spans="1:14" ht="13.5" thickTop="1" x14ac:dyDescent="0.2">
      <c r="A211" s="2193" t="s">
        <v>995</v>
      </c>
      <c r="B211" s="2194"/>
      <c r="C211" s="618"/>
      <c r="D211" s="618"/>
      <c r="E211" s="618"/>
      <c r="F211" s="618"/>
      <c r="G211" s="618"/>
      <c r="H211" s="618"/>
      <c r="I211" s="616"/>
      <c r="J211" s="616"/>
      <c r="K211" s="1684">
        <f>'Revenues 9-14'!F268-'Expenditures 15-22'!K210</f>
        <v>109770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964</v>
      </c>
      <c r="B213" s="218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263732</v>
      </c>
      <c r="E215" s="616"/>
      <c r="F215" s="616"/>
      <c r="G215" s="616"/>
      <c r="H215" s="616"/>
      <c r="I215" s="616"/>
      <c r="J215" s="616"/>
      <c r="K215" s="1671">
        <f>D215</f>
        <v>263732</v>
      </c>
      <c r="L215" s="466">
        <v>685930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331425</v>
      </c>
      <c r="E217" s="616"/>
      <c r="F217" s="616"/>
      <c r="G217" s="616"/>
      <c r="H217" s="616"/>
      <c r="I217" s="616"/>
      <c r="J217" s="616"/>
      <c r="K217" s="1671">
        <f t="shared" si="19"/>
        <v>331425</v>
      </c>
      <c r="L217" s="466">
        <v>0</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33966</v>
      </c>
      <c r="E219" s="616"/>
      <c r="F219" s="616"/>
      <c r="G219" s="616"/>
      <c r="H219" s="616"/>
      <c r="I219" s="616"/>
      <c r="J219" s="616"/>
      <c r="K219" s="1671">
        <f t="shared" si="19"/>
        <v>33966</v>
      </c>
      <c r="L219" s="466">
        <v>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9819</v>
      </c>
      <c r="E223" s="616"/>
      <c r="F223" s="616"/>
      <c r="G223" s="616"/>
      <c r="H223" s="616"/>
      <c r="I223" s="616"/>
      <c r="J223" s="616"/>
      <c r="K223" s="1671">
        <f t="shared" si="19"/>
        <v>9819</v>
      </c>
      <c r="L223" s="466">
        <v>0</v>
      </c>
    </row>
    <row r="224" spans="1:14" x14ac:dyDescent="0.2">
      <c r="A224" s="1504" t="s">
        <v>963</v>
      </c>
      <c r="B224" s="614">
        <v>1600</v>
      </c>
      <c r="C224" s="616"/>
      <c r="D224" s="466">
        <v>0</v>
      </c>
      <c r="E224" s="616"/>
      <c r="F224" s="616"/>
      <c r="G224" s="616"/>
      <c r="H224" s="616"/>
      <c r="I224" s="616"/>
      <c r="J224" s="616"/>
      <c r="K224" s="1671">
        <f t="shared" si="19"/>
        <v>0</v>
      </c>
      <c r="L224" s="466">
        <v>0</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793</v>
      </c>
      <c r="E227" s="616"/>
      <c r="F227" s="616"/>
      <c r="G227" s="616"/>
      <c r="H227" s="616"/>
      <c r="I227" s="616"/>
      <c r="J227" s="616"/>
      <c r="K227" s="1671">
        <f t="shared" si="19"/>
        <v>793</v>
      </c>
      <c r="L227" s="466">
        <v>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639735</v>
      </c>
      <c r="E229" s="616"/>
      <c r="F229" s="616"/>
      <c r="G229" s="616"/>
      <c r="H229" s="616"/>
      <c r="I229" s="616"/>
      <c r="J229" s="616"/>
      <c r="K229" s="1670">
        <f>SUM(K215:K228)</f>
        <v>639735</v>
      </c>
      <c r="L229" s="1670">
        <f>SUM(L215:L228)</f>
        <v>685930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0</v>
      </c>
      <c r="E232" s="616"/>
      <c r="F232" s="616"/>
      <c r="G232" s="616"/>
      <c r="H232" s="616"/>
      <c r="I232" s="616"/>
      <c r="J232" s="616"/>
      <c r="K232" s="1671">
        <f t="shared" ref="K232:K237" si="20">D232</f>
        <v>0</v>
      </c>
      <c r="L232" s="466">
        <v>0</v>
      </c>
    </row>
    <row r="233" spans="1:12" x14ac:dyDescent="0.2">
      <c r="A233" s="1504" t="s">
        <v>1089</v>
      </c>
      <c r="B233" s="614">
        <v>2120</v>
      </c>
      <c r="C233" s="616"/>
      <c r="D233" s="466">
        <v>13711</v>
      </c>
      <c r="E233" s="616"/>
      <c r="F233" s="616"/>
      <c r="G233" s="616"/>
      <c r="H233" s="616"/>
      <c r="I233" s="616"/>
      <c r="J233" s="616"/>
      <c r="K233" s="1671">
        <f t="shared" si="20"/>
        <v>13711</v>
      </c>
      <c r="L233" s="466">
        <v>82641</v>
      </c>
    </row>
    <row r="234" spans="1:12" x14ac:dyDescent="0.2">
      <c r="A234" s="1504" t="s">
        <v>198</v>
      </c>
      <c r="B234" s="614">
        <v>2130</v>
      </c>
      <c r="C234" s="616"/>
      <c r="D234" s="466">
        <v>60203</v>
      </c>
      <c r="E234" s="616"/>
      <c r="F234" s="616"/>
      <c r="G234" s="616"/>
      <c r="H234" s="616"/>
      <c r="I234" s="616"/>
      <c r="J234" s="616"/>
      <c r="K234" s="1671">
        <f t="shared" si="20"/>
        <v>60203</v>
      </c>
      <c r="L234" s="466">
        <v>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4503</v>
      </c>
      <c r="E237" s="616"/>
      <c r="F237" s="616"/>
      <c r="G237" s="616"/>
      <c r="H237" s="616"/>
      <c r="I237" s="616"/>
      <c r="J237" s="616"/>
      <c r="K237" s="1671">
        <f t="shared" si="20"/>
        <v>4503</v>
      </c>
      <c r="L237" s="466">
        <v>0</v>
      </c>
    </row>
    <row r="238" spans="1:12" ht="12.75" customHeight="1" thickBot="1" x14ac:dyDescent="0.25">
      <c r="A238" s="1668" t="s">
        <v>559</v>
      </c>
      <c r="B238" s="1675" t="s">
        <v>715</v>
      </c>
      <c r="C238" s="616"/>
      <c r="D238" s="1670">
        <f>SUM(D232:D237)</f>
        <v>78417</v>
      </c>
      <c r="E238" s="616"/>
      <c r="F238" s="616"/>
      <c r="G238" s="616"/>
      <c r="H238" s="616"/>
      <c r="I238" s="616"/>
      <c r="J238" s="616"/>
      <c r="K238" s="1670">
        <f>SUM(K232:K237)</f>
        <v>78417</v>
      </c>
      <c r="L238" s="1670">
        <f>SUM(L232:L237)</f>
        <v>82641</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29282</v>
      </c>
      <c r="E240" s="616"/>
      <c r="F240" s="616"/>
      <c r="G240" s="616"/>
      <c r="H240" s="616"/>
      <c r="I240" s="616"/>
      <c r="J240" s="616"/>
      <c r="K240" s="1672">
        <f>D240</f>
        <v>29282</v>
      </c>
      <c r="L240" s="481">
        <v>112488</v>
      </c>
    </row>
    <row r="241" spans="1:12" x14ac:dyDescent="0.2">
      <c r="A241" s="1504" t="s">
        <v>814</v>
      </c>
      <c r="B241" s="614">
        <v>2220</v>
      </c>
      <c r="C241" s="616"/>
      <c r="D241" s="466">
        <v>77038</v>
      </c>
      <c r="E241" s="616"/>
      <c r="F241" s="616"/>
      <c r="G241" s="616"/>
      <c r="H241" s="616"/>
      <c r="I241" s="616"/>
      <c r="J241" s="616"/>
      <c r="K241" s="1672">
        <f>D241</f>
        <v>77038</v>
      </c>
      <c r="L241" s="466">
        <v>0</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106320</v>
      </c>
      <c r="E243" s="616"/>
      <c r="F243" s="616"/>
      <c r="G243" s="616"/>
      <c r="H243" s="616"/>
      <c r="I243" s="616"/>
      <c r="J243" s="616"/>
      <c r="K243" s="1670">
        <f>SUM(K240:K242)</f>
        <v>106320</v>
      </c>
      <c r="L243" s="1670">
        <f>SUM(L240:L242)</f>
        <v>112488</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10741</v>
      </c>
      <c r="E245" s="616"/>
      <c r="F245" s="616"/>
      <c r="G245" s="616"/>
      <c r="H245" s="616"/>
      <c r="I245" s="616"/>
      <c r="J245" s="616"/>
      <c r="K245" s="1672">
        <f>D245</f>
        <v>10741</v>
      </c>
      <c r="L245" s="481">
        <v>0</v>
      </c>
    </row>
    <row r="246" spans="1:12" x14ac:dyDescent="0.2">
      <c r="A246" s="1504" t="s">
        <v>817</v>
      </c>
      <c r="B246" s="614">
        <v>2320</v>
      </c>
      <c r="C246" s="616"/>
      <c r="D246" s="466">
        <v>2908</v>
      </c>
      <c r="E246" s="616"/>
      <c r="F246" s="616"/>
      <c r="G246" s="616"/>
      <c r="H246" s="616"/>
      <c r="I246" s="616"/>
      <c r="J246" s="616"/>
      <c r="K246" s="1672">
        <f t="shared" ref="K246:K256" si="21">D246</f>
        <v>2908</v>
      </c>
      <c r="L246" s="466">
        <v>19774</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13649</v>
      </c>
      <c r="E257" s="616"/>
      <c r="F257" s="616"/>
      <c r="G257" s="616"/>
      <c r="H257" s="616"/>
      <c r="I257" s="616"/>
      <c r="J257" s="616"/>
      <c r="K257" s="1670">
        <f>SUM(K245:K256)</f>
        <v>13649</v>
      </c>
      <c r="L257" s="1670">
        <f>SUM(L245:L256)</f>
        <v>19774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120424</v>
      </c>
      <c r="E259" s="616"/>
      <c r="F259" s="616"/>
      <c r="G259" s="616"/>
      <c r="H259" s="616"/>
      <c r="I259" s="616"/>
      <c r="J259" s="616"/>
      <c r="K259" s="1672">
        <f>D259</f>
        <v>120424</v>
      </c>
      <c r="L259" s="481">
        <v>146067</v>
      </c>
    </row>
    <row r="260" spans="1:14" s="597" customFormat="1" x14ac:dyDescent="0.2">
      <c r="A260" s="1522" t="s">
        <v>1800</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120424</v>
      </c>
      <c r="E261" s="616"/>
      <c r="F261" s="616"/>
      <c r="G261" s="616"/>
      <c r="H261" s="616"/>
      <c r="I261" s="616"/>
      <c r="J261" s="616"/>
      <c r="K261" s="1670">
        <f>SUM(K259:K260)</f>
        <v>120424</v>
      </c>
      <c r="L261" s="1670">
        <f>SUM(L259:L260)</f>
        <v>146067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30919</v>
      </c>
      <c r="E263" s="616"/>
      <c r="F263" s="616"/>
      <c r="G263" s="616"/>
      <c r="H263" s="616"/>
      <c r="I263" s="616"/>
      <c r="J263" s="616"/>
      <c r="K263" s="1672">
        <f>D263</f>
        <v>30919</v>
      </c>
      <c r="L263" s="481">
        <v>0</v>
      </c>
    </row>
    <row r="264" spans="1:14" x14ac:dyDescent="0.2">
      <c r="A264" s="1504" t="s">
        <v>462</v>
      </c>
      <c r="B264" s="685">
        <v>2520</v>
      </c>
      <c r="C264" s="616"/>
      <c r="D264" s="466">
        <v>28186</v>
      </c>
      <c r="E264" s="616"/>
      <c r="F264" s="616"/>
      <c r="G264" s="616"/>
      <c r="H264" s="616"/>
      <c r="I264" s="616"/>
      <c r="J264" s="616"/>
      <c r="K264" s="1672">
        <f t="shared" ref="K264:K269" si="22">D264</f>
        <v>28186</v>
      </c>
      <c r="L264" s="466">
        <v>732436</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325579</v>
      </c>
      <c r="E266" s="616"/>
      <c r="F266" s="616"/>
      <c r="G266" s="616"/>
      <c r="H266" s="616"/>
      <c r="I266" s="616"/>
      <c r="J266" s="616"/>
      <c r="K266" s="1672">
        <f t="shared" si="22"/>
        <v>325579</v>
      </c>
      <c r="L266" s="466">
        <v>0</v>
      </c>
    </row>
    <row r="267" spans="1:14" x14ac:dyDescent="0.2">
      <c r="A267" s="1504" t="s">
        <v>952</v>
      </c>
      <c r="B267" s="614">
        <v>2550</v>
      </c>
      <c r="C267" s="616"/>
      <c r="D267" s="466">
        <v>227526</v>
      </c>
      <c r="E267" s="616"/>
      <c r="F267" s="616"/>
      <c r="G267" s="616"/>
      <c r="H267" s="616"/>
      <c r="I267" s="616"/>
      <c r="J267" s="616"/>
      <c r="K267" s="1672">
        <f t="shared" si="22"/>
        <v>227526</v>
      </c>
      <c r="L267" s="466">
        <v>0</v>
      </c>
    </row>
    <row r="268" spans="1:14" x14ac:dyDescent="0.2">
      <c r="A268" s="1504" t="s">
        <v>100</v>
      </c>
      <c r="B268" s="614">
        <v>2560</v>
      </c>
      <c r="C268" s="616"/>
      <c r="D268" s="466">
        <v>33457</v>
      </c>
      <c r="E268" s="616"/>
      <c r="F268" s="616"/>
      <c r="G268" s="616"/>
      <c r="H268" s="616"/>
      <c r="I268" s="616"/>
      <c r="J268" s="616"/>
      <c r="K268" s="1672">
        <f t="shared" si="22"/>
        <v>33457</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645667</v>
      </c>
      <c r="E270" s="616"/>
      <c r="F270" s="616"/>
      <c r="G270" s="616"/>
      <c r="H270" s="616"/>
      <c r="I270" s="616"/>
      <c r="J270" s="616"/>
      <c r="K270" s="1670">
        <f>SUM(K263:K269)</f>
        <v>645667</v>
      </c>
      <c r="L270" s="1670">
        <f>SUM(L263:L269)</f>
        <v>732436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47763</v>
      </c>
      <c r="E275" s="616"/>
      <c r="F275" s="616"/>
      <c r="G275" s="616"/>
      <c r="H275" s="616"/>
      <c r="I275" s="616"/>
      <c r="J275" s="616"/>
      <c r="K275" s="1672">
        <f>D275</f>
        <v>47763</v>
      </c>
      <c r="L275" s="466">
        <v>83200</v>
      </c>
    </row>
    <row r="276" spans="1:12" x14ac:dyDescent="0.2">
      <c r="A276" s="1504" t="s">
        <v>403</v>
      </c>
      <c r="B276" s="614">
        <v>2660</v>
      </c>
      <c r="C276" s="616"/>
      <c r="D276" s="466">
        <v>80500</v>
      </c>
      <c r="E276" s="616"/>
      <c r="F276" s="616"/>
      <c r="G276" s="616"/>
      <c r="H276" s="616"/>
      <c r="I276" s="616"/>
      <c r="J276" s="616"/>
      <c r="K276" s="1672">
        <f>D276</f>
        <v>80500</v>
      </c>
      <c r="L276" s="466">
        <v>0</v>
      </c>
    </row>
    <row r="277" spans="1:12" ht="12.75" customHeight="1" thickBot="1" x14ac:dyDescent="0.25">
      <c r="A277" s="1691" t="s">
        <v>37</v>
      </c>
      <c r="B277" s="1669" t="s">
        <v>36</v>
      </c>
      <c r="C277" s="616"/>
      <c r="D277" s="1670">
        <f>SUM(D272:D276)</f>
        <v>128263</v>
      </c>
      <c r="E277" s="616"/>
      <c r="F277" s="616"/>
      <c r="G277" s="616"/>
      <c r="H277" s="616"/>
      <c r="I277" s="616"/>
      <c r="J277" s="616"/>
      <c r="K277" s="1670">
        <f>SUM(K272:K276)</f>
        <v>128263</v>
      </c>
      <c r="L277" s="1670">
        <f>SUM(L272:L276)</f>
        <v>83200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1092740</v>
      </c>
      <c r="E279" s="616"/>
      <c r="F279" s="616"/>
      <c r="G279" s="616"/>
      <c r="H279" s="616"/>
      <c r="I279" s="616"/>
      <c r="J279" s="616"/>
      <c r="K279" s="1677">
        <f>SUM(K238,K243,K257,K261,K270,K277,K278)</f>
        <v>1092740</v>
      </c>
      <c r="L279" s="1677">
        <f>SUM(L238,L243,L257,L261,L270,L277,L278)</f>
        <v>1176606</v>
      </c>
    </row>
    <row r="280" spans="1:12" ht="15.75" customHeight="1" thickTop="1" thickBot="1" x14ac:dyDescent="0.25">
      <c r="A280" s="1624" t="s">
        <v>874</v>
      </c>
      <c r="B280" s="1613">
        <v>3000</v>
      </c>
      <c r="C280" s="616"/>
      <c r="D280" s="576">
        <v>378</v>
      </c>
      <c r="E280" s="616"/>
      <c r="F280" s="616"/>
      <c r="G280" s="616"/>
      <c r="H280" s="616"/>
      <c r="I280" s="616"/>
      <c r="J280" s="616"/>
      <c r="K280" s="1679">
        <f>D280</f>
        <v>378</v>
      </c>
      <c r="L280" s="576">
        <v>317</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t="s">
        <v>1168</v>
      </c>
      <c r="E282" s="616"/>
      <c r="F282" s="616"/>
      <c r="G282" s="616"/>
      <c r="H282" s="616"/>
      <c r="I282" s="616"/>
      <c r="J282" s="616"/>
      <c r="K282" s="1671" t="str">
        <f>D282</f>
        <v xml:space="preserve"> </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84" t="s">
        <v>504</v>
      </c>
      <c r="B295" s="2185"/>
      <c r="C295" s="616"/>
      <c r="D295" s="1670">
        <f>SUM(D229,D279,D280,D285)</f>
        <v>1732853</v>
      </c>
      <c r="E295" s="616"/>
      <c r="F295" s="616"/>
      <c r="G295" s="616"/>
      <c r="H295" s="1670">
        <f>H293</f>
        <v>0</v>
      </c>
      <c r="I295" s="616"/>
      <c r="J295" s="616"/>
      <c r="K295" s="1670">
        <f>SUM(K229,K279,K280,K285,K293,K294)</f>
        <v>1732853</v>
      </c>
      <c r="L295" s="1670">
        <f>SUM(L229,L279,L280,L285,L293,L294)</f>
        <v>1862853</v>
      </c>
    </row>
    <row r="296" spans="1:14" ht="13.5" thickTop="1" x14ac:dyDescent="0.2">
      <c r="A296" s="2193" t="s">
        <v>995</v>
      </c>
      <c r="B296" s="2194"/>
      <c r="C296" s="616"/>
      <c r="D296" s="618"/>
      <c r="E296" s="616"/>
      <c r="F296" s="616"/>
      <c r="G296" s="616"/>
      <c r="H296" s="687"/>
      <c r="I296" s="616"/>
      <c r="J296" s="616"/>
      <c r="K296" s="1684">
        <f>'Revenues 9-14'!G268-'Expenditures 15-22'!K295</f>
        <v>154594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143</v>
      </c>
      <c r="B298" s="217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1463</v>
      </c>
      <c r="G301" s="466">
        <v>1809153</v>
      </c>
      <c r="H301" s="466">
        <v>0</v>
      </c>
      <c r="I301" s="467">
        <v>0</v>
      </c>
      <c r="J301" s="467">
        <v>0</v>
      </c>
      <c r="K301" s="1671">
        <f>SUM(C301:J301)</f>
        <v>1810616</v>
      </c>
      <c r="L301" s="467">
        <v>1274699</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1463</v>
      </c>
      <c r="G303" s="1677">
        <f t="shared" si="23"/>
        <v>1809153</v>
      </c>
      <c r="H303" s="1677">
        <f t="shared" si="23"/>
        <v>0</v>
      </c>
      <c r="I303" s="1677">
        <f t="shared" si="23"/>
        <v>0</v>
      </c>
      <c r="J303" s="1677">
        <f t="shared" si="23"/>
        <v>0</v>
      </c>
      <c r="K303" s="1677">
        <f t="shared" si="23"/>
        <v>1810616</v>
      </c>
      <c r="L303" s="1677">
        <f t="shared" si="23"/>
        <v>1274699</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81" t="s">
        <v>276</v>
      </c>
      <c r="B312" s="2182"/>
      <c r="C312" s="1670">
        <f>SUM(C303)</f>
        <v>0</v>
      </c>
      <c r="D312" s="1670">
        <f>SUM(D303)</f>
        <v>0</v>
      </c>
      <c r="E312" s="1670">
        <f>SUM(E303,E310)</f>
        <v>0</v>
      </c>
      <c r="F312" s="1670">
        <f>SUM(F303)</f>
        <v>1463</v>
      </c>
      <c r="G312" s="1670">
        <f>SUM(G303)</f>
        <v>1809153</v>
      </c>
      <c r="H312" s="1670">
        <f>SUM(H303,H310)</f>
        <v>0</v>
      </c>
      <c r="I312" s="1670">
        <f>SUM(I303)</f>
        <v>0</v>
      </c>
      <c r="J312" s="1670">
        <f>SUM(J303)</f>
        <v>0</v>
      </c>
      <c r="K312" s="1670">
        <f>SUM(K303,K310,K311)</f>
        <v>1810616</v>
      </c>
      <c r="L312" s="1670">
        <f>SUM(L303,L310,L311)</f>
        <v>1274699</v>
      </c>
      <c r="M312" s="665"/>
      <c r="N312" s="665"/>
    </row>
    <row r="313" spans="1:14" ht="13.5" thickTop="1" x14ac:dyDescent="0.2">
      <c r="A313" s="2177" t="s">
        <v>995</v>
      </c>
      <c r="B313" s="2178"/>
      <c r="C313" s="626"/>
      <c r="D313" s="626"/>
      <c r="E313" s="626"/>
      <c r="F313" s="626"/>
      <c r="G313" s="626"/>
      <c r="H313" s="626"/>
      <c r="I313" s="626"/>
      <c r="J313" s="626"/>
      <c r="K313" s="1685">
        <f>'Revenues 9-14'!H268-'Expenditures 15-22'!K312</f>
        <v>-1540268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149</v>
      </c>
      <c r="B315" s="219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897</v>
      </c>
      <c r="B317" s="219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519685</v>
      </c>
      <c r="F320" s="467">
        <v>0</v>
      </c>
      <c r="G320" s="467">
        <v>0</v>
      </c>
      <c r="H320" s="467">
        <v>0</v>
      </c>
      <c r="I320" s="467">
        <v>0</v>
      </c>
      <c r="J320" s="467">
        <v>0</v>
      </c>
      <c r="K320" s="1671">
        <f t="shared" ref="K320:K327" si="24">SUM(C320:J320)</f>
        <v>519685</v>
      </c>
      <c r="L320" s="467">
        <v>519685</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519685</v>
      </c>
      <c r="F330" s="1670">
        <f t="shared" si="25"/>
        <v>0</v>
      </c>
      <c r="G330" s="1670">
        <f t="shared" si="25"/>
        <v>0</v>
      </c>
      <c r="H330" s="1670">
        <f t="shared" si="25"/>
        <v>0</v>
      </c>
      <c r="I330" s="1670">
        <f t="shared" si="25"/>
        <v>0</v>
      </c>
      <c r="J330" s="1670">
        <f t="shared" si="25"/>
        <v>0</v>
      </c>
      <c r="K330" s="1670">
        <f>SUM(K319:K329)</f>
        <v>519685</v>
      </c>
      <c r="L330" s="1670">
        <f>SUM(L319:L329)</f>
        <v>519685</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519685</v>
      </c>
      <c r="F342" s="1670">
        <f>SUM(F330)</f>
        <v>0</v>
      </c>
      <c r="G342" s="1670">
        <f>SUM(G330)</f>
        <v>0</v>
      </c>
      <c r="H342" s="1670">
        <f>SUM(H330,H334,H340)</f>
        <v>0</v>
      </c>
      <c r="I342" s="1670">
        <f>SUM(I330)</f>
        <v>0</v>
      </c>
      <c r="J342" s="1670">
        <f>SUM(J330)</f>
        <v>0</v>
      </c>
      <c r="K342" s="1670">
        <f>SUM(K330,K334,K340)</f>
        <v>519685</v>
      </c>
      <c r="L342" s="1677">
        <f>SUM(L330,L340,L341)</f>
        <v>519685</v>
      </c>
    </row>
    <row r="343" spans="1:14" ht="12.75" customHeight="1" thickTop="1" x14ac:dyDescent="0.2">
      <c r="A343" s="2179" t="s">
        <v>995</v>
      </c>
      <c r="B343" s="2180"/>
      <c r="C343" s="616"/>
      <c r="D343" s="616"/>
      <c r="E343" s="616"/>
      <c r="F343" s="616"/>
      <c r="G343" s="616"/>
      <c r="H343" s="616"/>
      <c r="I343" s="616"/>
      <c r="J343" s="616"/>
      <c r="K343" s="1684">
        <f>'Revenues 9-14'!J268-'Expenditures 15-22'!K342</f>
        <v>1597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965</v>
      </c>
      <c r="B345" s="217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10575</v>
      </c>
      <c r="F349" s="466">
        <v>0</v>
      </c>
      <c r="G349" s="466">
        <v>0</v>
      </c>
      <c r="H349" s="466">
        <v>0</v>
      </c>
      <c r="I349" s="467">
        <v>0</v>
      </c>
      <c r="J349" s="467">
        <v>0</v>
      </c>
      <c r="K349" s="1671">
        <f>SUM(C349:J349)</f>
        <v>10575</v>
      </c>
      <c r="L349" s="466">
        <v>182280</v>
      </c>
    </row>
    <row r="350" spans="1:14" ht="12.75" customHeight="1" thickBot="1" x14ac:dyDescent="0.25">
      <c r="A350" s="1668" t="s">
        <v>718</v>
      </c>
      <c r="B350" s="1669" t="s">
        <v>35</v>
      </c>
      <c r="C350" s="1670">
        <f>SUM(C348:C349)</f>
        <v>0</v>
      </c>
      <c r="D350" s="1670">
        <f t="shared" ref="D350:L350" si="26">SUM(D348:D349)</f>
        <v>0</v>
      </c>
      <c r="E350" s="1670">
        <f t="shared" si="26"/>
        <v>10575</v>
      </c>
      <c r="F350" s="1670">
        <f t="shared" si="26"/>
        <v>0</v>
      </c>
      <c r="G350" s="1670">
        <f t="shared" si="26"/>
        <v>0</v>
      </c>
      <c r="H350" s="1670">
        <f t="shared" si="26"/>
        <v>0</v>
      </c>
      <c r="I350" s="1670">
        <f t="shared" si="26"/>
        <v>0</v>
      </c>
      <c r="J350" s="1670">
        <f t="shared" si="26"/>
        <v>0</v>
      </c>
      <c r="K350" s="1670">
        <f t="shared" si="26"/>
        <v>10575</v>
      </c>
      <c r="L350" s="1670">
        <f t="shared" si="26"/>
        <v>182280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10575</v>
      </c>
      <c r="F352" s="1670">
        <f t="shared" si="27"/>
        <v>0</v>
      </c>
      <c r="G352" s="1670">
        <f t="shared" si="27"/>
        <v>0</v>
      </c>
      <c r="H352" s="1670">
        <f t="shared" si="27"/>
        <v>0</v>
      </c>
      <c r="I352" s="1670">
        <f t="shared" si="27"/>
        <v>0</v>
      </c>
      <c r="J352" s="1670">
        <f t="shared" si="27"/>
        <v>0</v>
      </c>
      <c r="K352" s="1670">
        <f t="shared" si="27"/>
        <v>10575</v>
      </c>
      <c r="L352" s="1670">
        <f t="shared" si="27"/>
        <v>182280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10575</v>
      </c>
      <c r="F367" s="1670">
        <f t="shared" si="28"/>
        <v>0</v>
      </c>
      <c r="G367" s="1670">
        <f t="shared" si="28"/>
        <v>0</v>
      </c>
      <c r="H367" s="1670">
        <f t="shared" si="28"/>
        <v>0</v>
      </c>
      <c r="I367" s="1670">
        <f t="shared" si="28"/>
        <v>0</v>
      </c>
      <c r="J367" s="1670">
        <f t="shared" si="28"/>
        <v>0</v>
      </c>
      <c r="K367" s="1670">
        <f t="shared" si="28"/>
        <v>10575</v>
      </c>
      <c r="L367" s="1670">
        <f t="shared" si="28"/>
        <v>182280</v>
      </c>
    </row>
    <row r="368" spans="1:14" ht="13.5" thickTop="1" x14ac:dyDescent="0.2">
      <c r="A368" s="2193" t="s">
        <v>995</v>
      </c>
      <c r="B368" s="2194"/>
      <c r="C368" s="654"/>
      <c r="D368" s="654"/>
      <c r="E368" s="626"/>
      <c r="F368" s="626"/>
      <c r="G368" s="626"/>
      <c r="H368" s="626"/>
      <c r="I368" s="626"/>
      <c r="J368" s="623"/>
      <c r="K368" s="1671">
        <f>'Revenues 9-14'!K268-'Expenditures 15-22'!K367</f>
        <v>529167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5" sqref="C1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5" t="s">
        <v>1798</v>
      </c>
      <c r="B2" s="1528" t="s">
        <v>1947</v>
      </c>
      <c r="C2" s="714" t="s">
        <v>1948</v>
      </c>
      <c r="D2" s="714" t="s">
        <v>1949</v>
      </c>
      <c r="E2" s="714" t="s">
        <v>1950</v>
      </c>
      <c r="F2" s="714" t="s">
        <v>1951</v>
      </c>
    </row>
    <row r="3" spans="1:6" ht="12" customHeight="1" x14ac:dyDescent="0.2">
      <c r="A3" s="2196"/>
      <c r="B3" s="1525"/>
      <c r="C3" s="1526"/>
      <c r="D3" s="1527" t="s">
        <v>256</v>
      </c>
      <c r="E3" s="1526"/>
      <c r="F3" s="1527" t="s">
        <v>257</v>
      </c>
    </row>
    <row r="4" spans="1:6" ht="13.7" customHeight="1" x14ac:dyDescent="0.2">
      <c r="A4" s="715" t="s">
        <v>1154</v>
      </c>
      <c r="B4" s="1749">
        <f>'Revenues 9-14'!C5</f>
        <v>34363845</v>
      </c>
      <c r="C4" s="1524">
        <v>18210097</v>
      </c>
      <c r="D4" s="1752">
        <f>B4-C4</f>
        <v>16153748</v>
      </c>
      <c r="E4" s="1524">
        <v>34796652</v>
      </c>
      <c r="F4" s="1752">
        <f>E4-C4</f>
        <v>16586555</v>
      </c>
    </row>
    <row r="5" spans="1:6" ht="13.7" customHeight="1" x14ac:dyDescent="0.2">
      <c r="A5" s="715" t="s">
        <v>869</v>
      </c>
      <c r="B5" s="1750">
        <f>'Revenues 9-14'!D5</f>
        <v>588510</v>
      </c>
      <c r="C5" s="585">
        <v>303970</v>
      </c>
      <c r="D5" s="1753">
        <f t="shared" ref="D5:D18" si="0">B5-C5</f>
        <v>284540</v>
      </c>
      <c r="E5" s="585">
        <v>580840</v>
      </c>
      <c r="F5" s="1753">
        <f>E5-C5</f>
        <v>276870</v>
      </c>
    </row>
    <row r="6" spans="1:6" ht="13.7" customHeight="1" x14ac:dyDescent="0.2">
      <c r="A6" s="715" t="s">
        <v>410</v>
      </c>
      <c r="B6" s="1750">
        <f>'Revenues 9-14'!E5</f>
        <v>6297448</v>
      </c>
      <c r="C6" s="585">
        <v>3428642</v>
      </c>
      <c r="D6" s="1753">
        <f t="shared" si="0"/>
        <v>2868806</v>
      </c>
      <c r="E6" s="585">
        <v>6551599</v>
      </c>
      <c r="F6" s="1753">
        <f t="shared" ref="F6:F18" si="1">E6-C6</f>
        <v>3122957</v>
      </c>
    </row>
    <row r="7" spans="1:6" ht="13.7" customHeight="1" x14ac:dyDescent="0.2">
      <c r="A7" s="715" t="s">
        <v>155</v>
      </c>
      <c r="B7" s="1750">
        <f>'Revenues 9-14'!F5</f>
        <v>2034332</v>
      </c>
      <c r="C7" s="585">
        <v>1098003</v>
      </c>
      <c r="D7" s="1753">
        <f t="shared" si="0"/>
        <v>936329</v>
      </c>
      <c r="E7" s="585">
        <v>2098113</v>
      </c>
      <c r="F7" s="1753">
        <f t="shared" si="1"/>
        <v>1000110</v>
      </c>
    </row>
    <row r="8" spans="1:6" ht="13.7" customHeight="1" x14ac:dyDescent="0.2">
      <c r="A8" s="715" t="s">
        <v>1178</v>
      </c>
      <c r="B8" s="1750">
        <f>'Revenues 9-14'!G5</f>
        <v>675733</v>
      </c>
      <c r="C8" s="585">
        <v>358422</v>
      </c>
      <c r="D8" s="1753">
        <f t="shared" si="0"/>
        <v>317311</v>
      </c>
      <c r="E8" s="585">
        <v>684888</v>
      </c>
      <c r="F8" s="1753">
        <f t="shared" si="1"/>
        <v>326466</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494844</v>
      </c>
      <c r="C10" s="585">
        <v>275847</v>
      </c>
      <c r="D10" s="1753">
        <f t="shared" si="0"/>
        <v>218997</v>
      </c>
      <c r="E10" s="585">
        <v>527101</v>
      </c>
      <c r="F10" s="1753">
        <f t="shared" si="1"/>
        <v>251254</v>
      </c>
    </row>
    <row r="11" spans="1:6" x14ac:dyDescent="0.2">
      <c r="A11" s="715" t="s">
        <v>408</v>
      </c>
      <c r="B11" s="1750">
        <f>'Revenues 9-14'!J5</f>
        <v>321282</v>
      </c>
      <c r="C11" s="585">
        <v>165748</v>
      </c>
      <c r="D11" s="1753">
        <f t="shared" si="0"/>
        <v>155534</v>
      </c>
      <c r="E11" s="585">
        <v>316718</v>
      </c>
      <c r="F11" s="1753">
        <f t="shared" si="1"/>
        <v>150970</v>
      </c>
    </row>
    <row r="12" spans="1:6" ht="13.7" customHeight="1" x14ac:dyDescent="0.2">
      <c r="A12" s="715" t="s">
        <v>157</v>
      </c>
      <c r="B12" s="1750">
        <f>'Revenues 9-14'!K5</f>
        <v>520333</v>
      </c>
      <c r="C12" s="585">
        <v>275847</v>
      </c>
      <c r="D12" s="1753">
        <f t="shared" si="0"/>
        <v>244486</v>
      </c>
      <c r="E12" s="585">
        <v>527101</v>
      </c>
      <c r="F12" s="1753">
        <f t="shared" si="1"/>
        <v>251254</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42947</v>
      </c>
      <c r="C14" s="585">
        <v>22139</v>
      </c>
      <c r="D14" s="1753">
        <f t="shared" si="0"/>
        <v>20808</v>
      </c>
      <c r="E14" s="585">
        <v>42305</v>
      </c>
      <c r="F14" s="1753">
        <f t="shared" si="1"/>
        <v>20166</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519214</v>
      </c>
      <c r="C16" s="585">
        <v>275249</v>
      </c>
      <c r="D16" s="1753">
        <f t="shared" si="0"/>
        <v>243965</v>
      </c>
      <c r="E16" s="585">
        <v>525957</v>
      </c>
      <c r="F16" s="1753">
        <f t="shared" si="1"/>
        <v>250708</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45858488</v>
      </c>
      <c r="C19" s="1751">
        <f>SUM(C4:C18)</f>
        <v>24413964</v>
      </c>
      <c r="D19" s="1751">
        <f>SUM(D4:D18)</f>
        <v>21444524</v>
      </c>
      <c r="E19" s="1751">
        <f>SUM(E4:E18)</f>
        <v>46651274</v>
      </c>
      <c r="F19" s="1751">
        <f>SUM(F4:F18)</f>
        <v>22237310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Normal="10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628</v>
      </c>
      <c r="B1" s="2202"/>
      <c r="C1" s="721"/>
    </row>
    <row r="2" spans="1:7" ht="33.75" x14ac:dyDescent="0.2">
      <c r="A2" s="2210" t="s">
        <v>1798</v>
      </c>
      <c r="B2" s="2211"/>
      <c r="C2" s="1884" t="s">
        <v>1952</v>
      </c>
      <c r="D2" s="723" t="s">
        <v>1953</v>
      </c>
      <c r="E2" s="723" t="s">
        <v>1954</v>
      </c>
      <c r="F2" s="1884" t="s">
        <v>1955</v>
      </c>
    </row>
    <row r="3" spans="1:7" ht="15.75" customHeight="1" x14ac:dyDescent="0.2">
      <c r="A3" s="2214" t="s">
        <v>1113</v>
      </c>
      <c r="B3" s="2215"/>
      <c r="C3" s="2203"/>
      <c r="D3" s="2204"/>
      <c r="E3" s="2204"/>
      <c r="F3" s="2205"/>
    </row>
    <row r="4" spans="1:7" ht="12.75" customHeight="1" thickBot="1" x14ac:dyDescent="0.25">
      <c r="A4" s="2212" t="s">
        <v>629</v>
      </c>
      <c r="B4" s="2213"/>
      <c r="C4" s="581"/>
      <c r="D4" s="581"/>
      <c r="E4" s="581"/>
      <c r="F4" s="1755">
        <f>SUM(C4+D4)-E4</f>
        <v>0</v>
      </c>
    </row>
    <row r="5" spans="1:7" ht="15.75" customHeight="1" thickTop="1" x14ac:dyDescent="0.2">
      <c r="A5" s="2197" t="s">
        <v>1109</v>
      </c>
      <c r="B5" s="2198"/>
      <c r="C5" s="2206"/>
      <c r="D5" s="2207"/>
      <c r="E5" s="2207"/>
      <c r="F5" s="220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9" t="s">
        <v>630</v>
      </c>
      <c r="B15" s="2200"/>
      <c r="C15" s="1755">
        <f>SUM(C6:C14)</f>
        <v>0</v>
      </c>
      <c r="D15" s="1755">
        <f>SUM(D6:D14)</f>
        <v>0</v>
      </c>
      <c r="E15" s="1755">
        <f>SUM(E6:E14)</f>
        <v>0</v>
      </c>
      <c r="F15" s="1755">
        <f>SUM(F6:F14)</f>
        <v>0</v>
      </c>
      <c r="G15" s="552"/>
    </row>
    <row r="16" spans="1:7" s="202" customFormat="1" ht="15.75" customHeight="1" thickTop="1" x14ac:dyDescent="0.2">
      <c r="A16" s="2209" t="s">
        <v>1110</v>
      </c>
      <c r="B16" s="2198"/>
      <c r="C16" s="2206"/>
      <c r="D16" s="2207"/>
      <c r="E16" s="2207"/>
      <c r="F16" s="2208"/>
    </row>
    <row r="17" spans="1:11" ht="12.75" customHeight="1" thickBot="1" x14ac:dyDescent="0.25">
      <c r="A17" s="2222" t="s">
        <v>64</v>
      </c>
      <c r="B17" s="2223"/>
      <c r="C17" s="726"/>
      <c r="D17" s="585"/>
      <c r="E17" s="726"/>
      <c r="F17" s="1755">
        <f>SUM(C17+D17)-E17</f>
        <v>0</v>
      </c>
    </row>
    <row r="18" spans="1:11" ht="12.75" customHeight="1" thickTop="1" thickBot="1" x14ac:dyDescent="0.25">
      <c r="A18" s="2222" t="s">
        <v>6</v>
      </c>
      <c r="B18" s="2223"/>
      <c r="C18" s="726"/>
      <c r="D18" s="585"/>
      <c r="E18" s="726"/>
      <c r="F18" s="1755">
        <f>SUM(C18+D18)-E18</f>
        <v>0</v>
      </c>
    </row>
    <row r="19" spans="1:11" ht="12.75" customHeight="1" thickTop="1" thickBot="1" x14ac:dyDescent="0.25">
      <c r="A19" s="2222" t="s">
        <v>387</v>
      </c>
      <c r="B19" s="2223"/>
      <c r="C19" s="726"/>
      <c r="D19" s="585"/>
      <c r="E19" s="726"/>
      <c r="F19" s="1755">
        <f>SUM(C19+D19)-E19</f>
        <v>0</v>
      </c>
    </row>
    <row r="20" spans="1:11" ht="12.75" customHeight="1" thickTop="1" thickBot="1" x14ac:dyDescent="0.25">
      <c r="A20" s="2222" t="s">
        <v>447</v>
      </c>
      <c r="B20" s="2223"/>
      <c r="C20" s="726"/>
      <c r="D20" s="585"/>
      <c r="E20" s="726"/>
      <c r="F20" s="1755">
        <f>SUM(C20+D20)-E20</f>
        <v>0</v>
      </c>
    </row>
    <row r="21" spans="1:11" ht="14.25" thickTop="1" thickBot="1" x14ac:dyDescent="0.25">
      <c r="A21" s="2199" t="s">
        <v>631</v>
      </c>
      <c r="B21" s="2200"/>
      <c r="C21" s="1755">
        <f>SUM(C17:C20)</f>
        <v>0</v>
      </c>
      <c r="D21" s="1755">
        <f>SUM(D17:D20)</f>
        <v>0</v>
      </c>
      <c r="E21" s="1755">
        <f>SUM(E17:E20)</f>
        <v>0</v>
      </c>
      <c r="F21" s="1755">
        <f>SUM(F17:F20)</f>
        <v>0</v>
      </c>
      <c r="G21" s="552"/>
    </row>
    <row r="22" spans="1:11" ht="15.75" customHeight="1" thickTop="1" x14ac:dyDescent="0.2">
      <c r="A22" s="2224" t="s">
        <v>1111</v>
      </c>
      <c r="B22" s="2198"/>
      <c r="C22" s="2206"/>
      <c r="D22" s="2207"/>
      <c r="E22" s="2207"/>
      <c r="F22" s="2208"/>
    </row>
    <row r="23" spans="1:11" ht="13.5" thickBot="1" x14ac:dyDescent="0.25">
      <c r="A23" s="2212" t="s">
        <v>632</v>
      </c>
      <c r="B23" s="2213"/>
      <c r="C23" s="581"/>
      <c r="D23" s="581"/>
      <c r="E23" s="581"/>
      <c r="F23" s="1755">
        <f>SUM(C23+D23)-E23</f>
        <v>0</v>
      </c>
      <c r="G23" s="552"/>
    </row>
    <row r="24" spans="1:11" ht="15.75" customHeight="1" thickTop="1" x14ac:dyDescent="0.2">
      <c r="A24" s="2224" t="s">
        <v>1112</v>
      </c>
      <c r="B24" s="2198"/>
      <c r="C24" s="2206"/>
      <c r="D24" s="2207"/>
      <c r="E24" s="2207"/>
      <c r="F24" s="2208"/>
    </row>
    <row r="25" spans="1:11" ht="13.5" thickBot="1" x14ac:dyDescent="0.25">
      <c r="A25" s="2212" t="s">
        <v>633</v>
      </c>
      <c r="B25" s="2213"/>
      <c r="C25" s="581"/>
      <c r="D25" s="581"/>
      <c r="E25" s="581"/>
      <c r="F25" s="1755">
        <f>SUM(C25+D25)-E25</f>
        <v>0</v>
      </c>
      <c r="G25" s="552"/>
    </row>
    <row r="26" spans="1:11" ht="15.75" customHeight="1" thickTop="1" x14ac:dyDescent="0.2">
      <c r="A26" s="2197" t="s">
        <v>656</v>
      </c>
      <c r="B26" s="2198"/>
      <c r="C26" s="727"/>
      <c r="D26" s="727"/>
      <c r="E26" s="727"/>
      <c r="F26" s="728"/>
    </row>
    <row r="27" spans="1:11" ht="13.5" thickBot="1" x14ac:dyDescent="0.25">
      <c r="A27" s="2199" t="s">
        <v>1069</v>
      </c>
      <c r="B27" s="2200"/>
      <c r="C27" s="585"/>
      <c r="D27" s="585"/>
      <c r="E27" s="585"/>
      <c r="F27" s="1755">
        <f>SUM(C27+D27)-E27</f>
        <v>0</v>
      </c>
      <c r="G27" s="552"/>
    </row>
    <row r="28" spans="1:11" ht="7.5" customHeight="1" thickTop="1" x14ac:dyDescent="0.2">
      <c r="A28" s="593"/>
    </row>
    <row r="29" spans="1:11" ht="23.25" customHeight="1" x14ac:dyDescent="0.2">
      <c r="A29" s="2225" t="s">
        <v>581</v>
      </c>
      <c r="B29" s="2202"/>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2074</v>
      </c>
      <c r="B31" s="733">
        <v>39248</v>
      </c>
      <c r="C31" s="734">
        <v>10935000</v>
      </c>
      <c r="D31" s="735">
        <v>3</v>
      </c>
      <c r="E31" s="734">
        <v>3115000</v>
      </c>
      <c r="F31" s="734"/>
      <c r="G31" s="734"/>
      <c r="H31" s="734">
        <v>1610000</v>
      </c>
      <c r="I31" s="1756">
        <f>((E31+F31)-H31)+G31</f>
        <v>1505000</v>
      </c>
      <c r="J31" s="734">
        <v>1439335</v>
      </c>
      <c r="K31" s="736"/>
    </row>
    <row r="32" spans="1:11" ht="12" customHeight="1" x14ac:dyDescent="0.2">
      <c r="A32" s="732" t="s">
        <v>2075</v>
      </c>
      <c r="B32" s="733">
        <v>40497</v>
      </c>
      <c r="C32" s="734">
        <v>8165000</v>
      </c>
      <c r="D32" s="735">
        <v>3</v>
      </c>
      <c r="E32" s="734">
        <v>8165000</v>
      </c>
      <c r="F32" s="734"/>
      <c r="G32" s="734"/>
      <c r="H32" s="734"/>
      <c r="I32" s="1756">
        <f>((E32+F32)-H32)+G32</f>
        <v>8165000</v>
      </c>
      <c r="J32" s="734">
        <v>7808752</v>
      </c>
      <c r="K32" s="736"/>
    </row>
    <row r="33" spans="1:11" ht="12" customHeight="1" x14ac:dyDescent="0.2">
      <c r="A33" s="732" t="s">
        <v>2076</v>
      </c>
      <c r="B33" s="733">
        <v>40497</v>
      </c>
      <c r="C33" s="734">
        <v>10470000</v>
      </c>
      <c r="D33" s="735">
        <v>3</v>
      </c>
      <c r="E33" s="734">
        <v>8480000</v>
      </c>
      <c r="F33" s="734"/>
      <c r="G33" s="734"/>
      <c r="H33" s="734">
        <v>700000</v>
      </c>
      <c r="I33" s="1756">
        <f t="shared" ref="I33:I48" si="1">((E33+F33)-H33)+G33</f>
        <v>7780000</v>
      </c>
      <c r="J33" s="734">
        <v>7440550</v>
      </c>
      <c r="K33" s="736"/>
    </row>
    <row r="34" spans="1:11" ht="12" customHeight="1" x14ac:dyDescent="0.2">
      <c r="A34" s="732" t="s">
        <v>2077</v>
      </c>
      <c r="B34" s="733">
        <v>41271</v>
      </c>
      <c r="C34" s="734">
        <v>6350000</v>
      </c>
      <c r="D34" s="735">
        <v>3</v>
      </c>
      <c r="E34" s="734">
        <v>4615000</v>
      </c>
      <c r="F34" s="734"/>
      <c r="G34" s="734"/>
      <c r="H34" s="734">
        <v>965000</v>
      </c>
      <c r="I34" s="1756">
        <f t="shared" si="1"/>
        <v>3650000</v>
      </c>
      <c r="J34" s="734">
        <v>3490747</v>
      </c>
      <c r="K34" s="737"/>
    </row>
    <row r="35" spans="1:11" ht="12" customHeight="1" x14ac:dyDescent="0.2">
      <c r="A35" s="732" t="s">
        <v>2078</v>
      </c>
      <c r="B35" s="733">
        <v>41527</v>
      </c>
      <c r="C35" s="738">
        <v>7670000</v>
      </c>
      <c r="D35" s="735">
        <v>3</v>
      </c>
      <c r="E35" s="738">
        <v>3260000</v>
      </c>
      <c r="F35" s="738"/>
      <c r="G35" s="738"/>
      <c r="H35" s="738">
        <v>1270000</v>
      </c>
      <c r="I35" s="1756">
        <f t="shared" si="1"/>
        <v>1990000</v>
      </c>
      <c r="J35" s="738">
        <v>1903174</v>
      </c>
      <c r="K35" s="737"/>
    </row>
    <row r="36" spans="1:11" ht="12" customHeight="1" x14ac:dyDescent="0.2">
      <c r="A36" s="732" t="s">
        <v>2079</v>
      </c>
      <c r="B36" s="733">
        <v>42298</v>
      </c>
      <c r="C36" s="734">
        <v>9635000</v>
      </c>
      <c r="D36" s="735">
        <v>3</v>
      </c>
      <c r="E36" s="734">
        <v>9635000</v>
      </c>
      <c r="F36" s="734"/>
      <c r="G36" s="734"/>
      <c r="H36" s="734"/>
      <c r="I36" s="1756">
        <f t="shared" si="1"/>
        <v>9635000</v>
      </c>
      <c r="J36" s="734">
        <v>9214615</v>
      </c>
      <c r="K36" s="739"/>
    </row>
    <row r="37" spans="1:11" ht="12" customHeight="1" x14ac:dyDescent="0.2">
      <c r="A37" s="732" t="s">
        <v>2080</v>
      </c>
      <c r="B37" s="733"/>
      <c r="C37" s="467">
        <v>848000</v>
      </c>
      <c r="D37" s="740"/>
      <c r="E37" s="467">
        <v>323000</v>
      </c>
      <c r="F37" s="467"/>
      <c r="G37" s="467"/>
      <c r="H37" s="467">
        <v>323000</v>
      </c>
      <c r="I37" s="1756">
        <f t="shared" si="1"/>
        <v>0</v>
      </c>
      <c r="J37" s="467">
        <v>0</v>
      </c>
      <c r="K37" s="737"/>
    </row>
    <row r="38" spans="1:11" ht="12" customHeight="1" x14ac:dyDescent="0.2">
      <c r="A38" s="732" t="s">
        <v>2081</v>
      </c>
      <c r="B38" s="733"/>
      <c r="C38" s="734">
        <v>2865000</v>
      </c>
      <c r="D38" s="741"/>
      <c r="E38" s="742">
        <v>2865000</v>
      </c>
      <c r="F38" s="742"/>
      <c r="G38" s="742"/>
      <c r="H38" s="742"/>
      <c r="I38" s="1756">
        <f t="shared" si="1"/>
        <v>2865000</v>
      </c>
      <c r="J38" s="743">
        <v>2739997</v>
      </c>
      <c r="K38" s="744"/>
    </row>
    <row r="39" spans="1:11" ht="12" customHeight="1" x14ac:dyDescent="0.2">
      <c r="A39" s="732" t="s">
        <v>2082</v>
      </c>
      <c r="B39" s="733"/>
      <c r="C39" s="734">
        <v>22540000</v>
      </c>
      <c r="D39" s="741"/>
      <c r="E39" s="742">
        <v>22540000</v>
      </c>
      <c r="F39" s="742"/>
      <c r="G39" s="742"/>
      <c r="H39" s="742"/>
      <c r="I39" s="1756">
        <f t="shared" si="1"/>
        <v>22540000</v>
      </c>
      <c r="J39" s="743">
        <v>21556556</v>
      </c>
      <c r="K39" s="744"/>
    </row>
    <row r="40" spans="1:11" ht="12" customHeight="1" x14ac:dyDescent="0.2">
      <c r="A40" s="732" t="s">
        <v>2083</v>
      </c>
      <c r="B40" s="733"/>
      <c r="C40" s="734">
        <v>5460000</v>
      </c>
      <c r="D40" s="741"/>
      <c r="E40" s="742">
        <v>5460000</v>
      </c>
      <c r="F40" s="742"/>
      <c r="G40" s="742"/>
      <c r="H40" s="742"/>
      <c r="I40" s="1756">
        <f t="shared" si="1"/>
        <v>5460000</v>
      </c>
      <c r="J40" s="743">
        <v>5221775</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84938000</v>
      </c>
      <c r="D49" s="745"/>
      <c r="E49" s="1756">
        <f t="shared" ref="E49:J49" si="2">SUM(E31:E48)</f>
        <v>68458000</v>
      </c>
      <c r="F49" s="1756">
        <f t="shared" si="2"/>
        <v>0</v>
      </c>
      <c r="G49" s="1756">
        <f t="shared" si="2"/>
        <v>0</v>
      </c>
      <c r="H49" s="1756">
        <f t="shared" si="2"/>
        <v>4868000</v>
      </c>
      <c r="I49" s="1756">
        <f t="shared" si="2"/>
        <v>63590000</v>
      </c>
      <c r="J49" s="1756">
        <f t="shared" si="2"/>
        <v>60815501</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16" t="s">
        <v>583</v>
      </c>
      <c r="C52" s="2217"/>
      <c r="D52" s="2217"/>
      <c r="E52" s="749" t="s">
        <v>844</v>
      </c>
      <c r="F52" s="2218"/>
      <c r="G52" s="2219"/>
      <c r="H52" s="736"/>
      <c r="I52" s="736"/>
      <c r="J52" s="746"/>
    </row>
    <row r="53" spans="1:11" ht="11.25" customHeight="1" x14ac:dyDescent="0.2">
      <c r="A53" s="750" t="s">
        <v>912</v>
      </c>
      <c r="B53" s="751" t="s">
        <v>950</v>
      </c>
      <c r="C53" s="746"/>
      <c r="D53" s="737"/>
      <c r="E53" s="749" t="s">
        <v>496</v>
      </c>
      <c r="F53" s="2220"/>
      <c r="G53" s="2221"/>
      <c r="H53" s="736"/>
      <c r="I53" s="736"/>
      <c r="J53" s="746"/>
    </row>
    <row r="54" spans="1:11" ht="11.25" customHeight="1" x14ac:dyDescent="0.2">
      <c r="A54" s="752" t="s">
        <v>913</v>
      </c>
      <c r="B54" s="747" t="s">
        <v>951</v>
      </c>
      <c r="C54" s="746"/>
      <c r="D54" s="737"/>
      <c r="E54" s="749" t="s">
        <v>497</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855</v>
      </c>
      <c r="B1" s="2251"/>
      <c r="C1" s="2251"/>
      <c r="D1" s="2251"/>
      <c r="E1" s="2251"/>
      <c r="F1" s="2251"/>
      <c r="G1" s="2252"/>
      <c r="H1" s="1530"/>
      <c r="I1" s="760"/>
      <c r="J1" s="433"/>
    </row>
    <row r="2" spans="1:11" ht="26.25" x14ac:dyDescent="0.2">
      <c r="A2" s="2229" t="s">
        <v>1676</v>
      </c>
      <c r="B2" s="2230"/>
      <c r="C2" s="2230"/>
      <c r="D2" s="2230"/>
      <c r="E2" s="2231"/>
      <c r="F2" s="761" t="s">
        <v>903</v>
      </c>
      <c r="G2" s="762" t="s">
        <v>1673</v>
      </c>
      <c r="H2" s="762" t="s">
        <v>409</v>
      </c>
      <c r="I2" s="762" t="s">
        <v>1157</v>
      </c>
      <c r="J2" s="762" t="s">
        <v>1808</v>
      </c>
      <c r="K2" s="762" t="s">
        <v>138</v>
      </c>
    </row>
    <row r="3" spans="1:11" x14ac:dyDescent="0.2">
      <c r="A3" s="2232" t="s">
        <v>1960</v>
      </c>
      <c r="B3" s="2233"/>
      <c r="C3" s="2233"/>
      <c r="D3" s="2233"/>
      <c r="E3" s="2234"/>
      <c r="F3" s="763"/>
      <c r="G3" s="764"/>
      <c r="H3" s="764">
        <v>0</v>
      </c>
      <c r="I3" s="764"/>
      <c r="J3" s="765"/>
      <c r="K3" s="765"/>
    </row>
    <row r="4" spans="1:11" x14ac:dyDescent="0.2">
      <c r="A4" s="2235" t="s">
        <v>368</v>
      </c>
      <c r="B4" s="2236"/>
      <c r="C4" s="2236"/>
      <c r="D4" s="2236"/>
      <c r="E4" s="2217"/>
      <c r="F4" s="766"/>
      <c r="G4" s="767"/>
      <c r="H4" s="768"/>
      <c r="I4" s="767"/>
      <c r="J4" s="769"/>
      <c r="K4" s="769"/>
    </row>
    <row r="5" spans="1:11" x14ac:dyDescent="0.2">
      <c r="A5" s="2253" t="s">
        <v>1068</v>
      </c>
      <c r="B5" s="2226"/>
      <c r="C5" s="2226"/>
      <c r="D5" s="2226"/>
      <c r="E5" s="2254"/>
      <c r="F5" s="770" t="s">
        <v>847</v>
      </c>
      <c r="G5" s="771"/>
      <c r="H5" s="764">
        <v>42947</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53" t="s">
        <v>1809</v>
      </c>
      <c r="B10" s="2226"/>
      <c r="C10" s="2226"/>
      <c r="D10" s="2226"/>
      <c r="E10" s="2255"/>
      <c r="F10" s="783" t="s">
        <v>861</v>
      </c>
      <c r="G10" s="782"/>
      <c r="H10" s="784"/>
      <c r="I10" s="764"/>
      <c r="J10" s="765"/>
      <c r="K10" s="765"/>
    </row>
    <row r="11" spans="1:11" x14ac:dyDescent="0.2">
      <c r="A11" s="2253" t="s">
        <v>160</v>
      </c>
      <c r="B11" s="2226"/>
      <c r="C11" s="2226"/>
      <c r="D11" s="2226"/>
      <c r="E11" s="2254"/>
      <c r="F11" s="770" t="s">
        <v>851</v>
      </c>
      <c r="G11" s="771"/>
      <c r="H11" s="764"/>
      <c r="I11" s="764"/>
      <c r="J11" s="765"/>
      <c r="K11" s="773"/>
    </row>
    <row r="12" spans="1:11" ht="13.5" thickBot="1" x14ac:dyDescent="0.25">
      <c r="A12" s="2243" t="s">
        <v>904</v>
      </c>
      <c r="B12" s="2244"/>
      <c r="C12" s="2244"/>
      <c r="D12" s="2244"/>
      <c r="E12" s="2245"/>
      <c r="F12" s="1757"/>
      <c r="G12" s="1758">
        <f>SUM(G5:G11)</f>
        <v>0</v>
      </c>
      <c r="H12" s="1758">
        <f>SUM(H5:H11)</f>
        <v>42947</v>
      </c>
      <c r="I12" s="1758">
        <f>SUM(I5:I11)</f>
        <v>0</v>
      </c>
      <c r="J12" s="1758">
        <f>SUM(J5:J11)</f>
        <v>0</v>
      </c>
      <c r="K12" s="1758">
        <f>SUM(K5:K11)</f>
        <v>0</v>
      </c>
    </row>
    <row r="13" spans="1:11" ht="13.5" thickTop="1" x14ac:dyDescent="0.2">
      <c r="A13" s="2237" t="s">
        <v>369</v>
      </c>
      <c r="B13" s="2238"/>
      <c r="C13" s="2238"/>
      <c r="D13" s="2238"/>
      <c r="E13" s="2239"/>
      <c r="F13" s="785"/>
      <c r="G13" s="786"/>
      <c r="H13" s="787"/>
      <c r="I13" s="788"/>
      <c r="J13" s="788"/>
      <c r="K13" s="788"/>
    </row>
    <row r="14" spans="1:11" x14ac:dyDescent="0.2">
      <c r="A14" s="2259" t="s">
        <v>455</v>
      </c>
      <c r="B14" s="2259"/>
      <c r="C14" s="2259"/>
      <c r="D14" s="2259"/>
      <c r="E14" s="2260"/>
      <c r="F14" s="789" t="s">
        <v>853</v>
      </c>
      <c r="G14" s="782"/>
      <c r="H14" s="764">
        <v>42947</v>
      </c>
      <c r="I14" s="771"/>
      <c r="J14" s="773"/>
      <c r="K14" s="765"/>
    </row>
    <row r="15" spans="1:11" x14ac:dyDescent="0.2">
      <c r="A15" s="2226" t="s">
        <v>4</v>
      </c>
      <c r="B15" s="2226"/>
      <c r="C15" s="2226"/>
      <c r="D15" s="2226"/>
      <c r="E15" s="2254"/>
      <c r="F15" s="789" t="s">
        <v>854</v>
      </c>
      <c r="G15" s="771"/>
      <c r="H15" s="764"/>
      <c r="I15" s="764"/>
      <c r="J15" s="765"/>
      <c r="K15" s="765"/>
    </row>
    <row r="16" spans="1:11" x14ac:dyDescent="0.2">
      <c r="A16" s="2226" t="s">
        <v>297</v>
      </c>
      <c r="B16" s="2226"/>
      <c r="C16" s="2226"/>
      <c r="D16" s="2226"/>
      <c r="E16" s="2254"/>
      <c r="F16" s="789" t="s">
        <v>922</v>
      </c>
      <c r="G16" s="772"/>
      <c r="H16" s="767"/>
      <c r="I16" s="767"/>
      <c r="J16" s="769"/>
      <c r="K16" s="769"/>
    </row>
    <row r="17" spans="1:11" x14ac:dyDescent="0.2">
      <c r="A17" s="2248" t="s">
        <v>934</v>
      </c>
      <c r="B17" s="2248"/>
      <c r="C17" s="2248"/>
      <c r="D17" s="2248"/>
      <c r="E17" s="2249"/>
      <c r="F17" s="790"/>
      <c r="G17" s="791"/>
      <c r="H17" s="792"/>
      <c r="I17" s="792"/>
      <c r="J17" s="793"/>
      <c r="K17" s="794"/>
    </row>
    <row r="18" spans="1:11" x14ac:dyDescent="0.2">
      <c r="A18" s="2240" t="s">
        <v>367</v>
      </c>
      <c r="B18" s="2241"/>
      <c r="C18" s="2241"/>
      <c r="D18" s="2241"/>
      <c r="E18" s="2242"/>
      <c r="F18" s="789" t="s">
        <v>931</v>
      </c>
      <c r="G18" s="782"/>
      <c r="H18" s="782"/>
      <c r="I18" s="782"/>
      <c r="J18" s="765"/>
      <c r="K18" s="795"/>
    </row>
    <row r="19" spans="1:11" ht="21.75" customHeight="1" x14ac:dyDescent="0.2">
      <c r="A19" s="2261" t="s">
        <v>1805</v>
      </c>
      <c r="B19" s="2261"/>
      <c r="C19" s="2261"/>
      <c r="D19" s="2261"/>
      <c r="E19" s="2262"/>
      <c r="F19" s="789" t="s">
        <v>932</v>
      </c>
      <c r="G19" s="782"/>
      <c r="H19" s="782"/>
      <c r="I19" s="782"/>
      <c r="J19" s="765"/>
      <c r="K19" s="795"/>
    </row>
    <row r="20" spans="1:11" x14ac:dyDescent="0.2">
      <c r="A20" s="2240" t="s">
        <v>1810</v>
      </c>
      <c r="B20" s="2241"/>
      <c r="C20" s="2241"/>
      <c r="D20" s="2241"/>
      <c r="E20" s="2242"/>
      <c r="F20" s="789" t="s">
        <v>933</v>
      </c>
      <c r="G20" s="782"/>
      <c r="H20" s="782"/>
      <c r="I20" s="782"/>
      <c r="J20" s="765"/>
      <c r="K20" s="795"/>
    </row>
    <row r="21" spans="1:11" ht="13.5" thickBot="1" x14ac:dyDescent="0.25">
      <c r="A21" s="2246" t="s">
        <v>637</v>
      </c>
      <c r="B21" s="2246"/>
      <c r="C21" s="2246"/>
      <c r="D21" s="2246"/>
      <c r="E21" s="2246"/>
      <c r="F21" s="1759"/>
      <c r="G21" s="792"/>
      <c r="H21" s="796"/>
      <c r="I21" s="796"/>
      <c r="J21" s="1760">
        <f>SUM(J18:J20)</f>
        <v>0</v>
      </c>
      <c r="K21" s="793"/>
    </row>
    <row r="22" spans="1:11" ht="13.5" thickTop="1" x14ac:dyDescent="0.2">
      <c r="A22" s="2226" t="s">
        <v>1811</v>
      </c>
      <c r="B22" s="2226"/>
      <c r="C22" s="2226"/>
      <c r="D22" s="2226"/>
      <c r="E22" s="2254"/>
      <c r="F22" s="789" t="s">
        <v>861</v>
      </c>
      <c r="G22" s="782"/>
      <c r="H22" s="764"/>
      <c r="I22" s="764"/>
      <c r="J22" s="797"/>
      <c r="K22" s="765"/>
    </row>
    <row r="23" spans="1:11" ht="13.5" thickBot="1" x14ac:dyDescent="0.25">
      <c r="A23" s="2247" t="s">
        <v>905</v>
      </c>
      <c r="B23" s="2246"/>
      <c r="C23" s="2246"/>
      <c r="D23" s="2246"/>
      <c r="E23" s="2246"/>
      <c r="F23" s="1761"/>
      <c r="G23" s="1758">
        <f>SUM(G14:G16,G21,G22)</f>
        <v>0</v>
      </c>
      <c r="H23" s="1758">
        <f>SUM(H14:H16,H21,H22)</f>
        <v>42947</v>
      </c>
      <c r="I23" s="1758">
        <f>SUM(I14:I16,I21,I22)</f>
        <v>0</v>
      </c>
      <c r="J23" s="1758">
        <f>SUM(J14:J16,J21,J22)</f>
        <v>0</v>
      </c>
      <c r="K23" s="1758">
        <f>SUM(K14:K16,K21,K22)</f>
        <v>0</v>
      </c>
    </row>
    <row r="24" spans="1:11" ht="14.25" thickTop="1" thickBot="1" x14ac:dyDescent="0.25">
      <c r="A24" s="2247" t="s">
        <v>1961</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56"/>
      <c r="I31" s="2257"/>
      <c r="J31" s="2257"/>
      <c r="K31" s="2257"/>
    </row>
    <row r="32" spans="1:11" x14ac:dyDescent="0.2">
      <c r="A32" s="809"/>
      <c r="B32" s="237"/>
      <c r="C32" s="237"/>
      <c r="D32" s="237"/>
      <c r="E32" s="805"/>
      <c r="F32" s="811" t="s">
        <v>539</v>
      </c>
      <c r="G32" s="764"/>
      <c r="H32" s="2258"/>
      <c r="I32" s="2257"/>
      <c r="J32" s="2257"/>
      <c r="K32" s="2257"/>
    </row>
    <row r="33" spans="1:11" ht="1.5" customHeight="1" x14ac:dyDescent="0.2">
      <c r="A33" s="812" t="s">
        <v>1168</v>
      </c>
      <c r="B33" s="364"/>
      <c r="C33" s="364"/>
      <c r="D33" s="364"/>
      <c r="E33" s="364"/>
      <c r="F33" s="364"/>
      <c r="G33" s="813"/>
      <c r="H33" s="2258"/>
      <c r="I33" s="2257"/>
      <c r="J33" s="2257"/>
      <c r="K33" s="2257"/>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6" t="s">
        <v>540</v>
      </c>
      <c r="B41" s="2227"/>
      <c r="C41" s="2227"/>
      <c r="D41" s="2227"/>
      <c r="E41" s="2227"/>
      <c r="F41" s="222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1905</v>
      </c>
      <c r="B1" s="2266"/>
      <c r="C1" s="2267"/>
      <c r="D1" s="826"/>
      <c r="E1" s="827"/>
      <c r="F1" s="827"/>
      <c r="G1" s="828"/>
      <c r="H1" s="829"/>
      <c r="I1" s="830"/>
      <c r="J1" s="2263"/>
      <c r="K1" s="2264"/>
      <c r="L1" s="226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1816850</v>
      </c>
      <c r="D5" s="841"/>
      <c r="E5" s="841"/>
      <c r="F5" s="1760">
        <f>(C5+D5)-E5</f>
        <v>1816850</v>
      </c>
      <c r="G5" s="837"/>
      <c r="H5" s="842"/>
      <c r="I5" s="842"/>
      <c r="J5" s="842"/>
      <c r="K5" s="793"/>
      <c r="L5" s="1769">
        <f>F5-K5</f>
        <v>1816850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93966860</v>
      </c>
      <c r="D8" s="844">
        <v>7089811</v>
      </c>
      <c r="E8" s="844"/>
      <c r="F8" s="1760">
        <f>(C8+D8)-E8</f>
        <v>101056671</v>
      </c>
      <c r="G8" s="843">
        <v>50</v>
      </c>
      <c r="H8" s="765">
        <v>29027946</v>
      </c>
      <c r="I8" s="765">
        <v>2588755</v>
      </c>
      <c r="J8" s="765"/>
      <c r="K8" s="1769">
        <f>(H8+I8)-J8</f>
        <v>31616701</v>
      </c>
      <c r="L8" s="1769">
        <f>F8-K8</f>
        <v>69439970</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c r="D10" s="846"/>
      <c r="E10" s="846"/>
      <c r="F10" s="1764">
        <f>(C10+D10)-E10</f>
        <v>0</v>
      </c>
      <c r="G10" s="843">
        <v>20</v>
      </c>
      <c r="H10" s="847"/>
      <c r="I10" s="847"/>
      <c r="J10" s="847"/>
      <c r="K10" s="1769">
        <f>(H10+I10)-J10</f>
        <v>0</v>
      </c>
      <c r="L10" s="1769">
        <f>F10-K10</f>
        <v>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7695053</v>
      </c>
      <c r="D12" s="844">
        <v>154340</v>
      </c>
      <c r="E12" s="844"/>
      <c r="F12" s="1760">
        <f>(C12+D12)-E12</f>
        <v>7849393</v>
      </c>
      <c r="G12" s="843">
        <v>10</v>
      </c>
      <c r="H12" s="765">
        <v>5664683</v>
      </c>
      <c r="I12" s="765">
        <v>180943</v>
      </c>
      <c r="J12" s="765"/>
      <c r="K12" s="1769">
        <f>(H12+I12)-J12</f>
        <v>5845626</v>
      </c>
      <c r="L12" s="1769">
        <f>F12-K12</f>
        <v>2003767</v>
      </c>
    </row>
    <row r="13" spans="1:14" ht="14.25" thickTop="1" thickBot="1" x14ac:dyDescent="0.25">
      <c r="A13" s="848" t="s">
        <v>1121</v>
      </c>
      <c r="B13" s="840">
        <v>252</v>
      </c>
      <c r="C13" s="844">
        <v>787796</v>
      </c>
      <c r="D13" s="844"/>
      <c r="E13" s="844"/>
      <c r="F13" s="1760">
        <f>(C13+D13)-E13</f>
        <v>787796</v>
      </c>
      <c r="G13" s="843">
        <v>5</v>
      </c>
      <c r="H13" s="765">
        <v>752325</v>
      </c>
      <c r="I13" s="765">
        <v>35471</v>
      </c>
      <c r="J13" s="765"/>
      <c r="K13" s="1769">
        <f>(H13+I13)-J13</f>
        <v>787796</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5243610</v>
      </c>
      <c r="D15" s="844"/>
      <c r="E15" s="844">
        <v>5243610</v>
      </c>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109510169</v>
      </c>
      <c r="D16" s="1760">
        <f>SUM(D3,D5:D6,D8:D10,D12:D15)</f>
        <v>7244151</v>
      </c>
      <c r="E16" s="1760">
        <f>SUM(E3,E5:E6,E8:E10,E12:E15)</f>
        <v>5243610</v>
      </c>
      <c r="F16" s="1760">
        <f>SUM(F3,F5:F6,F8:F10,F12:F15)</f>
        <v>111510710</v>
      </c>
      <c r="G16" s="843"/>
      <c r="H16" s="1760">
        <f>SUM(H3,H6,H8:H10,H12:H14,)</f>
        <v>35444954</v>
      </c>
      <c r="I16" s="1760">
        <f>SUM(I3,I6,I8:I10,I12:I14,)</f>
        <v>2805169</v>
      </c>
      <c r="J16" s="1760">
        <f>SUM(J3,J6,J8:J10,J12:J14,)</f>
        <v>0</v>
      </c>
      <c r="K16" s="1760">
        <f>(H16+I16)-J16</f>
        <v>38250123</v>
      </c>
      <c r="L16" s="1760">
        <f>F16-K16</f>
        <v>73260587</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1231941</v>
      </c>
      <c r="G17" s="837">
        <v>10</v>
      </c>
      <c r="H17" s="769"/>
      <c r="I17" s="1769">
        <f>F17/G17</f>
        <v>123194.1</v>
      </c>
      <c r="J17" s="769"/>
      <c r="K17" s="795"/>
      <c r="L17" s="795"/>
    </row>
    <row r="18" spans="1:12" ht="14.25" thickTop="1" thickBot="1" x14ac:dyDescent="0.25">
      <c r="A18" s="1767" t="s">
        <v>684</v>
      </c>
      <c r="B18" s="1768"/>
      <c r="C18" s="771"/>
      <c r="D18" s="771"/>
      <c r="E18" s="771"/>
      <c r="F18" s="850"/>
      <c r="G18" s="851"/>
      <c r="H18" s="773"/>
      <c r="I18" s="1760">
        <f>SUM(I16,I17)</f>
        <v>2928363.1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5" activePane="bottomLeft" state="frozen"/>
      <selection activeCell="A47" sqref="A47"/>
      <selection pane="bottomLeft" activeCell="F123" sqref="F12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1" t="s">
        <v>1971</v>
      </c>
      <c r="B1" s="2272"/>
      <c r="C1" s="2272"/>
      <c r="D1" s="2272"/>
      <c r="E1" s="2272"/>
      <c r="F1" s="2273"/>
      <c r="G1" s="855"/>
    </row>
    <row r="2" spans="1:7" ht="15" customHeight="1" thickBot="1" x14ac:dyDescent="0.25">
      <c r="A2" s="2274" t="s">
        <v>476</v>
      </c>
      <c r="B2" s="2275"/>
      <c r="C2" s="2275"/>
      <c r="D2" s="2275"/>
      <c r="E2" s="2275"/>
      <c r="F2" s="227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7"/>
      <c r="B5" s="2278"/>
      <c r="C5" s="2278"/>
      <c r="D5" s="2278"/>
      <c r="E5" s="2278"/>
      <c r="F5" s="2278"/>
    </row>
    <row r="6" spans="1:7" ht="13.5" customHeight="1" thickBot="1" x14ac:dyDescent="0.25">
      <c r="A6" s="2268" t="s">
        <v>1103</v>
      </c>
      <c r="B6" s="2269"/>
      <c r="C6" s="2269"/>
      <c r="D6" s="2269"/>
      <c r="E6" s="2269"/>
      <c r="F6" s="227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39150867</v>
      </c>
      <c r="G8" s="865"/>
    </row>
    <row r="9" spans="1:7" x14ac:dyDescent="0.2">
      <c r="A9" s="869" t="s">
        <v>459</v>
      </c>
      <c r="B9" s="870" t="s">
        <v>1873</v>
      </c>
      <c r="C9" s="871"/>
      <c r="D9" s="869" t="s">
        <v>500</v>
      </c>
      <c r="E9" s="868"/>
      <c r="F9" s="1909">
        <f>'Expenditures 15-22'!K151</f>
        <v>4070625</v>
      </c>
      <c r="G9" s="872"/>
    </row>
    <row r="10" spans="1:7" x14ac:dyDescent="0.2">
      <c r="A10" s="869" t="s">
        <v>498</v>
      </c>
      <c r="B10" s="870" t="s">
        <v>1874</v>
      </c>
      <c r="C10" s="871"/>
      <c r="D10" s="869" t="s">
        <v>500</v>
      </c>
      <c r="E10" s="868"/>
      <c r="F10" s="1909">
        <f>'Expenditures 15-22'!K174</f>
        <v>7263265</v>
      </c>
      <c r="G10" s="872"/>
    </row>
    <row r="11" spans="1:7" x14ac:dyDescent="0.2">
      <c r="A11" s="869" t="s">
        <v>460</v>
      </c>
      <c r="B11" s="870" t="s">
        <v>1875</v>
      </c>
      <c r="C11" s="871"/>
      <c r="D11" s="869" t="s">
        <v>500</v>
      </c>
      <c r="E11" s="868"/>
      <c r="F11" s="1909">
        <f>'Expenditures 15-22'!K210</f>
        <v>3754642</v>
      </c>
      <c r="G11" s="872"/>
    </row>
    <row r="12" spans="1:7" x14ac:dyDescent="0.2">
      <c r="A12" s="869" t="s">
        <v>461</v>
      </c>
      <c r="B12" s="870" t="s">
        <v>1876</v>
      </c>
      <c r="C12" s="871"/>
      <c r="D12" s="869" t="s">
        <v>500</v>
      </c>
      <c r="E12" s="868"/>
      <c r="F12" s="1909">
        <f>'Expenditures 15-22'!K295</f>
        <v>1732853</v>
      </c>
      <c r="G12" s="872"/>
    </row>
    <row r="13" spans="1:7" x14ac:dyDescent="0.2">
      <c r="A13" s="869" t="s">
        <v>106</v>
      </c>
      <c r="B13" s="870" t="s">
        <v>1877</v>
      </c>
      <c r="C13" s="871"/>
      <c r="D13" s="869" t="s">
        <v>500</v>
      </c>
      <c r="E13" s="868"/>
      <c r="F13" s="1909">
        <f>'Expenditures 15-22'!K342</f>
        <v>519685</v>
      </c>
      <c r="G13" s="873"/>
    </row>
    <row r="14" spans="1:7" ht="12" customHeight="1" thickBot="1" x14ac:dyDescent="0.25">
      <c r="A14" s="1770"/>
      <c r="B14" s="1771"/>
      <c r="C14" s="1772"/>
      <c r="D14" s="1773" t="s">
        <v>500</v>
      </c>
      <c r="E14" s="1774" t="s">
        <v>957</v>
      </c>
      <c r="F14" s="1775">
        <f>SUM(F8:F13)</f>
        <v>56491937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69518</v>
      </c>
      <c r="G52" s="865"/>
    </row>
    <row r="53" spans="1:7" x14ac:dyDescent="0.2">
      <c r="A53" s="869" t="s">
        <v>458</v>
      </c>
      <c r="B53" s="869" t="s">
        <v>1474</v>
      </c>
      <c r="C53" s="889">
        <f>'Expenditures 15-22'!B102</f>
        <v>4000</v>
      </c>
      <c r="D53" s="888" t="str">
        <f>'Expenditures 15-22'!A102</f>
        <v>Total Payments to Other Govt Units</v>
      </c>
      <c r="E53" s="868"/>
      <c r="F53" s="1913">
        <f>'Expenditures 15-22'!K102</f>
        <v>1906712</v>
      </c>
      <c r="G53" s="865"/>
    </row>
    <row r="54" spans="1:7" x14ac:dyDescent="0.2">
      <c r="A54" s="869" t="s">
        <v>458</v>
      </c>
      <c r="B54" s="869" t="s">
        <v>1475</v>
      </c>
      <c r="C54" s="889" t="s">
        <v>981</v>
      </c>
      <c r="D54" s="885" t="s">
        <v>1094</v>
      </c>
      <c r="E54" s="868"/>
      <c r="F54" s="1913">
        <f>'Expenditures 15-22'!G114</f>
        <v>142707</v>
      </c>
      <c r="G54" s="865"/>
    </row>
    <row r="55" spans="1:7" x14ac:dyDescent="0.2">
      <c r="A55" s="869" t="s">
        <v>458</v>
      </c>
      <c r="B55" s="869" t="s">
        <v>1476</v>
      </c>
      <c r="C55" s="889" t="s">
        <v>981</v>
      </c>
      <c r="D55" s="885" t="s">
        <v>290</v>
      </c>
      <c r="E55" s="868"/>
      <c r="F55" s="1913">
        <f>'Expenditures 15-22'!I114</f>
        <v>1207808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48681</v>
      </c>
      <c r="G58" s="865"/>
    </row>
    <row r="59" spans="1:7" x14ac:dyDescent="0.2">
      <c r="A59" s="893" t="s">
        <v>459</v>
      </c>
      <c r="B59" s="856" t="s">
        <v>1880</v>
      </c>
      <c r="C59" s="894" t="s">
        <v>981</v>
      </c>
      <c r="D59" s="856" t="s">
        <v>290</v>
      </c>
      <c r="F59" s="1916">
        <f>'Expenditures 15-22'!I151</f>
        <v>3233</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4868000</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19509</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749355</v>
      </c>
      <c r="G65" s="865"/>
    </row>
    <row r="66" spans="1:8" x14ac:dyDescent="0.2">
      <c r="A66" s="869" t="s">
        <v>460</v>
      </c>
      <c r="B66" s="869" t="s">
        <v>1887</v>
      </c>
      <c r="C66" s="886" t="s">
        <v>981</v>
      </c>
      <c r="D66" s="885" t="s">
        <v>290</v>
      </c>
      <c r="E66" s="868"/>
      <c r="F66" s="1913">
        <f>'Expenditures 15-22'!I210</f>
        <v>20900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0</v>
      </c>
      <c r="G71" s="865"/>
    </row>
    <row r="72" spans="1:8" x14ac:dyDescent="0.2">
      <c r="A72" s="869" t="s">
        <v>461</v>
      </c>
      <c r="B72" s="869" t="s">
        <v>1892</v>
      </c>
      <c r="C72" s="886">
        <f>'Expenditures 15-22'!B280</f>
        <v>3000</v>
      </c>
      <c r="D72" s="876" t="s">
        <v>448</v>
      </c>
      <c r="E72" s="868"/>
      <c r="F72" s="1913">
        <f>'Expenditures 15-22'!K280</f>
        <v>378</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9036801</v>
      </c>
      <c r="G76" s="865"/>
    </row>
    <row r="77" spans="1:8" s="893" customFormat="1" ht="12" customHeight="1" thickTop="1" thickBot="1" x14ac:dyDescent="0.25">
      <c r="A77" s="1779"/>
      <c r="B77" s="1776"/>
      <c r="C77" s="1772"/>
      <c r="D77" s="1777" t="s">
        <v>1896</v>
      </c>
      <c r="E77" s="1774"/>
      <c r="F77" s="1780">
        <f>(F14-F76)</f>
        <v>47455136</v>
      </c>
      <c r="G77" s="869"/>
    </row>
    <row r="78" spans="1:8" s="893" customFormat="1" ht="12" customHeight="1" thickTop="1" x14ac:dyDescent="0.2">
      <c r="A78" s="1781"/>
      <c r="B78" s="1776"/>
      <c r="C78" s="1772"/>
      <c r="D78" s="1777" t="s">
        <v>2058</v>
      </c>
      <c r="E78" s="1774"/>
      <c r="F78" s="898">
        <v>3801.7</v>
      </c>
      <c r="G78" s="899"/>
      <c r="H78" s="869"/>
    </row>
    <row r="79" spans="1:8" s="893" customFormat="1" ht="12" customHeight="1" thickBot="1" x14ac:dyDescent="0.25">
      <c r="A79" s="1782"/>
      <c r="B79" s="1776"/>
      <c r="C79" s="1772"/>
      <c r="D79" s="1777" t="s">
        <v>1897</v>
      </c>
      <c r="E79" s="1774" t="s">
        <v>957</v>
      </c>
      <c r="F79" s="1783">
        <f>IF(F78&gt;0,F77/F78," Complete Line 78")</f>
        <v>12482.609358970987</v>
      </c>
      <c r="G79" s="869"/>
    </row>
    <row r="80" spans="1:8" s="893" customFormat="1" ht="8.25" customHeight="1" thickTop="1" x14ac:dyDescent="0.2">
      <c r="A80" s="900"/>
      <c r="B80" s="869"/>
      <c r="C80" s="871"/>
      <c r="D80" s="901"/>
      <c r="E80" s="868"/>
      <c r="F80" s="902"/>
      <c r="G80" s="869"/>
    </row>
    <row r="81" spans="1:7" s="893" customFormat="1" ht="12" thickBot="1" x14ac:dyDescent="0.25">
      <c r="A81" s="2268" t="s">
        <v>1104</v>
      </c>
      <c r="B81" s="2269"/>
      <c r="C81" s="2269"/>
      <c r="D81" s="2269"/>
      <c r="E81" s="2269"/>
      <c r="F81" s="227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593479</v>
      </c>
      <c r="G94" s="912"/>
    </row>
    <row r="95" spans="1:7" x14ac:dyDescent="0.2">
      <c r="A95" s="908" t="s">
        <v>140</v>
      </c>
      <c r="B95" s="908" t="s">
        <v>175</v>
      </c>
      <c r="C95" s="910">
        <v>1700</v>
      </c>
      <c r="D95" s="918" t="str">
        <f>'Revenues 9-14'!A82</f>
        <v>Total District/School Activity Income</v>
      </c>
      <c r="E95" s="906"/>
      <c r="F95" s="1789">
        <f>SUM('Revenues 9-14'!C82,'Revenues 9-14'!D82)</f>
        <v>79821</v>
      </c>
      <c r="G95" s="912"/>
    </row>
    <row r="96" spans="1:7" x14ac:dyDescent="0.2">
      <c r="A96" s="908" t="s">
        <v>458</v>
      </c>
      <c r="B96" s="908" t="s">
        <v>176</v>
      </c>
      <c r="C96" s="910">
        <f>'Revenues 9-14'!B84</f>
        <v>1811</v>
      </c>
      <c r="D96" s="911" t="str">
        <f>'Revenues 9-14'!A84</f>
        <v>Rentals - Regular Textbooks</v>
      </c>
      <c r="E96" s="906"/>
      <c r="F96" s="1789">
        <f>'Revenues 9-14'!C84</f>
        <v>629043</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36774</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134288</v>
      </c>
      <c r="G104" s="912"/>
    </row>
    <row r="105" spans="1:7" x14ac:dyDescent="0.2">
      <c r="A105" s="908" t="s">
        <v>502</v>
      </c>
      <c r="B105" s="908" t="s">
        <v>1999</v>
      </c>
      <c r="C105" s="913">
        <v>3100</v>
      </c>
      <c r="D105" s="919" t="str">
        <f>'Revenues 9-14'!A132</f>
        <v>Total Special Education</v>
      </c>
      <c r="E105" s="906"/>
      <c r="F105" s="1789">
        <f>SUM('Revenues 9-14'!C132:D132,'Revenues 9-14'!F132)</f>
        <v>218187</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12936</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1760614</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0</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783803</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414550</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16881</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1028998</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5117</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44320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75239</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34998</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1280385</v>
      </c>
      <c r="G171" s="927"/>
    </row>
    <row r="172" spans="1:7" x14ac:dyDescent="0.2">
      <c r="A172" s="1918" t="s">
        <v>663</v>
      </c>
      <c r="B172" s="1919" t="s">
        <v>1916</v>
      </c>
      <c r="C172" s="1920">
        <v>3300</v>
      </c>
      <c r="D172" s="1921" t="s">
        <v>1919</v>
      </c>
      <c r="E172" s="906"/>
      <c r="F172" s="1906">
        <v>130046</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7279479</v>
      </c>
    </row>
    <row r="175" spans="1:7" ht="12" customHeight="1" x14ac:dyDescent="0.2">
      <c r="A175" s="1770"/>
      <c r="B175" s="1784"/>
      <c r="C175" s="1785"/>
      <c r="D175" s="1786" t="s">
        <v>2053</v>
      </c>
      <c r="E175" s="1787"/>
      <c r="F175" s="1789">
        <f>'PCTC-OEPP 27-28'!F77-F174</f>
        <v>40175657</v>
      </c>
    </row>
    <row r="176" spans="1:7" ht="12" customHeight="1" x14ac:dyDescent="0.2">
      <c r="A176" s="1770"/>
      <c r="B176" s="1784"/>
      <c r="C176" s="1785"/>
      <c r="D176" s="1786" t="s">
        <v>1813</v>
      </c>
      <c r="E176" s="1787"/>
      <c r="F176" s="1789">
        <f>'Cap Outlay Deprec 26'!I18</f>
        <v>2928363.1</v>
      </c>
    </row>
    <row r="177" spans="1:7" ht="12" customHeight="1" x14ac:dyDescent="0.2">
      <c r="A177" s="1770"/>
      <c r="B177" s="1784"/>
      <c r="C177" s="1785"/>
      <c r="D177" s="1786" t="s">
        <v>2054</v>
      </c>
      <c r="E177" s="1787"/>
      <c r="F177" s="1789">
        <f>F175+F176</f>
        <v>43104020.100000001</v>
      </c>
    </row>
    <row r="178" spans="1:7" ht="12" customHeight="1" x14ac:dyDescent="0.2">
      <c r="A178" s="1770"/>
      <c r="B178" s="1790"/>
      <c r="C178" s="1785"/>
      <c r="D178" s="1786" t="str">
        <f>D78</f>
        <v>9 Month ADA from District Average Daily Attendance/Prior General State Aid Inquiry 2018-2019</v>
      </c>
      <c r="E178" s="1787"/>
      <c r="F178" s="1791">
        <f>'PCTC-OEPP 27-28'!F78</f>
        <v>3801.7</v>
      </c>
      <c r="G178" s="930"/>
    </row>
    <row r="179" spans="1:7" ht="12" customHeight="1" thickBot="1" x14ac:dyDescent="0.25">
      <c r="A179" s="1770"/>
      <c r="B179" s="1790"/>
      <c r="C179" s="1785"/>
      <c r="D179" s="1786" t="s">
        <v>2055</v>
      </c>
      <c r="E179" s="1787" t="s">
        <v>1544</v>
      </c>
      <c r="F179" s="1792">
        <f>F177/F178</f>
        <v>11338.090880395614</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82" t="s">
        <v>1814</v>
      </c>
      <c r="B4" s="2283"/>
      <c r="C4" s="2283"/>
      <c r="D4" s="2283"/>
      <c r="E4" s="2283"/>
      <c r="F4" s="2283"/>
      <c r="G4" s="2284"/>
    </row>
    <row r="5" spans="1:7" x14ac:dyDescent="0.25">
      <c r="A5" s="2285"/>
      <c r="B5" s="2286"/>
      <c r="C5" s="2286"/>
      <c r="D5" s="2286"/>
      <c r="E5" s="2286"/>
      <c r="F5" s="2286"/>
      <c r="G5" s="2287"/>
    </row>
    <row r="6" spans="1:7" ht="18.75" x14ac:dyDescent="0.25">
      <c r="A6" s="1534" t="s">
        <v>1815</v>
      </c>
      <c r="B6" s="1535"/>
      <c r="C6" s="1535"/>
      <c r="D6" s="1535"/>
      <c r="E6" s="1535"/>
      <c r="F6" s="1535"/>
      <c r="G6" s="1536"/>
    </row>
    <row r="7" spans="1:7" ht="30.75" customHeight="1" x14ac:dyDescent="0.25">
      <c r="A7" s="2288" t="s">
        <v>1928</v>
      </c>
      <c r="B7" s="2289"/>
      <c r="C7" s="2289"/>
      <c r="D7" s="2289"/>
      <c r="E7" s="2289"/>
      <c r="F7" s="2289"/>
      <c r="G7" s="2290"/>
    </row>
    <row r="8" spans="1:7" ht="15.75" customHeight="1" x14ac:dyDescent="0.25">
      <c r="A8" s="2291" t="s">
        <v>1903</v>
      </c>
      <c r="B8" s="2292"/>
      <c r="C8" s="2292"/>
      <c r="D8" s="2292"/>
      <c r="E8" s="2292"/>
      <c r="F8" s="2292"/>
      <c r="G8" s="2293"/>
    </row>
    <row r="9" spans="1:7" ht="35.25" customHeight="1" x14ac:dyDescent="0.25">
      <c r="A9" s="2288" t="s">
        <v>1931</v>
      </c>
      <c r="B9" s="2289"/>
      <c r="C9" s="2289"/>
      <c r="D9" s="2289"/>
      <c r="E9" s="2289"/>
      <c r="F9" s="2289"/>
      <c r="G9" s="2290"/>
    </row>
    <row r="10" spans="1:7" ht="15" customHeight="1" x14ac:dyDescent="0.25">
      <c r="A10" s="1537" t="s">
        <v>1816</v>
      </c>
      <c r="B10" s="1538"/>
      <c r="C10" s="1538"/>
      <c r="D10" s="1538"/>
      <c r="E10" s="1538"/>
      <c r="F10" s="1538"/>
      <c r="G10" s="1539"/>
    </row>
    <row r="11" spans="1:7" ht="17.25" customHeight="1" x14ac:dyDescent="0.25">
      <c r="A11" s="2288" t="s">
        <v>1930</v>
      </c>
      <c r="B11" s="2289"/>
      <c r="C11" s="2289"/>
      <c r="D11" s="2289"/>
      <c r="E11" s="2289"/>
      <c r="F11" s="2289"/>
      <c r="G11" s="2290"/>
    </row>
    <row r="12" spans="1:7" ht="15" customHeight="1" x14ac:dyDescent="0.25">
      <c r="A12" s="1537" t="s">
        <v>1821</v>
      </c>
      <c r="B12" s="1538"/>
      <c r="C12" s="1538"/>
      <c r="D12" s="1538"/>
      <c r="E12" s="1538"/>
      <c r="F12" s="1538"/>
      <c r="G12" s="1539"/>
    </row>
    <row r="13" spans="1:7" ht="32.25" customHeight="1" x14ac:dyDescent="0.25">
      <c r="A13" s="2279" t="s">
        <v>1972</v>
      </c>
      <c r="B13" s="2280"/>
      <c r="C13" s="2280"/>
      <c r="D13" s="2280"/>
      <c r="E13" s="2280"/>
      <c r="F13" s="2280"/>
      <c r="G13" s="2281"/>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52" t="s">
        <v>2152</v>
      </c>
      <c r="B17" s="1950" t="s">
        <v>2151</v>
      </c>
      <c r="C17" s="1951" t="s">
        <v>2148</v>
      </c>
      <c r="D17" s="1844">
        <v>1002221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977221</v>
      </c>
      <c r="H17" s="1647"/>
    </row>
    <row r="18" spans="1:8" x14ac:dyDescent="0.25">
      <c r="A18" s="1952" t="s">
        <v>2154</v>
      </c>
      <c r="B18" s="1950" t="s">
        <v>2153</v>
      </c>
      <c r="C18" s="1951" t="s">
        <v>2150</v>
      </c>
      <c r="D18" s="1844">
        <v>1875318</v>
      </c>
      <c r="E18" s="1540">
        <f t="shared" ref="E18:E140" si="2">IF(D18&lt;=25000,D18,IF(D18&gt;25000,25000,0))</f>
        <v>25000</v>
      </c>
      <c r="F18" s="1932">
        <f t="shared" si="1"/>
        <v>0</v>
      </c>
      <c r="G18" s="1793">
        <f t="shared" ref="G18:G140" si="3">IF(F18=0,0,D18-F18)</f>
        <v>0</v>
      </c>
    </row>
    <row r="19" spans="1:8" x14ac:dyDescent="0.25">
      <c r="A19" s="1952" t="s">
        <v>2156</v>
      </c>
      <c r="B19" s="1950" t="s">
        <v>2155</v>
      </c>
      <c r="C19" s="1951" t="s">
        <v>2149</v>
      </c>
      <c r="D19" s="1844">
        <v>548068</v>
      </c>
      <c r="E19" s="1540">
        <f t="shared" si="2"/>
        <v>25000</v>
      </c>
      <c r="F19" s="1932">
        <f t="shared" si="1"/>
        <v>25000</v>
      </c>
      <c r="G19" s="1793">
        <f t="shared" si="3"/>
        <v>523068</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3425607</v>
      </c>
      <c r="E141" s="1541">
        <f t="shared" si="0"/>
        <v>25000</v>
      </c>
      <c r="F141" s="1933">
        <f>SUM(F17:F140)</f>
        <v>50000</v>
      </c>
      <c r="G141" s="1795">
        <f>SUM(G17:G140)</f>
        <v>1500289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4" t="s">
        <v>1678</v>
      </c>
      <c r="B5" s="2295"/>
      <c r="C5" s="2295"/>
      <c r="D5" s="2295"/>
      <c r="E5" s="2295"/>
      <c r="F5" s="2295"/>
      <c r="G5" s="229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998109</v>
      </c>
      <c r="F10" s="974"/>
      <c r="G10" s="975"/>
      <c r="H10" s="162"/>
      <c r="I10" s="162"/>
    </row>
    <row r="11" spans="1:9" s="668" customFormat="1" ht="22.5" customHeight="1" x14ac:dyDescent="0.2">
      <c r="A11" s="2299" t="s">
        <v>1973</v>
      </c>
      <c r="B11" s="2300"/>
      <c r="C11" s="2300"/>
      <c r="D11" s="2301"/>
      <c r="E11" s="977">
        <v>105564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24172892</v>
      </c>
      <c r="F19" s="1799"/>
      <c r="G19" s="1801">
        <f>'Expenditures 15-22'!K33-SUM('Expenditures 15-22'!G33,'Expenditures 15-22'!I33)+'Expenditures 15-22'!D229</f>
        <v>24172892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1562307</v>
      </c>
      <c r="F21" s="1802"/>
      <c r="G21" s="1805">
        <f>'Expenditures 15-22'!K42-SUM('Expenditures 15-22'!G42,'Expenditures 15-22'!I42)+'Expenditures 15-22'!K120-SUM('Expenditures 15-22'!G120,'Expenditures 15-22'!I120)+'Expenditures 15-22'!K180-SUM('Expenditures 15-22'!G180,'Expenditures 15-22'!I180)+'Expenditures 15-22'!D238</f>
        <v>1562307</v>
      </c>
      <c r="H21" s="987"/>
      <c r="I21" s="162"/>
    </row>
    <row r="22" spans="1:9" s="668" customFormat="1" ht="12" customHeight="1" x14ac:dyDescent="0.2">
      <c r="A22" s="994" t="s">
        <v>563</v>
      </c>
      <c r="B22" s="995"/>
      <c r="C22" s="993">
        <v>2200</v>
      </c>
      <c r="D22" s="1802"/>
      <c r="E22" s="1804">
        <f>'Expenditures 15-22'!K47-SUM('Expenditures 15-22'!G47,'Expenditures 15-22'!I47)+'Expenditures 15-22'!D243</f>
        <v>1628770</v>
      </c>
      <c r="F22" s="1802"/>
      <c r="G22" s="1805">
        <f>'Expenditures 15-22'!K47-SUM('Expenditures 15-22'!G47,'Expenditures 15-22'!I47)+'Expenditures 15-22'!D243</f>
        <v>1628770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4232643</v>
      </c>
      <c r="F23" s="1802"/>
      <c r="G23" s="1804">
        <f>'Expenditures 15-22'!K53-SUM('Expenditures 15-22'!G53,'Expenditures 15-22'!I53)+'Expenditures 15-22'!D257+'Expenditures 15-22'!K330-SUM('Expenditures 15-22'!G330,'Expenditures 15-22'!I330)</f>
        <v>4232643</v>
      </c>
      <c r="H23" s="987"/>
      <c r="I23" s="162"/>
    </row>
    <row r="24" spans="1:9" s="668" customFormat="1" ht="12" customHeight="1" x14ac:dyDescent="0.2">
      <c r="A24" s="994" t="s">
        <v>565</v>
      </c>
      <c r="B24" s="995"/>
      <c r="C24" s="993">
        <v>2400</v>
      </c>
      <c r="D24" s="1802"/>
      <c r="E24" s="1804">
        <f>'Expenditures 15-22'!K57-SUM('Expenditures 15-22'!G57,'Expenditures 15-22'!I57)+'Expenditures 15-22'!D261</f>
        <v>2559243</v>
      </c>
      <c r="F24" s="1802"/>
      <c r="G24" s="1805">
        <f>'Expenditures 15-22'!K57-SUM('Expenditures 15-22'!G57,'Expenditures 15-22'!I57)+'Expenditures 15-22'!D261</f>
        <v>2559243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199615</v>
      </c>
      <c r="E26" s="1804">
        <f>'Expenditures 15-22'!K122-SUM('Expenditures 15-22'!G122,'Expenditures 15-22'!I122)+E7</f>
        <v>0</v>
      </c>
      <c r="F26" s="1804">
        <f>'Expenditures 15-22'!K59-SUM('Expenditures 15-22'!G59,'Expenditures 15-22'!I59)+'Expenditures 15-22'!D263-E7</f>
        <v>199615</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360025</v>
      </c>
      <c r="E27" s="1804">
        <f>E8</f>
        <v>0</v>
      </c>
      <c r="F27" s="1804">
        <f>'Expenditures 15-22'!K60-SUM('Expenditures 15-22'!G60,'Expenditures 15-22'!I60)+'Expenditures 15-22'!D264-E8</f>
        <v>360025</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4344256</v>
      </c>
      <c r="F28" s="1806">
        <f>'Expenditures 15-22'!K61-SUM('Expenditures 15-22'!G61,'Expenditures 15-22'!I61)+'Expenditures 15-22'!K124-SUM('Expenditures 15-22'!G124,'Expenditures 15-22'!I124)+'Expenditures 15-22'!D266-E9</f>
        <v>4344256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3192404</v>
      </c>
      <c r="F29" s="1802"/>
      <c r="G29" s="1805">
        <f>'Expenditures 15-22'!K62-SUM('Expenditures 15-22'!G62,'Expenditures 15-22'!I62)+'Expenditures 15-22'!K125-SUM('Expenditures 15-22'!G125,'Expenditures 15-22'!I125)+'Expenditures 15-22'!K182-SUM('Expenditures 15-22'!G182,'Expenditures 15-22'!I182)+'Expenditures 15-22'!D267</f>
        <v>3192404</v>
      </c>
      <c r="H29" s="985"/>
    </row>
    <row r="30" spans="1:9" ht="12" customHeight="1" x14ac:dyDescent="0.2">
      <c r="A30" s="994" t="s">
        <v>100</v>
      </c>
      <c r="B30" s="997"/>
      <c r="C30" s="993">
        <v>2560</v>
      </c>
      <c r="D30" s="1802"/>
      <c r="E30" s="1804">
        <f>'Expenditures 15-22'!K63-SUM('Expenditures 15-22'!G63,'Expenditures 15-22'!I63)+'Expenditures 15-22'!D268-E10</f>
        <v>396094</v>
      </c>
      <c r="F30" s="1802"/>
      <c r="G30" s="1804">
        <f>'Expenditures 15-22'!K63-SUM('Expenditures 15-22'!G63,'Expenditures 15-22'!I63)+'Expenditures 15-22'!D268-E10</f>
        <v>396094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395971</v>
      </c>
      <c r="E36" s="1804">
        <f>E13</f>
        <v>0</v>
      </c>
      <c r="F36" s="1804">
        <f>'Expenditures 15-22'!K70-SUM('Expenditures 15-22'!G70,'Expenditures 15-22'!I70)+'Expenditures 15-22'!D275-E13</f>
        <v>395971</v>
      </c>
      <c r="G36" s="1804">
        <f>E13</f>
        <v>0</v>
      </c>
    </row>
    <row r="37" spans="1:7" ht="12" customHeight="1" x14ac:dyDescent="0.2">
      <c r="A37" s="994" t="s">
        <v>403</v>
      </c>
      <c r="B37" s="997"/>
      <c r="C37" s="993">
        <v>2660</v>
      </c>
      <c r="D37" s="1804">
        <f>'Expenditures 15-22'!K71-SUM('Expenditures 15-22'!G71,'Expenditures 15-22'!I71)+'Expenditures 15-22'!D276-E14</f>
        <v>1015597</v>
      </c>
      <c r="E37" s="1804">
        <f>E14</f>
        <v>0</v>
      </c>
      <c r="F37" s="1804">
        <f>'Expenditures 15-22'!K71-SUM('Expenditures 15-22'!G71,'Expenditures 15-22'!I71)+'Expenditures 15-22'!D276-E14</f>
        <v>1015597</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1945</v>
      </c>
      <c r="F38" s="1802"/>
      <c r="G38" s="1804">
        <f>'Expenditures 15-22'!K73-SUM('Expenditures 15-22'!G73,'Expenditures 15-22'!I73)+'Expenditures 15-22'!K128-SUM('Expenditures 15-22'!G128,'Expenditures 15-22'!I128)+'Expenditures 15-22'!K183-SUM('Expenditures 15-22'!G183,'Expenditures 15-22'!I183)+'Expenditures 15-22'!D278</f>
        <v>1945</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69896</v>
      </c>
      <c r="F39" s="1802"/>
      <c r="G39" s="1804">
        <f>'Expenditures 15-22'!K75-SUM('Expenditures 15-22'!G75,'Expenditures 15-22'!I75)+'Expenditures 15-22'!K130-SUM('Expenditures 15-22'!G130,'Expenditures 15-22'!I130)+'Expenditures 15-22'!K185-SUM('Expenditures 15-22'!G185,'Expenditures 15-22'!I185)+'Expenditures 15-22'!D280</f>
        <v>69896</v>
      </c>
    </row>
    <row r="40" spans="1:7" ht="12" customHeight="1" x14ac:dyDescent="0.2">
      <c r="A40" s="990" t="s">
        <v>1819</v>
      </c>
      <c r="B40" s="991"/>
      <c r="C40" s="993"/>
      <c r="D40" s="1802"/>
      <c r="E40" s="1806">
        <f>-'Contracts Paid in CY 29'!G141</f>
        <v>-1500289</v>
      </c>
      <c r="F40" s="1802"/>
      <c r="G40" s="1806">
        <f>-'Contracts Paid in CY 29'!G141</f>
        <v>-1500289</v>
      </c>
    </row>
    <row r="41" spans="1:7" ht="12" customHeight="1" x14ac:dyDescent="0.2">
      <c r="A41" s="998" t="s">
        <v>156</v>
      </c>
      <c r="B41" s="999"/>
      <c r="C41" s="1000"/>
      <c r="D41" s="1806">
        <f>SUM(D19:D39)</f>
        <v>1971208</v>
      </c>
      <c r="E41" s="1806">
        <f>SUM(E19:E40)</f>
        <v>40660161</v>
      </c>
      <c r="F41" s="1806">
        <f>SUM(F19:F39)</f>
        <v>6315464</v>
      </c>
      <c r="G41" s="1806">
        <f>SUM(G19:G40)</f>
        <v>36315905</v>
      </c>
    </row>
    <row r="42" spans="1:7" x14ac:dyDescent="0.2">
      <c r="A42" s="987"/>
      <c r="B42" s="162"/>
      <c r="C42" s="1001"/>
      <c r="D42" s="2297" t="s">
        <v>521</v>
      </c>
      <c r="E42" s="2298"/>
      <c r="F42" s="1002" t="s">
        <v>522</v>
      </c>
      <c r="G42" s="1003"/>
    </row>
    <row r="43" spans="1:7" ht="12" customHeight="1" x14ac:dyDescent="0.2">
      <c r="A43" s="987"/>
      <c r="B43" s="162"/>
      <c r="C43" s="1001"/>
      <c r="D43" s="1807" t="s">
        <v>472</v>
      </c>
      <c r="E43" s="1808">
        <f>D41</f>
        <v>1971208</v>
      </c>
      <c r="F43" s="1807" t="s">
        <v>472</v>
      </c>
      <c r="G43" s="1808">
        <f>F41</f>
        <v>6315464</v>
      </c>
    </row>
    <row r="44" spans="1:7" ht="12" customHeight="1" x14ac:dyDescent="0.2">
      <c r="A44" s="987"/>
      <c r="B44" s="162"/>
      <c r="C44" s="1001"/>
      <c r="D44" s="1807" t="s">
        <v>473</v>
      </c>
      <c r="E44" s="1808">
        <f>E41</f>
        <v>40660161</v>
      </c>
      <c r="F44" s="1807" t="s">
        <v>473</v>
      </c>
      <c r="G44" s="1808">
        <f>G41</f>
        <v>36315905</v>
      </c>
    </row>
    <row r="45" spans="1:7" ht="12" customHeight="1" x14ac:dyDescent="0.2">
      <c r="A45" s="987"/>
      <c r="B45" s="162"/>
      <c r="C45" s="162"/>
      <c r="D45" s="1809" t="s">
        <v>1005</v>
      </c>
      <c r="E45" s="1810">
        <f>(E43/E44)</f>
        <v>4.8480083490077673E-2</v>
      </c>
      <c r="F45" s="1809" t="s">
        <v>1005</v>
      </c>
      <c r="G45" s="1810">
        <f>(G43/G44)</f>
        <v>0.17390352794457414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2" sqref="F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5" t="s">
        <v>1378</v>
      </c>
      <c r="B1" s="2305"/>
      <c r="C1" s="2305"/>
      <c r="D1" s="2305"/>
      <c r="E1" s="2305"/>
      <c r="F1" s="2305"/>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6" t="s">
        <v>1545</v>
      </c>
      <c r="B5" s="2307"/>
      <c r="C5" s="2308"/>
      <c r="D5" s="2308"/>
      <c r="E5" s="2308"/>
      <c r="F5" s="2308"/>
    </row>
    <row r="6" spans="1:10" ht="12" customHeight="1" x14ac:dyDescent="0.25">
      <c r="A6" s="1850"/>
      <c r="B6" s="1851"/>
      <c r="C6" s="2309" t="str">
        <f>COVER!A17</f>
        <v>Troy CCSD 30-C</v>
      </c>
      <c r="D6" s="2309"/>
      <c r="E6" s="2309"/>
      <c r="F6" s="1852"/>
    </row>
    <row r="7" spans="1:10" ht="11.25" customHeight="1" thickBot="1" x14ac:dyDescent="0.3">
      <c r="A7" s="1850"/>
      <c r="B7" s="1851"/>
      <c r="C7" s="2310" t="str">
        <f>COVER!A13</f>
        <v>56-099-030C-04</v>
      </c>
      <c r="D7" s="2310"/>
      <c r="E7" s="2310"/>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t="s">
        <v>2065</v>
      </c>
      <c r="D20" s="1865" t="s">
        <v>2065</v>
      </c>
      <c r="E20" s="1868" t="s">
        <v>2065</v>
      </c>
      <c r="F20" s="1867" t="s">
        <v>2085</v>
      </c>
      <c r="H20" s="1878">
        <f t="shared" si="0"/>
        <v>5</v>
      </c>
      <c r="I20" s="1878">
        <f t="shared" si="1"/>
        <v>5</v>
      </c>
      <c r="J20" s="1878">
        <f t="shared" si="2"/>
        <v>5</v>
      </c>
    </row>
    <row r="21" spans="1:12" ht="12" customHeight="1" x14ac:dyDescent="0.2">
      <c r="A21" s="1863" t="s">
        <v>1528</v>
      </c>
      <c r="B21" s="1864"/>
      <c r="C21" s="1865" t="s">
        <v>2065</v>
      </c>
      <c r="D21" s="1865" t="s">
        <v>2065</v>
      </c>
      <c r="E21" s="1868" t="s">
        <v>2065</v>
      </c>
      <c r="F21" s="1867" t="s">
        <v>2086</v>
      </c>
      <c r="H21" s="1878">
        <f t="shared" si="0"/>
        <v>5</v>
      </c>
      <c r="I21" s="1878">
        <f t="shared" si="1"/>
        <v>5</v>
      </c>
      <c r="J21" s="1878">
        <f t="shared" si="2"/>
        <v>5</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2065</v>
      </c>
      <c r="D26" s="1865" t="s">
        <v>2065</v>
      </c>
      <c r="E26" s="1868" t="s">
        <v>2065</v>
      </c>
      <c r="F26" s="1867" t="s">
        <v>2084</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1391</v>
      </c>
      <c r="B35" s="1872"/>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73"/>
      <c r="B39" s="1873"/>
      <c r="C39" s="1873"/>
      <c r="D39" s="1873"/>
      <c r="E39" s="1873"/>
      <c r="F39" s="1873"/>
    </row>
    <row r="40" spans="1:11" s="1870" customFormat="1" ht="12" customHeight="1" x14ac:dyDescent="0.25">
      <c r="A40" s="1874" t="s">
        <v>1390</v>
      </c>
      <c r="B40" s="1875"/>
      <c r="C40" s="2319"/>
      <c r="D40" s="2319"/>
      <c r="E40" s="2319"/>
      <c r="F40" s="2320"/>
      <c r="H40" s="1879"/>
      <c r="I40" s="1879"/>
      <c r="J40" s="1879"/>
      <c r="K40" s="1879"/>
    </row>
    <row r="41" spans="1:11" s="1870" customFormat="1" ht="12" customHeight="1" x14ac:dyDescent="0.25">
      <c r="A41" s="2321"/>
      <c r="B41" s="2322"/>
      <c r="C41" s="2322"/>
      <c r="D41" s="2322"/>
      <c r="E41" s="2322"/>
      <c r="F41" s="2323"/>
      <c r="H41" s="1879"/>
      <c r="I41" s="1879"/>
      <c r="J41" s="1879"/>
      <c r="K41" s="1879"/>
    </row>
    <row r="42" spans="1:11" s="1870" customFormat="1" ht="12" customHeight="1" x14ac:dyDescent="0.25">
      <c r="A42" s="2321"/>
      <c r="B42" s="2322"/>
      <c r="C42" s="2322"/>
      <c r="D42" s="2322"/>
      <c r="E42" s="2322"/>
      <c r="F42" s="2323"/>
      <c r="H42" s="1879"/>
      <c r="I42" s="1879"/>
      <c r="J42" s="1879"/>
      <c r="K42" s="1879"/>
    </row>
    <row r="43" spans="1:11" s="1870" customFormat="1" ht="15" x14ac:dyDescent="0.25">
      <c r="A43" s="2313"/>
      <c r="B43" s="2314"/>
      <c r="C43" s="2314"/>
      <c r="D43" s="2314"/>
      <c r="E43" s="2314"/>
      <c r="F43" s="2315"/>
      <c r="H43" s="1879"/>
      <c r="I43" s="1879"/>
      <c r="J43" s="1879"/>
      <c r="K43" s="1879"/>
    </row>
    <row r="44" spans="1:11" s="1870" customFormat="1" ht="12" hidden="1" customHeight="1" x14ac:dyDescent="0.25">
      <c r="A44" s="2313"/>
      <c r="B44" s="2314"/>
      <c r="C44" s="2314"/>
      <c r="D44" s="2314"/>
      <c r="E44" s="2314"/>
      <c r="F44" s="231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40" sqref="H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9" t="str">
        <f>COVER!A17</f>
        <v>Troy CCSD 30-C</v>
      </c>
      <c r="J6" s="2330"/>
      <c r="Q6" s="1664"/>
    </row>
    <row r="7" spans="1:17" x14ac:dyDescent="0.2">
      <c r="A7" s="2331" t="s">
        <v>868</v>
      </c>
      <c r="B7" s="2332"/>
      <c r="C7" s="2332"/>
      <c r="D7" s="2332"/>
      <c r="E7" s="2333"/>
      <c r="F7" s="1017"/>
      <c r="G7" s="1009"/>
      <c r="H7" s="1016" t="s">
        <v>371</v>
      </c>
      <c r="I7" s="2334" t="str">
        <f>COVER!A13</f>
        <v>56-099-030C-04</v>
      </c>
      <c r="J7" s="233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5" t="s">
        <v>480</v>
      </c>
      <c r="B11" s="2336"/>
      <c r="C11" s="233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356476</v>
      </c>
      <c r="F12" s="1039"/>
      <c r="G12" s="1811">
        <f t="shared" ref="G12:G18" si="0">SUM(E12:F12)</f>
        <v>356476</v>
      </c>
      <c r="H12" s="1040">
        <v>312944</v>
      </c>
      <c r="I12" s="1039"/>
      <c r="J12" s="1811">
        <f t="shared" ref="J12:J18" si="1">SUM(H12:I12)</f>
        <v>312944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168696</v>
      </c>
      <c r="F15" s="1811">
        <f>'Expenditures 15-22'!K122</f>
        <v>0</v>
      </c>
      <c r="G15" s="1811">
        <f t="shared" si="0"/>
        <v>168696</v>
      </c>
      <c r="H15" s="1040">
        <v>179665</v>
      </c>
      <c r="I15" s="1040"/>
      <c r="J15" s="1811">
        <f t="shared" si="1"/>
        <v>179665</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8" t="s">
        <v>7</v>
      </c>
      <c r="C18" s="2339"/>
      <c r="D18" s="2340"/>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525172</v>
      </c>
      <c r="F19" s="1813">
        <f t="shared" si="2"/>
        <v>0</v>
      </c>
      <c r="G19" s="1813">
        <f t="shared" si="2"/>
        <v>525172</v>
      </c>
      <c r="H19" s="1813">
        <f t="shared" si="2"/>
        <v>492609</v>
      </c>
      <c r="I19" s="1813">
        <f t="shared" si="2"/>
        <v>0</v>
      </c>
      <c r="J19" s="1813">
        <f t="shared" si="2"/>
        <v>492609</v>
      </c>
    </row>
    <row r="20" spans="1:10" ht="13.5" thickTop="1" x14ac:dyDescent="0.2">
      <c r="A20" s="1035">
        <v>9</v>
      </c>
      <c r="B20" s="2341" t="s">
        <v>1977</v>
      </c>
      <c r="C20" s="2341"/>
      <c r="D20" s="2342"/>
      <c r="E20" s="1046"/>
      <c r="F20" s="1046"/>
      <c r="G20" s="1046"/>
      <c r="H20" s="1046"/>
      <c r="I20" s="1046"/>
      <c r="J20" s="1814">
        <f>IF(AND(G19&gt;0,J19&gt;0),(((J19-G19)/G19)),"Enter Budget Data")</f>
        <v>-6.2004448066538202E-2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7"/>
      <c r="D26" s="2347"/>
      <c r="E26" s="1050"/>
      <c r="F26" s="2346"/>
      <c r="G26" s="2346"/>
    </row>
    <row r="27" spans="1:10" x14ac:dyDescent="0.2">
      <c r="B27" s="1047"/>
      <c r="C27" s="1051" t="s">
        <v>1032</v>
      </c>
      <c r="D27" s="1052"/>
      <c r="E27" s="1053"/>
      <c r="F27" s="2343" t="s">
        <v>1508</v>
      </c>
      <c r="G27" s="2343"/>
    </row>
    <row r="28" spans="1:10" ht="28.5" customHeight="1" x14ac:dyDescent="0.2">
      <c r="B28" s="1047"/>
      <c r="C28" s="2345"/>
      <c r="D28" s="2345"/>
      <c r="E28" s="1054"/>
      <c r="F28" s="2345"/>
      <c r="G28" s="2345"/>
    </row>
    <row r="29" spans="1:10" x14ac:dyDescent="0.2">
      <c r="B29" s="1047"/>
      <c r="C29" s="1055" t="s">
        <v>1560</v>
      </c>
      <c r="E29" s="1056"/>
      <c r="F29" s="2344" t="s">
        <v>1509</v>
      </c>
      <c r="G29" s="234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6" t="s">
        <v>132</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2"/>
    </row>
    <row r="36" spans="1:10" ht="13.5" customHeight="1" x14ac:dyDescent="0.2">
      <c r="B36" s="1061"/>
      <c r="C36" s="2328" t="s">
        <v>1979</v>
      </c>
      <c r="D36" s="2327"/>
      <c r="E36" s="2327"/>
      <c r="F36" s="2327"/>
      <c r="G36" s="2327"/>
      <c r="H36" s="2327"/>
      <c r="I36" s="2327"/>
      <c r="J36" s="1063"/>
    </row>
    <row r="37" spans="1:10" ht="22.5" customHeight="1" x14ac:dyDescent="0.2">
      <c r="C37" s="2327"/>
      <c r="D37" s="2327"/>
      <c r="E37" s="2327"/>
      <c r="F37" s="2327"/>
      <c r="G37" s="2327"/>
      <c r="H37" s="2327"/>
      <c r="I37" s="2327"/>
      <c r="J37" s="1063"/>
    </row>
    <row r="38" spans="1:10" ht="7.5" customHeight="1" x14ac:dyDescent="0.2">
      <c r="C38" s="1062"/>
      <c r="D38" s="1064"/>
      <c r="E38" s="1065"/>
      <c r="F38" s="1066"/>
      <c r="G38" s="1065"/>
    </row>
    <row r="39" spans="1:10" ht="13.5" customHeight="1" x14ac:dyDescent="0.2">
      <c r="B39" s="1061"/>
      <c r="C39" s="2324" t="s">
        <v>881</v>
      </c>
      <c r="D39" s="2325"/>
      <c r="E39" s="2325"/>
      <c r="F39" s="2325"/>
      <c r="G39" s="2325"/>
      <c r="H39" s="2325"/>
      <c r="I39" s="232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Troy CCSD 30-C</v>
      </c>
    </row>
    <row r="65" spans="2:2" x14ac:dyDescent="0.2">
      <c r="B65" s="1070" t="str">
        <f>COVER!A13</f>
        <v>56-099-030C-04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8" t="s">
        <v>1684</v>
      </c>
      <c r="B18" s="234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1689</v>
      </c>
      <c r="B1" s="2350"/>
      <c r="C1" s="2350"/>
      <c r="D1" s="2350"/>
      <c r="E1" s="2350"/>
      <c r="F1" s="2351"/>
    </row>
    <row r="2" spans="1:8" ht="45" customHeight="1" x14ac:dyDescent="0.2">
      <c r="A2" s="2359" t="s">
        <v>1983</v>
      </c>
      <c r="B2" s="2360"/>
      <c r="C2" s="2360"/>
      <c r="D2" s="2360"/>
      <c r="E2" s="2360"/>
      <c r="F2" s="2361"/>
      <c r="G2" s="1074"/>
      <c r="H2" s="1074"/>
    </row>
    <row r="3" spans="1:8" ht="57" customHeight="1" x14ac:dyDescent="0.2">
      <c r="A3" s="2362" t="s">
        <v>1685</v>
      </c>
      <c r="B3" s="2363"/>
      <c r="C3" s="2363"/>
      <c r="D3" s="2363"/>
      <c r="E3" s="2363"/>
      <c r="F3" s="2364"/>
      <c r="G3" s="1074"/>
      <c r="H3" s="1074"/>
    </row>
    <row r="4" spans="1:8" ht="14.25" customHeight="1" x14ac:dyDescent="0.2">
      <c r="A4" s="2368" t="s">
        <v>1984</v>
      </c>
      <c r="B4" s="2369"/>
      <c r="C4" s="2369"/>
      <c r="D4" s="2369"/>
      <c r="E4" s="2369"/>
      <c r="F4" s="2370"/>
      <c r="G4" s="1074"/>
      <c r="H4" s="1074"/>
    </row>
    <row r="5" spans="1:8" ht="14.25" customHeight="1" x14ac:dyDescent="0.2">
      <c r="A5" s="2371" t="s">
        <v>1980</v>
      </c>
      <c r="B5" s="2372"/>
      <c r="C5" s="2372"/>
      <c r="D5" s="2372"/>
      <c r="E5" s="2372"/>
      <c r="F5" s="2373"/>
      <c r="G5" s="1074"/>
      <c r="H5" s="1074"/>
    </row>
    <row r="6" spans="1:8" s="1075" customFormat="1" ht="41.25" customHeight="1" x14ac:dyDescent="0.2">
      <c r="A6" s="2365" t="s">
        <v>1690</v>
      </c>
      <c r="B6" s="2366"/>
      <c r="C6" s="2366"/>
      <c r="D6" s="2366"/>
      <c r="E6" s="2366"/>
      <c r="F6" s="236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41390479</v>
      </c>
      <c r="C8" s="1815">
        <f>'Acct Summary 7-8'!D8</f>
        <v>3980674</v>
      </c>
      <c r="D8" s="1815">
        <f>'Acct Summary 7-8'!F8</f>
        <v>3864412</v>
      </c>
      <c r="E8" s="1815">
        <f>'Acct Summary 7-8'!I8</f>
        <v>596267</v>
      </c>
      <c r="F8" s="1815">
        <f>SUM(B8:E8)</f>
        <v>49831832</v>
      </c>
    </row>
    <row r="9" spans="1:8" s="1079" customFormat="1" ht="14.25" customHeight="1" thickBot="1" x14ac:dyDescent="0.25">
      <c r="A9" s="1078" t="s">
        <v>1368</v>
      </c>
      <c r="B9" s="1816">
        <f>'Acct Summary 7-8'!C17</f>
        <v>39150867</v>
      </c>
      <c r="C9" s="1816">
        <f>'Acct Summary 7-8'!D17</f>
        <v>4070625</v>
      </c>
      <c r="D9" s="1816">
        <f>'Acct Summary 7-8'!F17</f>
        <v>3754642</v>
      </c>
      <c r="E9" s="1815"/>
      <c r="F9" s="1815">
        <f>SUM(B9:E9)</f>
        <v>46976134</v>
      </c>
    </row>
    <row r="10" spans="1:8" s="1079" customFormat="1" ht="14.25" thickTop="1" thickBot="1" x14ac:dyDescent="0.25">
      <c r="A10" s="1080" t="s">
        <v>1369</v>
      </c>
      <c r="B10" s="1817">
        <f>(B8-B9)</f>
        <v>2239612</v>
      </c>
      <c r="C10" s="1817">
        <f>(C8-C9)</f>
        <v>-89951</v>
      </c>
      <c r="D10" s="1817">
        <f>(D8-D9)</f>
        <v>109770</v>
      </c>
      <c r="E10" s="1816">
        <f>(E8-E9)</f>
        <v>596267</v>
      </c>
      <c r="F10" s="1818">
        <f>SUM(F8-F9)</f>
        <v>2855698</v>
      </c>
    </row>
    <row r="11" spans="1:8" s="1079" customFormat="1" ht="14.25" thickTop="1" thickBot="1" x14ac:dyDescent="0.25">
      <c r="A11" s="1081" t="s">
        <v>1981</v>
      </c>
      <c r="B11" s="1819">
        <f>'Acct Summary 7-8'!C81</f>
        <v>27930412</v>
      </c>
      <c r="C11" s="1819">
        <f>'Acct Summary 7-8'!D81</f>
        <v>1432816</v>
      </c>
      <c r="D11" s="1819">
        <f>'Acct Summary 7-8'!F81</f>
        <v>4006874</v>
      </c>
      <c r="E11" s="1819">
        <f>'Acct Summary 7-8'!I81</f>
        <v>11653694</v>
      </c>
      <c r="F11" s="1820">
        <f>SUM(B11:E11)</f>
        <v>45023796</v>
      </c>
    </row>
    <row r="12" spans="1:8" ht="16.5" customHeight="1" thickTop="1" x14ac:dyDescent="0.2">
      <c r="A12" s="1082"/>
      <c r="B12" s="1083"/>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84"/>
      <c r="B13" s="1085"/>
      <c r="C13" s="2353"/>
      <c r="D13" s="2354"/>
      <c r="E13" s="2354"/>
      <c r="F13" s="2355"/>
      <c r="H13" s="1074"/>
    </row>
    <row r="14" spans="1:8" ht="19.5" customHeight="1" x14ac:dyDescent="0.2">
      <c r="A14" s="1084"/>
      <c r="B14" s="1085"/>
      <c r="C14" s="2353"/>
      <c r="D14" s="2354"/>
      <c r="E14" s="2354"/>
      <c r="F14" s="2355"/>
      <c r="H14" s="1074"/>
    </row>
    <row r="15" spans="1:8" ht="17.25" customHeight="1" x14ac:dyDescent="0.2">
      <c r="A15" s="1084"/>
      <c r="B15" s="1085"/>
      <c r="C15" s="2356"/>
      <c r="D15" s="2357"/>
      <c r="E15" s="2357"/>
      <c r="F15" s="2358"/>
      <c r="H15" s="1074"/>
    </row>
    <row r="16" spans="1:8" s="310" customFormat="1" ht="51.75" hidden="1" customHeight="1" x14ac:dyDescent="0.2">
      <c r="A16" s="2352" t="s">
        <v>1686</v>
      </c>
      <c r="B16" s="2352"/>
      <c r="C16" s="2352"/>
      <c r="D16" s="2352"/>
      <c r="E16" s="235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C59" sqref="C5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4" t="s">
        <v>664</v>
      </c>
      <c r="B3" s="2375"/>
      <c r="C3" s="2375"/>
      <c r="D3" s="237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5" t="s">
        <v>1503</v>
      </c>
      <c r="D7" s="238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7" t="s">
        <v>1007</v>
      </c>
      <c r="B15" s="2378"/>
      <c r="C15" s="2378"/>
      <c r="D15" s="2379"/>
    </row>
    <row r="16" spans="1:4" s="668" customFormat="1" ht="24" customHeight="1" x14ac:dyDescent="0.2">
      <c r="A16" s="2380" t="s">
        <v>662</v>
      </c>
      <c r="B16" s="2381"/>
      <c r="C16" s="2381"/>
      <c r="D16" s="238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9" t="s">
        <v>313</v>
      </c>
      <c r="D21" s="2390"/>
    </row>
    <row r="22" spans="1:10" ht="12.75" x14ac:dyDescent="0.2">
      <c r="A22" s="1139"/>
      <c r="B22" s="1140">
        <v>2</v>
      </c>
      <c r="C22" s="2387" t="s">
        <v>1523</v>
      </c>
      <c r="D22" s="2388"/>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1" t="s">
        <v>535</v>
      </c>
      <c r="D43" s="239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3" t="s">
        <v>783</v>
      </c>
      <c r="D56" s="238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3" t="s">
        <v>1695</v>
      </c>
      <c r="D70" s="238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56-099-030C-04</v>
      </c>
    </row>
    <row r="3" spans="1:2" x14ac:dyDescent="0.2">
      <c r="A3" t="s">
        <v>955</v>
      </c>
      <c r="B3" s="138" t="str">
        <f>COVER!A15</f>
        <v>WILL</v>
      </c>
    </row>
    <row r="4" spans="1:2" x14ac:dyDescent="0.2">
      <c r="A4" t="s">
        <v>1006</v>
      </c>
      <c r="B4" s="138" t="str">
        <f>COVER!A17</f>
        <v>Troy CCSD 30-C</v>
      </c>
    </row>
    <row r="5" spans="1:2" x14ac:dyDescent="0.2">
      <c r="A5" t="s">
        <v>703</v>
      </c>
      <c r="B5" s="138" t="str">
        <f>COVER!A38</f>
        <v>DR. TODD KOEHL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GASSENSMITH</v>
      </c>
    </row>
    <row r="18" spans="1:2" x14ac:dyDescent="0.2">
      <c r="A18" t="s">
        <v>1149</v>
      </c>
      <c r="B18" s="138" t="str">
        <f>COVER!T17</f>
        <v>323 SPRINGFIELD</v>
      </c>
    </row>
    <row r="19" spans="1:2" x14ac:dyDescent="0.2">
      <c r="A19" t="s">
        <v>885</v>
      </c>
      <c r="B19" s="138" t="str">
        <f>COVER!T25</f>
        <v>JILLEGASSENSMITH.COM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33970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27934113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3701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3701</v>
      </c>
      <c r="C91" s="2" t="s">
        <v>572</v>
      </c>
      <c r="D91" s="2" t="str">
        <f t="shared" si="0"/>
        <v>Error?</v>
      </c>
    </row>
    <row r="92" spans="1:4" x14ac:dyDescent="0.2">
      <c r="A92" s="5">
        <v>31</v>
      </c>
      <c r="B92" s="138">
        <f>'Assets-Liab 5-6'!C39</f>
        <v>27930412</v>
      </c>
      <c r="D92" s="2" t="str">
        <f t="shared" si="0"/>
        <v>Error?</v>
      </c>
    </row>
    <row r="93" spans="1:4" x14ac:dyDescent="0.2">
      <c r="A93" s="5">
        <v>32</v>
      </c>
      <c r="B93" s="138">
        <f>'Assets-Liab 5-6'!C41</f>
        <v>27934113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1432816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1432816</v>
      </c>
      <c r="D123" s="2" t="str">
        <f t="shared" si="0"/>
        <v>Error?</v>
      </c>
    </row>
    <row r="124" spans="1:4" x14ac:dyDescent="0.2">
      <c r="A124" s="5">
        <v>63</v>
      </c>
      <c r="B124" s="138">
        <f>'Assets-Liab 5-6'!D41</f>
        <v>1432816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2774499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2774499</v>
      </c>
      <c r="D140" s="2" t="str">
        <f t="shared" si="1"/>
        <v>Error?</v>
      </c>
    </row>
    <row r="141" spans="1:4" x14ac:dyDescent="0.2">
      <c r="A141" s="5">
        <v>80</v>
      </c>
      <c r="B141" s="138">
        <f>'Assets-Liab 5-6'!E41</f>
        <v>2774499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4007081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207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207</v>
      </c>
      <c r="C169" s="2" t="s">
        <v>572</v>
      </c>
      <c r="D169" s="2" t="str">
        <f t="shared" si="1"/>
        <v>Error?</v>
      </c>
    </row>
    <row r="170" spans="1:4" x14ac:dyDescent="0.2">
      <c r="A170" s="5">
        <v>109</v>
      </c>
      <c r="B170" s="138">
        <f>'Assets-Liab 5-6'!F39</f>
        <v>4006874</v>
      </c>
      <c r="D170" s="2" t="str">
        <f t="shared" si="1"/>
        <v>Error?</v>
      </c>
    </row>
    <row r="171" spans="1:4" x14ac:dyDescent="0.2">
      <c r="A171" s="5">
        <v>110</v>
      </c>
      <c r="B171" s="138">
        <f>'Assets-Liab 5-6'!F41</f>
        <v>4007081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802410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802410</v>
      </c>
      <c r="D189" s="2" t="str">
        <f t="shared" si="1"/>
        <v>Error?</v>
      </c>
    </row>
    <row r="190" spans="1:4" x14ac:dyDescent="0.2">
      <c r="A190" s="5">
        <v>129</v>
      </c>
      <c r="B190" s="138">
        <f>'Assets-Liab 5-6'!G41</f>
        <v>802410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735722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735722</v>
      </c>
      <c r="D212" s="2" t="str">
        <f t="shared" si="2"/>
        <v>Error?</v>
      </c>
    </row>
    <row r="213" spans="1:4" x14ac:dyDescent="0.2">
      <c r="A213" s="12">
        <v>152</v>
      </c>
      <c r="B213" s="138">
        <f>'Assets-Liab 5-6'!H41</f>
        <v>735722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1816850</v>
      </c>
      <c r="D273" s="2" t="str">
        <f t="shared" si="3"/>
        <v>Error?</v>
      </c>
    </row>
    <row r="274" spans="1:4" x14ac:dyDescent="0.2">
      <c r="A274" s="5">
        <v>213</v>
      </c>
      <c r="B274" s="138">
        <f>'Assets-Liab 5-6'!M17</f>
        <v>101056671</v>
      </c>
      <c r="D274" s="2" t="str">
        <f t="shared" si="3"/>
        <v>Error?</v>
      </c>
    </row>
    <row r="275" spans="1:4" x14ac:dyDescent="0.2">
      <c r="A275" s="5">
        <v>214</v>
      </c>
      <c r="B275" s="138">
        <f>'Assets-Liab 5-6'!M18</f>
        <v>0</v>
      </c>
      <c r="D275" s="2" t="str">
        <f t="shared" si="3"/>
        <v>Error?</v>
      </c>
    </row>
    <row r="276" spans="1:4" x14ac:dyDescent="0.2">
      <c r="A276" s="5">
        <v>215</v>
      </c>
      <c r="B276" s="138">
        <f>'Assets-Liab 5-6'!M19</f>
        <v>8637189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111510710</v>
      </c>
      <c r="C279" s="2" t="s">
        <v>572</v>
      </c>
      <c r="D279" s="2" t="str">
        <f t="shared" si="3"/>
        <v>Error?</v>
      </c>
    </row>
    <row r="280" spans="1:4" x14ac:dyDescent="0.2">
      <c r="A280" s="5">
        <v>219</v>
      </c>
      <c r="B280" s="138">
        <f>'Assets-Liab 5-6'!M40</f>
        <v>111510710</v>
      </c>
      <c r="D280" s="2" t="str">
        <f t="shared" si="3"/>
        <v>Error?</v>
      </c>
    </row>
    <row r="281" spans="1:4" x14ac:dyDescent="0.2">
      <c r="A281" s="5">
        <v>220</v>
      </c>
      <c r="B281" s="138">
        <f>'Assets-Liab 5-6'!M41</f>
        <v>111510710</v>
      </c>
      <c r="C281" s="2" t="s">
        <v>572</v>
      </c>
      <c r="D281" s="2" t="str">
        <f t="shared" si="3"/>
        <v>Error?</v>
      </c>
    </row>
    <row r="282" spans="1:4" x14ac:dyDescent="0.2">
      <c r="A282" s="5">
        <v>221</v>
      </c>
      <c r="B282" s="138">
        <f>'Assets-Liab 5-6'!N21</f>
        <v>2774499</v>
      </c>
      <c r="D282" s="2" t="str">
        <f t="shared" si="3"/>
        <v>Error?</v>
      </c>
    </row>
    <row r="283" spans="1:4" x14ac:dyDescent="0.2">
      <c r="A283" s="5">
        <v>222</v>
      </c>
      <c r="B283" s="138">
        <f>'Assets-Liab 5-6'!N22</f>
        <v>60815501</v>
      </c>
      <c r="D283" s="2" t="str">
        <f t="shared" si="3"/>
        <v>Error?</v>
      </c>
    </row>
    <row r="284" spans="1:4" x14ac:dyDescent="0.2">
      <c r="A284" s="5">
        <v>223</v>
      </c>
      <c r="B284" s="138">
        <f>'Assets-Liab 5-6'!N23</f>
        <v>63590000</v>
      </c>
      <c r="C284" s="2" t="s">
        <v>572</v>
      </c>
      <c r="D284" s="2" t="str">
        <f t="shared" si="3"/>
        <v>Error?</v>
      </c>
    </row>
    <row r="285" spans="1:4" x14ac:dyDescent="0.2">
      <c r="A285" s="5">
        <v>224</v>
      </c>
      <c r="B285" s="138">
        <f>'Assets-Liab 5-6'!N36</f>
        <v>63590000</v>
      </c>
      <c r="D285" s="2" t="str">
        <f t="shared" si="3"/>
        <v>Error?</v>
      </c>
    </row>
    <row r="286" spans="1:4" x14ac:dyDescent="0.2">
      <c r="A286" s="10">
        <v>225</v>
      </c>
      <c r="D286" s="2" t="str">
        <f t="shared" si="3"/>
        <v>OK</v>
      </c>
    </row>
    <row r="287" spans="1:4" x14ac:dyDescent="0.2">
      <c r="A287" s="5">
        <v>226</v>
      </c>
      <c r="B287" s="138">
        <f>'Assets-Liab 5-6'!N37</f>
        <v>63590000</v>
      </c>
      <c r="C287" s="2" t="s">
        <v>572</v>
      </c>
      <c r="D287" s="2" t="str">
        <f t="shared" si="3"/>
        <v>Error?</v>
      </c>
    </row>
    <row r="288" spans="1:4" x14ac:dyDescent="0.2">
      <c r="A288" s="5">
        <v>227</v>
      </c>
      <c r="B288" s="138">
        <f>'Assets-Liab 5-6'!N41</f>
        <v>63590000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15815102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49287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380941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21110912</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978559</v>
      </c>
      <c r="D722" s="2" t="str">
        <f t="shared" si="10"/>
        <v>Error?</v>
      </c>
    </row>
    <row r="723" spans="1:4" x14ac:dyDescent="0.2">
      <c r="A723" s="5">
        <v>662</v>
      </c>
      <c r="B723" s="138">
        <f>'Expenditures 15-22'!C38</f>
        <v>359147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74209</v>
      </c>
      <c r="D726" s="2" t="str">
        <f t="shared" si="10"/>
        <v>Error?</v>
      </c>
    </row>
    <row r="727" spans="1:4" x14ac:dyDescent="0.2">
      <c r="A727" s="5">
        <v>666</v>
      </c>
      <c r="B727" s="138">
        <f>'Expenditures 15-22'!C42</f>
        <v>1411915</v>
      </c>
      <c r="C727" s="2" t="s">
        <v>572</v>
      </c>
      <c r="D727" s="2" t="str">
        <f t="shared" si="10"/>
        <v>Error?</v>
      </c>
    </row>
    <row r="728" spans="1:4" x14ac:dyDescent="0.2">
      <c r="A728" s="5">
        <v>667</v>
      </c>
      <c r="B728" s="138">
        <f>'Expenditures 15-22'!C44</f>
        <v>347773</v>
      </c>
      <c r="D728" s="2" t="str">
        <f t="shared" si="10"/>
        <v>Error?</v>
      </c>
    </row>
    <row r="729" spans="1:4" x14ac:dyDescent="0.2">
      <c r="A729" s="5">
        <v>668</v>
      </c>
      <c r="B729" s="138">
        <f>'Expenditures 15-22'!C45</f>
        <v>450992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798765</v>
      </c>
      <c r="C731" s="2" t="s">
        <v>572</v>
      </c>
      <c r="D731" s="2" t="str">
        <f t="shared" si="10"/>
        <v>Error?</v>
      </c>
    </row>
    <row r="732" spans="1:4" x14ac:dyDescent="0.2">
      <c r="A732" s="5">
        <v>671</v>
      </c>
      <c r="B732" s="138">
        <f>'Expenditures 15-22'!C49</f>
        <v>61782</v>
      </c>
      <c r="D732" s="2" t="str">
        <f t="shared" si="10"/>
        <v>Error?</v>
      </c>
    </row>
    <row r="733" spans="1:4" x14ac:dyDescent="0.2">
      <c r="A733" s="5">
        <v>672</v>
      </c>
      <c r="B733" s="138">
        <f>'Expenditures 15-22'!C50</f>
        <v>202509</v>
      </c>
      <c r="D733" s="2" t="str">
        <f t="shared" si="10"/>
        <v>Error?</v>
      </c>
    </row>
    <row r="734" spans="1:4" x14ac:dyDescent="0.2">
      <c r="A734" s="5">
        <v>673</v>
      </c>
      <c r="B734" s="138">
        <f>'Expenditures 15-22'!C53</f>
        <v>264291</v>
      </c>
      <c r="C734" s="2" t="s">
        <v>572</v>
      </c>
      <c r="D734" s="2" t="str">
        <f t="shared" si="10"/>
        <v>Error?</v>
      </c>
    </row>
    <row r="735" spans="1:4" x14ac:dyDescent="0.2">
      <c r="A735" s="5">
        <v>674</v>
      </c>
      <c r="B735" s="138">
        <f>'Expenditures 15-22'!C55</f>
        <v>1887285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1887285</v>
      </c>
      <c r="C737" s="2" t="s">
        <v>572</v>
      </c>
      <c r="D737" s="2" t="str">
        <f t="shared" si="10"/>
        <v>Error?</v>
      </c>
    </row>
    <row r="738" spans="1:4" x14ac:dyDescent="0.2">
      <c r="A738" s="5">
        <v>677</v>
      </c>
      <c r="B738" s="138">
        <f>'Expenditures 15-22'!C59</f>
        <v>138165</v>
      </c>
      <c r="D738" s="2" t="str">
        <f t="shared" si="10"/>
        <v>Error?</v>
      </c>
    </row>
    <row r="739" spans="1:4" x14ac:dyDescent="0.2">
      <c r="A739" s="5">
        <v>678</v>
      </c>
      <c r="B739" s="138">
        <f>'Expenditures 15-22'!C60</f>
        <v>161975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362632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662772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247964</v>
      </c>
      <c r="D749" s="2" t="str">
        <f t="shared" si="10"/>
        <v>Error?</v>
      </c>
    </row>
    <row r="750" spans="1:4" x14ac:dyDescent="0.2">
      <c r="A750" s="10">
        <v>689</v>
      </c>
      <c r="D750" s="2" t="str">
        <f t="shared" si="10"/>
        <v>OK</v>
      </c>
    </row>
    <row r="751" spans="1:4" x14ac:dyDescent="0.2">
      <c r="A751" s="5">
        <v>690</v>
      </c>
      <c r="B751" s="138">
        <f>'Expenditures 15-22'!C71</f>
        <v>378822</v>
      </c>
      <c r="D751" s="2" t="str">
        <f t="shared" si="10"/>
        <v>Error?</v>
      </c>
    </row>
    <row r="752" spans="1:4" x14ac:dyDescent="0.2">
      <c r="A752" s="10">
        <v>691</v>
      </c>
      <c r="D752" s="2" t="str">
        <f t="shared" si="10"/>
        <v>OK</v>
      </c>
    </row>
    <row r="753" spans="1:4" x14ac:dyDescent="0.2">
      <c r="A753" s="5">
        <v>692</v>
      </c>
      <c r="B753" s="138">
        <f>'Expenditures 15-22'!C72</f>
        <v>626786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5651814</v>
      </c>
      <c r="C755" s="2" t="s">
        <v>572</v>
      </c>
      <c r="D755" s="2" t="str">
        <f t="shared" si="10"/>
        <v>Error?</v>
      </c>
    </row>
    <row r="756" spans="1:4" x14ac:dyDescent="0.2">
      <c r="A756" s="5">
        <v>695</v>
      </c>
      <c r="B756" s="138">
        <f>'Expenditures 15-22'!C75</f>
        <v>54777</v>
      </c>
      <c r="D756" s="2" t="str">
        <f t="shared" si="10"/>
        <v>Error?</v>
      </c>
    </row>
    <row r="757" spans="1:4" x14ac:dyDescent="0.2">
      <c r="A757" s="5">
        <v>696</v>
      </c>
      <c r="B757" s="138">
        <f>'Expenditures 15-22'!C114</f>
        <v>26817503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277465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3787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26100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402144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16909</v>
      </c>
      <c r="D780" s="2" t="str">
        <f t="shared" si="11"/>
        <v>Error?</v>
      </c>
    </row>
    <row r="781" spans="1:4" x14ac:dyDescent="0.2">
      <c r="A781" s="5">
        <v>720</v>
      </c>
      <c r="B781" s="138">
        <f>'Expenditures 15-22'!D38</f>
        <v>1291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758</v>
      </c>
      <c r="D784" s="2" t="str">
        <f t="shared" si="11"/>
        <v>Error?</v>
      </c>
    </row>
    <row r="785" spans="1:4" x14ac:dyDescent="0.2">
      <c r="A785" s="5">
        <v>724</v>
      </c>
      <c r="B785" s="138">
        <f>'Expenditures 15-22'!D42</f>
        <v>18958</v>
      </c>
      <c r="C785" s="2" t="s">
        <v>572</v>
      </c>
      <c r="D785" s="2" t="str">
        <f t="shared" si="11"/>
        <v>Error?</v>
      </c>
    </row>
    <row r="786" spans="1:4" x14ac:dyDescent="0.2">
      <c r="A786" s="5">
        <v>725</v>
      </c>
      <c r="B786" s="138">
        <f>'Expenditures 15-22'!D44</f>
        <v>271572</v>
      </c>
      <c r="D786" s="2" t="str">
        <f t="shared" si="11"/>
        <v>Error?</v>
      </c>
    </row>
    <row r="787" spans="1:4" x14ac:dyDescent="0.2">
      <c r="A787" s="5">
        <v>726</v>
      </c>
      <c r="B787" s="138">
        <f>'Expenditures 15-22'!D45</f>
        <v>2178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273750</v>
      </c>
      <c r="C789" s="2" t="s">
        <v>572</v>
      </c>
      <c r="D789" s="2" t="str">
        <f t="shared" si="11"/>
        <v>Error?</v>
      </c>
    </row>
    <row r="790" spans="1:4" x14ac:dyDescent="0.2">
      <c r="A790" s="5">
        <v>729</v>
      </c>
      <c r="B790" s="138">
        <f>'Expenditures 15-22'!D49</f>
        <v>2741844</v>
      </c>
      <c r="D790" s="2" t="str">
        <f t="shared" si="11"/>
        <v>Error?</v>
      </c>
    </row>
    <row r="791" spans="1:4" x14ac:dyDescent="0.2">
      <c r="A791" s="5">
        <v>730</v>
      </c>
      <c r="B791" s="138">
        <f>'Expenditures 15-22'!D50</f>
        <v>63198</v>
      </c>
      <c r="D791" s="2" t="str">
        <f t="shared" si="11"/>
        <v>Error?</v>
      </c>
    </row>
    <row r="792" spans="1:4" x14ac:dyDescent="0.2">
      <c r="A792" s="5">
        <v>731</v>
      </c>
      <c r="B792" s="138">
        <f>'Expenditures 15-22'!D53</f>
        <v>2805042</v>
      </c>
      <c r="C792" s="2" t="s">
        <v>572</v>
      </c>
      <c r="D792" s="2" t="str">
        <f t="shared" si="11"/>
        <v>Error?</v>
      </c>
    </row>
    <row r="793" spans="1:4" x14ac:dyDescent="0.2">
      <c r="A793" s="5">
        <v>732</v>
      </c>
      <c r="B793" s="138">
        <f>'Expenditures 15-22'!D55</f>
        <v>441457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441457</v>
      </c>
      <c r="C795" s="2" t="s">
        <v>572</v>
      </c>
      <c r="D795" s="2" t="str">
        <f t="shared" si="11"/>
        <v>Error?</v>
      </c>
    </row>
    <row r="796" spans="1:4" x14ac:dyDescent="0.2">
      <c r="A796" s="5">
        <v>735</v>
      </c>
      <c r="B796" s="138">
        <f>'Expenditures 15-22'!D59</f>
        <v>209</v>
      </c>
      <c r="D796" s="2" t="str">
        <f t="shared" si="11"/>
        <v>Error?</v>
      </c>
    </row>
    <row r="797" spans="1:4" x14ac:dyDescent="0.2">
      <c r="A797" s="5">
        <v>736</v>
      </c>
      <c r="B797" s="138">
        <f>'Expenditures 15-22'!D60</f>
        <v>314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609</v>
      </c>
      <c r="D807" s="2" t="str">
        <f t="shared" si="11"/>
        <v>Error?</v>
      </c>
    </row>
    <row r="808" spans="1:4" x14ac:dyDescent="0.2">
      <c r="A808" s="10">
        <v>747</v>
      </c>
      <c r="D808" s="2" t="str">
        <f t="shared" si="11"/>
        <v>OK</v>
      </c>
    </row>
    <row r="809" spans="1:4" x14ac:dyDescent="0.2">
      <c r="A809" s="5">
        <v>748</v>
      </c>
      <c r="B809" s="138">
        <f>'Expenditures 15-22'!D71</f>
        <v>1395</v>
      </c>
      <c r="D809" s="2" t="str">
        <f t="shared" si="11"/>
        <v>Error?</v>
      </c>
    </row>
    <row r="810" spans="1:4" x14ac:dyDescent="0.2">
      <c r="A810" s="10">
        <v>749</v>
      </c>
      <c r="D810" s="2" t="str">
        <f t="shared" si="11"/>
        <v>OK</v>
      </c>
    </row>
    <row r="811" spans="1:4" x14ac:dyDescent="0.2">
      <c r="A811" s="5">
        <v>750</v>
      </c>
      <c r="B811" s="138">
        <f>'Expenditures 15-22'!D72</f>
        <v>2004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3541739</v>
      </c>
      <c r="C813" s="2" t="s">
        <v>572</v>
      </c>
      <c r="D813" s="2" t="str">
        <f t="shared" si="11"/>
        <v>Error?</v>
      </c>
    </row>
    <row r="814" spans="1:4" x14ac:dyDescent="0.2">
      <c r="A814" s="5">
        <v>753</v>
      </c>
      <c r="B814" s="138">
        <f>'Expenditures 15-22'!D75</f>
        <v>5461</v>
      </c>
      <c r="D814" s="2" t="str">
        <f t="shared" si="11"/>
        <v>Error?</v>
      </c>
    </row>
    <row r="815" spans="1:4" x14ac:dyDescent="0.2">
      <c r="A815" s="5">
        <v>754</v>
      </c>
      <c r="B815" s="138">
        <f>'Expenditures 15-22'!D114</f>
        <v>3949344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324248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87797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1015201</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76330</v>
      </c>
      <c r="D844" s="2" t="str">
        <f t="shared" si="12"/>
        <v>Error?</v>
      </c>
    </row>
    <row r="845" spans="1:4" x14ac:dyDescent="0.2">
      <c r="A845" s="5">
        <v>784</v>
      </c>
      <c r="B845" s="138">
        <f>'Expenditures 15-22'!E45</f>
        <v>4317</v>
      </c>
      <c r="D845" s="2" t="str">
        <f t="shared" si="12"/>
        <v>Error?</v>
      </c>
    </row>
    <row r="846" spans="1:4" x14ac:dyDescent="0.2">
      <c r="A846" s="5">
        <v>785</v>
      </c>
      <c r="B846" s="138">
        <f>'Expenditures 15-22'!E46</f>
        <v>5707</v>
      </c>
      <c r="D846" s="2" t="str">
        <f t="shared" si="12"/>
        <v>Error?</v>
      </c>
    </row>
    <row r="847" spans="1:4" x14ac:dyDescent="0.2">
      <c r="A847" s="5">
        <v>786</v>
      </c>
      <c r="B847" s="138">
        <f>'Expenditures 15-22'!E47</f>
        <v>86354</v>
      </c>
      <c r="C847" s="2" t="s">
        <v>572</v>
      </c>
      <c r="D847" s="2" t="str">
        <f t="shared" si="12"/>
        <v>Error?</v>
      </c>
    </row>
    <row r="848" spans="1:4" x14ac:dyDescent="0.2">
      <c r="A848" s="5">
        <v>787</v>
      </c>
      <c r="B848" s="138">
        <f>'Expenditures 15-22'!E49</f>
        <v>518555</v>
      </c>
      <c r="D848" s="2" t="str">
        <f t="shared" si="12"/>
        <v>Error?</v>
      </c>
    </row>
    <row r="849" spans="1:4" x14ac:dyDescent="0.2">
      <c r="A849" s="5">
        <v>788</v>
      </c>
      <c r="B849" s="138">
        <f>'Expenditures 15-22'!E50</f>
        <v>72319</v>
      </c>
      <c r="D849" s="2" t="str">
        <f t="shared" si="12"/>
        <v>Error?</v>
      </c>
    </row>
    <row r="850" spans="1:4" x14ac:dyDescent="0.2">
      <c r="A850" s="5">
        <v>789</v>
      </c>
      <c r="B850" s="138">
        <f>'Expenditures 15-22'!E53</f>
        <v>590874</v>
      </c>
      <c r="C850" s="2" t="s">
        <v>572</v>
      </c>
      <c r="D850" s="2" t="str">
        <f t="shared" si="12"/>
        <v>Error?</v>
      </c>
    </row>
    <row r="851" spans="1:4" x14ac:dyDescent="0.2">
      <c r="A851" s="5">
        <v>790</v>
      </c>
      <c r="B851" s="138">
        <f>'Expenditures 15-22'!E55</f>
        <v>87098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87098</v>
      </c>
      <c r="C853" s="2" t="s">
        <v>572</v>
      </c>
      <c r="D853" s="2" t="str">
        <f t="shared" si="12"/>
        <v>Error?</v>
      </c>
    </row>
    <row r="854" spans="1:4" x14ac:dyDescent="0.2">
      <c r="A854" s="5">
        <v>793</v>
      </c>
      <c r="B854" s="138">
        <f>'Expenditures 15-22'!E59</f>
        <v>29924</v>
      </c>
      <c r="D854" s="2" t="str">
        <f t="shared" si="12"/>
        <v>Error?</v>
      </c>
    </row>
    <row r="855" spans="1:4" x14ac:dyDescent="0.2">
      <c r="A855" s="5">
        <v>794</v>
      </c>
      <c r="B855" s="138">
        <f>'Expenditures 15-22'!E60</f>
        <v>95099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125023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98526</v>
      </c>
      <c r="D865" s="2" t="str">
        <f t="shared" si="12"/>
        <v>Error?</v>
      </c>
    </row>
    <row r="866" spans="1:4" x14ac:dyDescent="0.2">
      <c r="A866" s="10">
        <v>805</v>
      </c>
      <c r="D866" s="2" t="str">
        <f t="shared" si="12"/>
        <v>OK</v>
      </c>
    </row>
    <row r="867" spans="1:4" x14ac:dyDescent="0.2">
      <c r="A867" s="5">
        <v>806</v>
      </c>
      <c r="B867" s="138">
        <f>'Expenditures 15-22'!E71</f>
        <v>279094</v>
      </c>
      <c r="D867" s="2" t="str">
        <f t="shared" si="12"/>
        <v>Error?</v>
      </c>
    </row>
    <row r="868" spans="1:4" x14ac:dyDescent="0.2">
      <c r="A868" s="10">
        <v>807</v>
      </c>
      <c r="D868" s="2" t="str">
        <f t="shared" si="12"/>
        <v>OK</v>
      </c>
    </row>
    <row r="869" spans="1:4" x14ac:dyDescent="0.2">
      <c r="A869" s="5">
        <v>808</v>
      </c>
      <c r="B869" s="138">
        <f>'Expenditures 15-22'!E72</f>
        <v>377620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1266969</v>
      </c>
      <c r="C871" s="2" t="s">
        <v>572</v>
      </c>
      <c r="D871" s="2" t="str">
        <f t="shared" si="12"/>
        <v>Error?</v>
      </c>
    </row>
    <row r="872" spans="1:4" x14ac:dyDescent="0.2">
      <c r="A872" s="5">
        <v>811</v>
      </c>
      <c r="B872" s="138">
        <f>'Expenditures 15-22'!E75</f>
        <v>9218</v>
      </c>
      <c r="D872" s="2" t="str">
        <f t="shared" si="12"/>
        <v>Error?</v>
      </c>
    </row>
    <row r="873" spans="1:4" x14ac:dyDescent="0.2">
      <c r="A873" s="5">
        <v>812</v>
      </c>
      <c r="B873" s="138">
        <f>'Expenditures 15-22'!E114</f>
        <v>2304913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484924</v>
      </c>
      <c r="D879" s="2" t="str">
        <f t="shared" si="12"/>
        <v>Error?</v>
      </c>
    </row>
    <row r="880" spans="1:4" x14ac:dyDescent="0.2">
      <c r="A880" s="5">
        <v>819</v>
      </c>
      <c r="B880" s="138">
        <f>'Expenditures 15-22'!F16</f>
        <v>4625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10080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109254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732902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1391</v>
      </c>
      <c r="D896" s="2" t="str">
        <f t="shared" si="13"/>
        <v>Error?</v>
      </c>
    </row>
    <row r="897" spans="1:4" x14ac:dyDescent="0.2">
      <c r="A897" s="5">
        <v>836</v>
      </c>
      <c r="B897" s="138">
        <f>'Expenditures 15-22'!F38</f>
        <v>27664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23928</v>
      </c>
      <c r="D900" s="2" t="str">
        <f t="shared" si="13"/>
        <v>Error?</v>
      </c>
    </row>
    <row r="901" spans="1:4" x14ac:dyDescent="0.2">
      <c r="A901" s="5">
        <v>840</v>
      </c>
      <c r="B901" s="138">
        <f>'Expenditures 15-22'!F42</f>
        <v>52983</v>
      </c>
      <c r="C901" s="2" t="s">
        <v>572</v>
      </c>
      <c r="D901" s="2" t="str">
        <f t="shared" si="13"/>
        <v>Error?</v>
      </c>
    </row>
    <row r="902" spans="1:4" x14ac:dyDescent="0.2">
      <c r="A902" s="5">
        <v>841</v>
      </c>
      <c r="B902" s="138">
        <f>'Expenditures 15-22'!F44</f>
        <v>225483</v>
      </c>
      <c r="D902" s="2" t="str">
        <f t="shared" si="13"/>
        <v>Error?</v>
      </c>
    </row>
    <row r="903" spans="1:4" x14ac:dyDescent="0.2">
      <c r="A903" s="5">
        <v>842</v>
      </c>
      <c r="B903" s="138">
        <f>'Expenditures 15-22'!F45</f>
        <v>72114</v>
      </c>
      <c r="D903" s="2" t="str">
        <f t="shared" si="13"/>
        <v>Error?</v>
      </c>
    </row>
    <row r="904" spans="1:4" x14ac:dyDescent="0.2">
      <c r="A904" s="5">
        <v>843</v>
      </c>
      <c r="B904" s="138">
        <f>'Expenditures 15-22'!F46</f>
        <v>2527</v>
      </c>
      <c r="D904" s="2" t="str">
        <f t="shared" si="13"/>
        <v>Error?</v>
      </c>
    </row>
    <row r="905" spans="1:4" x14ac:dyDescent="0.2">
      <c r="A905" s="5">
        <v>844</v>
      </c>
      <c r="B905" s="138">
        <f>'Expenditures 15-22'!F47</f>
        <v>300124</v>
      </c>
      <c r="C905" s="2" t="s">
        <v>572</v>
      </c>
      <c r="D905" s="2" t="str">
        <f t="shared" si="13"/>
        <v>Error?</v>
      </c>
    </row>
    <row r="906" spans="1:4" x14ac:dyDescent="0.2">
      <c r="A906" s="5">
        <v>845</v>
      </c>
      <c r="B906" s="138">
        <f>'Expenditures 15-22'!F49</f>
        <v>7644</v>
      </c>
      <c r="D906" s="2" t="str">
        <f t="shared" si="13"/>
        <v>Error?</v>
      </c>
    </row>
    <row r="907" spans="1:4" x14ac:dyDescent="0.2">
      <c r="A907" s="5">
        <v>846</v>
      </c>
      <c r="B907" s="138">
        <f>'Expenditures 15-22'!F50</f>
        <v>10767</v>
      </c>
      <c r="D907" s="2" t="str">
        <f t="shared" si="13"/>
        <v>Error?</v>
      </c>
    </row>
    <row r="908" spans="1:4" x14ac:dyDescent="0.2">
      <c r="A908" s="5">
        <v>847</v>
      </c>
      <c r="B908" s="138">
        <f>'Expenditures 15-22'!F53</f>
        <v>18411</v>
      </c>
      <c r="C908" s="2" t="s">
        <v>572</v>
      </c>
      <c r="D908" s="2" t="str">
        <f t="shared" si="13"/>
        <v>Error?</v>
      </c>
    </row>
    <row r="909" spans="1:4" x14ac:dyDescent="0.2">
      <c r="A909" s="5">
        <v>848</v>
      </c>
      <c r="B909" s="138">
        <f>'Expenditures 15-22'!F55</f>
        <v>22979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22979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41674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998109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1039783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979</v>
      </c>
      <c r="D923" s="2" t="str">
        <f t="shared" si="13"/>
        <v>Error?</v>
      </c>
    </row>
    <row r="924" spans="1:4" x14ac:dyDescent="0.2">
      <c r="A924" s="10">
        <v>863</v>
      </c>
      <c r="D924" s="2" t="str">
        <f t="shared" si="13"/>
        <v>OK</v>
      </c>
    </row>
    <row r="925" spans="1:4" x14ac:dyDescent="0.2">
      <c r="A925" s="5">
        <v>864</v>
      </c>
      <c r="B925" s="138">
        <f>'Expenditures 15-22'!F71</f>
        <v>275786</v>
      </c>
      <c r="D925" s="2" t="str">
        <f t="shared" si="13"/>
        <v>Error?</v>
      </c>
    </row>
    <row r="926" spans="1:4" x14ac:dyDescent="0.2">
      <c r="A926" s="10">
        <v>865</v>
      </c>
      <c r="D926" s="2" t="str">
        <f t="shared" si="13"/>
        <v>OK</v>
      </c>
    </row>
    <row r="927" spans="1:4" x14ac:dyDescent="0.2">
      <c r="A927" s="5">
        <v>866</v>
      </c>
      <c r="B927" s="138">
        <f>'Expenditures 15-22'!F72</f>
        <v>276765</v>
      </c>
      <c r="C927" s="2" t="s">
        <v>572</v>
      </c>
      <c r="D927" s="2" t="str">
        <f t="shared" si="13"/>
        <v>Error?</v>
      </c>
    </row>
    <row r="928" spans="1:4" x14ac:dyDescent="0.2">
      <c r="A928" s="5">
        <v>867</v>
      </c>
      <c r="B928" s="138">
        <f>'Expenditures 15-22'!F73</f>
        <v>1945</v>
      </c>
      <c r="D928" s="2" t="str">
        <f t="shared" si="13"/>
        <v>Error?</v>
      </c>
    </row>
    <row r="929" spans="1:4" x14ac:dyDescent="0.2">
      <c r="A929" s="5">
        <v>868</v>
      </c>
      <c r="B929" s="138">
        <f>'Expenditures 15-22'!F74</f>
        <v>1712990</v>
      </c>
      <c r="C929" s="2" t="s">
        <v>572</v>
      </c>
      <c r="D929" s="2" t="str">
        <f t="shared" si="13"/>
        <v>Error?</v>
      </c>
    </row>
    <row r="930" spans="1:4" x14ac:dyDescent="0.2">
      <c r="A930" s="5">
        <v>869</v>
      </c>
      <c r="B930" s="138">
        <f>'Expenditures 15-22'!F75</f>
        <v>62</v>
      </c>
      <c r="D930" s="2" t="str">
        <f t="shared" si="13"/>
        <v>Error?</v>
      </c>
    </row>
    <row r="931" spans="1:4" x14ac:dyDescent="0.2">
      <c r="A931" s="5">
        <v>870</v>
      </c>
      <c r="B931" s="138">
        <f>'Expenditures 15-22'!F114</f>
        <v>2445954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131921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140159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2548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2548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2548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142707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271998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63457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63457</v>
      </c>
      <c r="C1021" s="2" t="s">
        <v>572</v>
      </c>
      <c r="D1021" s="2" t="str">
        <f t="shared" si="14"/>
        <v>Error?</v>
      </c>
    </row>
    <row r="1022" spans="1:4" x14ac:dyDescent="0.2">
      <c r="A1022" s="5">
        <v>961</v>
      </c>
      <c r="B1022" s="138">
        <f>'Expenditures 15-22'!H49</f>
        <v>13008</v>
      </c>
      <c r="D1022" s="2" t="str">
        <f t="shared" si="14"/>
        <v>Error?</v>
      </c>
    </row>
    <row r="1023" spans="1:4" x14ac:dyDescent="0.2">
      <c r="A1023" s="5">
        <v>962</v>
      </c>
      <c r="B1023" s="138">
        <f>'Expenditures 15-22'!H50</f>
        <v>7683</v>
      </c>
      <c r="D1023" s="2" t="str">
        <f t="shared" ref="D1023:D1086" si="15">IF(ISBLANK(B1023),"OK",IF(A1023-B1023=0,"OK","Error?"))</f>
        <v>Error?</v>
      </c>
    </row>
    <row r="1024" spans="1:4" x14ac:dyDescent="0.2">
      <c r="A1024" s="5">
        <v>963</v>
      </c>
      <c r="B1024" s="138">
        <f>'Expenditures 15-22'!H53</f>
        <v>20691</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398</v>
      </c>
      <c r="D1028" s="2" t="str">
        <f t="shared" si="15"/>
        <v>Error?</v>
      </c>
    </row>
    <row r="1029" spans="1:4" x14ac:dyDescent="0.2">
      <c r="A1029" s="5">
        <v>968</v>
      </c>
      <c r="B1029" s="138">
        <f>'Expenditures 15-22'!H60</f>
        <v>32777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33175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130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130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117453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1893187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2282638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17111697</v>
      </c>
      <c r="C1093" s="2" t="s">
        <v>572</v>
      </c>
      <c r="D1093" s="2" t="str">
        <f t="shared" si="16"/>
        <v>Error?</v>
      </c>
    </row>
    <row r="1094" spans="1:4" x14ac:dyDescent="0.2">
      <c r="A1094" s="5">
        <v>1033</v>
      </c>
      <c r="B1094" s="138">
        <f>'Expenditures 15-22'!K16</f>
        <v>4625</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63154</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604586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23758061</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996859</v>
      </c>
      <c r="C1110" s="2" t="s">
        <v>572</v>
      </c>
      <c r="D1110" s="2" t="str">
        <f t="shared" si="16"/>
        <v>Error?</v>
      </c>
    </row>
    <row r="1111" spans="1:4" x14ac:dyDescent="0.2">
      <c r="A1111" s="5">
        <v>1050</v>
      </c>
      <c r="B1111" s="138">
        <f>'Expenditures 15-22'!K38</f>
        <v>388102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98895</v>
      </c>
      <c r="C1114" s="2" t="s">
        <v>572</v>
      </c>
      <c r="D1114" s="2" t="str">
        <f t="shared" si="16"/>
        <v>Error?</v>
      </c>
    </row>
    <row r="1115" spans="1:4" x14ac:dyDescent="0.2">
      <c r="A1115" s="5">
        <v>1054</v>
      </c>
      <c r="B1115" s="138">
        <f>'Expenditures 15-22'!K42</f>
        <v>1483856</v>
      </c>
      <c r="C1115" s="2" t="s">
        <v>572</v>
      </c>
      <c r="D1115" s="2" t="str">
        <f t="shared" si="16"/>
        <v>Error?</v>
      </c>
    </row>
    <row r="1116" spans="1:4" x14ac:dyDescent="0.2">
      <c r="A1116" s="5">
        <v>1055</v>
      </c>
      <c r="B1116" s="138">
        <f>'Expenditures 15-22'!K44</f>
        <v>986375</v>
      </c>
      <c r="C1116" s="2" t="s">
        <v>572</v>
      </c>
      <c r="D1116" s="2" t="str">
        <f t="shared" si="16"/>
        <v>Error?</v>
      </c>
    </row>
    <row r="1117" spans="1:4" x14ac:dyDescent="0.2">
      <c r="A1117" s="5">
        <v>1056</v>
      </c>
      <c r="B1117" s="138">
        <f>'Expenditures 15-22'!K45</f>
        <v>529601</v>
      </c>
      <c r="C1117" s="2" t="s">
        <v>572</v>
      </c>
      <c r="D1117" s="2" t="str">
        <f t="shared" si="16"/>
        <v>Error?</v>
      </c>
    </row>
    <row r="1118" spans="1:4" x14ac:dyDescent="0.2">
      <c r="A1118" s="5">
        <v>1057</v>
      </c>
      <c r="B1118" s="138">
        <f>'Expenditures 15-22'!K46</f>
        <v>8234</v>
      </c>
      <c r="C1118" s="2" t="s">
        <v>572</v>
      </c>
      <c r="D1118" s="2" t="str">
        <f t="shared" si="16"/>
        <v>Error?</v>
      </c>
    </row>
    <row r="1119" spans="1:4" x14ac:dyDescent="0.2">
      <c r="A1119" s="5">
        <v>1058</v>
      </c>
      <c r="B1119" s="138">
        <f>'Expenditures 15-22'!K47</f>
        <v>1524210</v>
      </c>
      <c r="C1119" s="2" t="s">
        <v>572</v>
      </c>
      <c r="D1119" s="2" t="str">
        <f t="shared" si="16"/>
        <v>Error?</v>
      </c>
    </row>
    <row r="1120" spans="1:4" x14ac:dyDescent="0.2">
      <c r="A1120" s="5">
        <v>1059</v>
      </c>
      <c r="B1120" s="138">
        <f>'Expenditures 15-22'!K49</f>
        <v>3476973</v>
      </c>
      <c r="C1120" s="2" t="s">
        <v>572</v>
      </c>
      <c r="D1120" s="2" t="str">
        <f t="shared" si="16"/>
        <v>Error?</v>
      </c>
    </row>
    <row r="1121" spans="1:4" x14ac:dyDescent="0.2">
      <c r="A1121" s="5">
        <v>1060</v>
      </c>
      <c r="B1121" s="138">
        <f>'Expenditures 15-22'!K50</f>
        <v>356476</v>
      </c>
      <c r="C1121" s="2" t="s">
        <v>572</v>
      </c>
      <c r="D1121" s="2" t="str">
        <f t="shared" si="16"/>
        <v>Error?</v>
      </c>
    </row>
    <row r="1122" spans="1:4" x14ac:dyDescent="0.2">
      <c r="A1122" s="5">
        <v>1061</v>
      </c>
      <c r="B1122" s="138">
        <f>'Expenditures 15-22'!K53</f>
        <v>3833449</v>
      </c>
      <c r="C1122" s="2" t="s">
        <v>572</v>
      </c>
      <c r="D1122" s="2" t="str">
        <f t="shared" si="16"/>
        <v>Error?</v>
      </c>
    </row>
    <row r="1123" spans="1:4" x14ac:dyDescent="0.2">
      <c r="A1123" s="5">
        <v>1062</v>
      </c>
      <c r="B1123" s="138">
        <f>'Expenditures 15-22'!K55</f>
        <v>2438819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2438819</v>
      </c>
      <c r="C1125" s="2" t="s">
        <v>572</v>
      </c>
      <c r="D1125" s="2" t="str">
        <f t="shared" si="16"/>
        <v>Error?</v>
      </c>
    </row>
    <row r="1126" spans="1:4" x14ac:dyDescent="0.2">
      <c r="A1126" s="5">
        <v>1065</v>
      </c>
      <c r="B1126" s="138">
        <f>'Expenditures 15-22'!K59</f>
        <v>168696</v>
      </c>
      <c r="C1126" s="2" t="s">
        <v>572</v>
      </c>
      <c r="D1126" s="2" t="str">
        <f t="shared" si="16"/>
        <v>Error?</v>
      </c>
    </row>
    <row r="1127" spans="1:4" x14ac:dyDescent="0.2">
      <c r="A1127" s="5">
        <v>1066</v>
      </c>
      <c r="B1127" s="138">
        <f>'Expenditures 15-22'!K60</f>
        <v>335676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1360746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1865118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348208</v>
      </c>
      <c r="C1137" s="2" t="s">
        <v>572</v>
      </c>
      <c r="D1137" s="2" t="str">
        <f t="shared" si="16"/>
        <v>Error?</v>
      </c>
    </row>
    <row r="1138" spans="1:4" x14ac:dyDescent="0.2">
      <c r="A1138" s="10">
        <v>1077</v>
      </c>
      <c r="D1138" s="2" t="str">
        <f t="shared" si="16"/>
        <v>OK</v>
      </c>
    </row>
    <row r="1139" spans="1:4" x14ac:dyDescent="0.2">
      <c r="A1139" s="5">
        <v>1078</v>
      </c>
      <c r="B1139" s="138">
        <f>'Expenditures 15-22'!K71</f>
        <v>1920971</v>
      </c>
      <c r="C1139" s="2" t="s">
        <v>572</v>
      </c>
      <c r="D1139" s="2" t="str">
        <f t="shared" si="16"/>
        <v>Error?</v>
      </c>
    </row>
    <row r="1140" spans="1:4" x14ac:dyDescent="0.2">
      <c r="A1140" s="10">
        <v>1079</v>
      </c>
      <c r="D1140" s="2" t="str">
        <f t="shared" si="16"/>
        <v>OK</v>
      </c>
    </row>
    <row r="1141" spans="1:4" x14ac:dyDescent="0.2">
      <c r="A1141" s="5">
        <v>1080</v>
      </c>
      <c r="B1141" s="138">
        <f>'Expenditures 15-22'!K72</f>
        <v>2269179</v>
      </c>
      <c r="C1141" s="2" t="s">
        <v>572</v>
      </c>
      <c r="D1141" s="2" t="str">
        <f t="shared" si="16"/>
        <v>Error?</v>
      </c>
    </row>
    <row r="1142" spans="1:4" x14ac:dyDescent="0.2">
      <c r="A1142" s="5">
        <v>1081</v>
      </c>
      <c r="B1142" s="138">
        <f>'Expenditures 15-22'!K73</f>
        <v>1945</v>
      </c>
      <c r="C1142" s="2" t="s">
        <v>572</v>
      </c>
      <c r="D1142" s="2" t="str">
        <f t="shared" si="16"/>
        <v>Error?</v>
      </c>
    </row>
    <row r="1143" spans="1:4" x14ac:dyDescent="0.2">
      <c r="A1143" s="5">
        <v>1082</v>
      </c>
      <c r="B1143" s="138">
        <f>'Expenditures 15-22'!K74</f>
        <v>13416576</v>
      </c>
      <c r="C1143" s="2" t="s">
        <v>572</v>
      </c>
      <c r="D1143" s="2" t="str">
        <f t="shared" si="16"/>
        <v>Error?</v>
      </c>
    </row>
    <row r="1144" spans="1:4" x14ac:dyDescent="0.2">
      <c r="A1144" s="5">
        <v>1083</v>
      </c>
      <c r="B1144" s="138">
        <f>'Expenditures 15-22'!K75</f>
        <v>69518</v>
      </c>
      <c r="C1144" s="2" t="s">
        <v>572</v>
      </c>
      <c r="D1144" s="2" t="str">
        <f t="shared" si="16"/>
        <v>Error?</v>
      </c>
    </row>
    <row r="1145" spans="1:4" x14ac:dyDescent="0.2">
      <c r="A1145" s="5">
        <v>1084</v>
      </c>
      <c r="B1145" s="138">
        <f>'Expenditures 15-22'!K102</f>
        <v>1906712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39150867</v>
      </c>
      <c r="C1152" s="2" t="s">
        <v>572</v>
      </c>
      <c r="D1152" s="2" t="str">
        <f t="shared" si="17"/>
        <v>Error?</v>
      </c>
    </row>
    <row r="1153" spans="1:4" x14ac:dyDescent="0.2">
      <c r="A1153" s="5">
        <v>1092</v>
      </c>
      <c r="B1153" s="138">
        <f>'Expenditures 15-22'!K115</f>
        <v>2239612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1585826</v>
      </c>
      <c r="D1221" s="2" t="str">
        <f t="shared" si="18"/>
        <v>Error?</v>
      </c>
    </row>
    <row r="1222" spans="1:4" x14ac:dyDescent="0.2">
      <c r="A1222" s="10">
        <v>1161</v>
      </c>
      <c r="D1222" s="2" t="str">
        <f t="shared" si="18"/>
        <v>OK</v>
      </c>
    </row>
    <row r="1223" spans="1:4" x14ac:dyDescent="0.2">
      <c r="A1223" s="5">
        <v>1162</v>
      </c>
      <c r="B1223" s="138">
        <f>'Expenditures 15-22'!C127</f>
        <v>1585826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1585826</v>
      </c>
      <c r="C1225" s="2" t="s">
        <v>572</v>
      </c>
      <c r="D1225" s="2" t="str">
        <f t="shared" si="18"/>
        <v>Error?</v>
      </c>
    </row>
    <row r="1226" spans="1:4" x14ac:dyDescent="0.2">
      <c r="A1226" s="5">
        <v>1165</v>
      </c>
      <c r="B1226" s="138">
        <f>'Expenditures 15-22'!C151</f>
        <v>1585826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445483</v>
      </c>
      <c r="D1229" s="2" t="str">
        <f t="shared" si="18"/>
        <v>Error?</v>
      </c>
    </row>
    <row r="1230" spans="1:4" x14ac:dyDescent="0.2">
      <c r="A1230" s="10">
        <v>1169</v>
      </c>
      <c r="D1230" s="2" t="str">
        <f t="shared" si="18"/>
        <v>OK</v>
      </c>
    </row>
    <row r="1231" spans="1:4" x14ac:dyDescent="0.2">
      <c r="A1231" s="5">
        <v>1170</v>
      </c>
      <c r="B1231" s="138">
        <f>'Expenditures 15-22'!D127</f>
        <v>445483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445517</v>
      </c>
      <c r="C1233" s="2" t="s">
        <v>572</v>
      </c>
      <c r="D1233" s="2" t="str">
        <f t="shared" si="18"/>
        <v>Error?</v>
      </c>
    </row>
    <row r="1234" spans="1:4" x14ac:dyDescent="0.2">
      <c r="A1234" s="5">
        <v>1173</v>
      </c>
      <c r="B1234" s="138">
        <f>'Expenditures 15-22'!D151</f>
        <v>445517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984294</v>
      </c>
      <c r="D1237" s="2" t="str">
        <f t="shared" si="18"/>
        <v>Error?</v>
      </c>
    </row>
    <row r="1238" spans="1:4" x14ac:dyDescent="0.2">
      <c r="A1238" s="10">
        <v>1177</v>
      </c>
      <c r="D1238" s="2" t="str">
        <f t="shared" si="18"/>
        <v>OK</v>
      </c>
    </row>
    <row r="1239" spans="1:4" x14ac:dyDescent="0.2">
      <c r="A1239" s="5">
        <v>1178</v>
      </c>
      <c r="B1239" s="138">
        <f>'Expenditures 15-22'!E127</f>
        <v>984294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984294</v>
      </c>
      <c r="C1241" s="2" t="s">
        <v>572</v>
      </c>
      <c r="D1241" s="2" t="str">
        <f t="shared" si="18"/>
        <v>Error?</v>
      </c>
    </row>
    <row r="1242" spans="1:4" x14ac:dyDescent="0.2">
      <c r="A1242" s="5">
        <v>1181</v>
      </c>
      <c r="B1242" s="138">
        <f>'Expenditures 15-22'!E151</f>
        <v>984294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1001025</v>
      </c>
      <c r="D1245" s="2" t="str">
        <f t="shared" si="18"/>
        <v>Error?</v>
      </c>
    </row>
    <row r="1246" spans="1:4" x14ac:dyDescent="0.2">
      <c r="A1246" s="10">
        <v>1185</v>
      </c>
      <c r="D1246" s="2" t="str">
        <f t="shared" si="18"/>
        <v>OK</v>
      </c>
    </row>
    <row r="1247" spans="1:4" x14ac:dyDescent="0.2">
      <c r="A1247" s="5">
        <v>1186</v>
      </c>
      <c r="B1247" s="138">
        <f>'Expenditures 15-22'!F127</f>
        <v>1001025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1001025</v>
      </c>
      <c r="C1249" s="2" t="s">
        <v>572</v>
      </c>
      <c r="D1249" s="2" t="str">
        <f t="shared" si="18"/>
        <v>Error?</v>
      </c>
    </row>
    <row r="1250" spans="1:4" x14ac:dyDescent="0.2">
      <c r="A1250" s="5">
        <v>1189</v>
      </c>
      <c r="B1250" s="138">
        <f>'Expenditures 15-22'!F151</f>
        <v>1001025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48681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48681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48681</v>
      </c>
      <c r="C1258" s="2" t="s">
        <v>572</v>
      </c>
      <c r="D1258" s="2" t="str">
        <f t="shared" si="18"/>
        <v>Error?</v>
      </c>
    </row>
    <row r="1259" spans="1:4" x14ac:dyDescent="0.2">
      <c r="A1259" s="5">
        <v>1198</v>
      </c>
      <c r="B1259" s="138">
        <f>'Expenditures 15-22'!G151</f>
        <v>48681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2049</v>
      </c>
      <c r="D1262" s="2" t="str">
        <f t="shared" si="18"/>
        <v>Error?</v>
      </c>
    </row>
    <row r="1263" spans="1:4" x14ac:dyDescent="0.2">
      <c r="A1263" s="10">
        <v>1202</v>
      </c>
      <c r="D1263" s="2" t="str">
        <f t="shared" si="18"/>
        <v>OK</v>
      </c>
    </row>
    <row r="1264" spans="1:4" x14ac:dyDescent="0.2">
      <c r="A1264" s="5">
        <v>1203</v>
      </c>
      <c r="B1264" s="138">
        <f>'Expenditures 15-22'!H127</f>
        <v>2049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2049</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2049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4070591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4070591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4070625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4070625</v>
      </c>
      <c r="C1288" s="2" t="s">
        <v>572</v>
      </c>
      <c r="D1288" s="2" t="str">
        <f t="shared" si="19"/>
        <v>Error?</v>
      </c>
    </row>
    <row r="1289" spans="1:4" x14ac:dyDescent="0.2">
      <c r="A1289" s="5">
        <v>1228</v>
      </c>
      <c r="B1289" s="138">
        <f>'Expenditures 15-22'!K152</f>
        <v>-89951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2389229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4868000</v>
      </c>
      <c r="D1315" s="2" t="str">
        <f t="shared" si="19"/>
        <v>Error?</v>
      </c>
    </row>
    <row r="1316" spans="1:4" x14ac:dyDescent="0.2">
      <c r="A1316" s="5">
        <v>1255</v>
      </c>
      <c r="B1316" s="138">
        <f>'Expenditures 15-22'!H171</f>
        <v>6036</v>
      </c>
      <c r="D1316" s="2" t="str">
        <f t="shared" si="19"/>
        <v>Error?</v>
      </c>
    </row>
    <row r="1317" spans="1:4" x14ac:dyDescent="0.2">
      <c r="A1317" s="5">
        <v>1256</v>
      </c>
      <c r="B1317" s="138">
        <f>'Expenditures 15-22'!H172</f>
        <v>7263265</v>
      </c>
      <c r="C1317" s="2" t="s">
        <v>572</v>
      </c>
      <c r="D1317" s="2" t="str">
        <f t="shared" si="19"/>
        <v>Error?</v>
      </c>
    </row>
    <row r="1318" spans="1:4" x14ac:dyDescent="0.2">
      <c r="A1318" s="5">
        <v>1257</v>
      </c>
      <c r="B1318" s="138">
        <f>'Expenditures 15-22'!H174</f>
        <v>7263265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2389229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4868000</v>
      </c>
      <c r="C1329" s="2" t="s">
        <v>572</v>
      </c>
      <c r="D1329" s="2" t="str">
        <f t="shared" si="19"/>
        <v>Error?</v>
      </c>
    </row>
    <row r="1330" spans="1:4" x14ac:dyDescent="0.2">
      <c r="A1330" s="5">
        <v>1269</v>
      </c>
      <c r="B1330" s="138">
        <f>'Expenditures 15-22'!K171</f>
        <v>6036</v>
      </c>
      <c r="C1330" s="2" t="s">
        <v>572</v>
      </c>
      <c r="D1330" s="2" t="str">
        <f t="shared" si="19"/>
        <v>Error?</v>
      </c>
    </row>
    <row r="1331" spans="1:4" x14ac:dyDescent="0.2">
      <c r="A1331" s="5">
        <v>1270</v>
      </c>
      <c r="B1331" s="138">
        <f>'Expenditures 15-22'!K172</f>
        <v>7263265</v>
      </c>
      <c r="C1331" s="2" t="s">
        <v>572</v>
      </c>
      <c r="D1331" s="2" t="str">
        <f t="shared" si="19"/>
        <v>Error?</v>
      </c>
    </row>
    <row r="1332" spans="1:4" x14ac:dyDescent="0.2">
      <c r="A1332" s="5">
        <v>1271</v>
      </c>
      <c r="B1332" s="138">
        <f>'Expenditures 15-22'!K174</f>
        <v>7263265</v>
      </c>
      <c r="C1332" s="2" t="s">
        <v>572</v>
      </c>
      <c r="D1332" s="2" t="str">
        <f t="shared" si="19"/>
        <v>Error?</v>
      </c>
    </row>
    <row r="1333" spans="1:4" x14ac:dyDescent="0.2">
      <c r="A1333" s="5">
        <v>1272</v>
      </c>
      <c r="B1333" s="138">
        <f>'Expenditures 15-22'!K175</f>
        <v>-783165</v>
      </c>
      <c r="C1333" s="2" t="s">
        <v>572</v>
      </c>
      <c r="D1333" s="2" t="str">
        <f t="shared" si="19"/>
        <v>Error?</v>
      </c>
    </row>
    <row r="1334" spans="1:4" x14ac:dyDescent="0.2">
      <c r="A1334" s="10">
        <v>1273</v>
      </c>
      <c r="D1334" s="2" t="str">
        <f t="shared" si="19"/>
        <v>OK</v>
      </c>
    </row>
    <row r="1335" spans="1:4" x14ac:dyDescent="0.2">
      <c r="A1335" s="5">
        <v>1274</v>
      </c>
      <c r="B1335" s="138">
        <f>'Expenditures 15-22'!C182</f>
        <v>1687701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1687701</v>
      </c>
      <c r="C1339" s="2" t="s">
        <v>572</v>
      </c>
      <c r="D1339" s="2" t="str">
        <f t="shared" si="19"/>
        <v>Error?</v>
      </c>
    </row>
    <row r="1340" spans="1:4" x14ac:dyDescent="0.2">
      <c r="A1340" s="5">
        <v>1279</v>
      </c>
      <c r="B1340" s="138">
        <f>'Expenditures 15-22'!C210</f>
        <v>1687701</v>
      </c>
      <c r="C1340" s="2" t="s">
        <v>572</v>
      </c>
      <c r="D1340" s="2" t="str">
        <f t="shared" si="19"/>
        <v>Error?</v>
      </c>
    </row>
    <row r="1341" spans="1:4" x14ac:dyDescent="0.2">
      <c r="A1341" s="5">
        <v>1280</v>
      </c>
      <c r="B1341" s="138">
        <f>'Expenditures 15-22'!D182</f>
        <v>465326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465326</v>
      </c>
      <c r="C1345" s="2" t="s">
        <v>572</v>
      </c>
      <c r="D1345" s="2" t="str">
        <f t="shared" si="20"/>
        <v>Error?</v>
      </c>
    </row>
    <row r="1346" spans="1:4" x14ac:dyDescent="0.2">
      <c r="A1346" s="5">
        <v>1285</v>
      </c>
      <c r="B1346" s="138">
        <f>'Expenditures 15-22'!D210</f>
        <v>465326</v>
      </c>
      <c r="C1346" s="2" t="s">
        <v>572</v>
      </c>
      <c r="D1346" s="2" t="str">
        <f t="shared" si="20"/>
        <v>Error?</v>
      </c>
    </row>
    <row r="1347" spans="1:4" x14ac:dyDescent="0.2">
      <c r="A1347" s="5">
        <v>1286</v>
      </c>
      <c r="B1347" s="138">
        <f>'Expenditures 15-22'!E182</f>
        <v>602513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602513</v>
      </c>
      <c r="C1351" s="2" t="s">
        <v>572</v>
      </c>
      <c r="D1351" s="2" t="str">
        <f t="shared" si="20"/>
        <v>Error?</v>
      </c>
    </row>
    <row r="1352" spans="1:4" x14ac:dyDescent="0.2">
      <c r="A1352" s="5">
        <v>1291</v>
      </c>
      <c r="B1352" s="138">
        <f>'Expenditures 15-22'!E196</f>
        <v>19509</v>
      </c>
      <c r="C1352" s="2" t="s">
        <v>572</v>
      </c>
      <c r="D1352" s="2" t="str">
        <f t="shared" si="20"/>
        <v>Error?</v>
      </c>
    </row>
    <row r="1353" spans="1:4" x14ac:dyDescent="0.2">
      <c r="A1353" s="5">
        <v>1292</v>
      </c>
      <c r="B1353" s="138">
        <f>'Expenditures 15-22'!E210</f>
        <v>622022</v>
      </c>
      <c r="C1353" s="2" t="s">
        <v>572</v>
      </c>
      <c r="D1353" s="2" t="str">
        <f t="shared" si="20"/>
        <v>Error?</v>
      </c>
    </row>
    <row r="1354" spans="1:4" x14ac:dyDescent="0.2">
      <c r="A1354" s="5">
        <v>1293</v>
      </c>
      <c r="B1354" s="138">
        <f>'Expenditures 15-22'!F182</f>
        <v>202582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202582</v>
      </c>
      <c r="C1358" s="2" t="s">
        <v>572</v>
      </c>
      <c r="D1358" s="2" t="str">
        <f t="shared" si="20"/>
        <v>Error?</v>
      </c>
    </row>
    <row r="1359" spans="1:4" x14ac:dyDescent="0.2">
      <c r="A1359" s="5">
        <v>1298</v>
      </c>
      <c r="B1359" s="138">
        <f>'Expenditures 15-22'!F210</f>
        <v>202582</v>
      </c>
      <c r="C1359" s="2" t="s">
        <v>572</v>
      </c>
      <c r="D1359" s="2" t="str">
        <f t="shared" si="20"/>
        <v>Error?</v>
      </c>
    </row>
    <row r="1360" spans="1:4" x14ac:dyDescent="0.2">
      <c r="A1360" s="5">
        <v>1299</v>
      </c>
      <c r="B1360" s="138">
        <f>'Expenditures 15-22'!G182</f>
        <v>749355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749355</v>
      </c>
      <c r="C1364" s="2" t="s">
        <v>572</v>
      </c>
      <c r="D1364" s="2" t="str">
        <f t="shared" si="20"/>
        <v>Error?</v>
      </c>
    </row>
    <row r="1365" spans="1:4" x14ac:dyDescent="0.2">
      <c r="A1365" s="5">
        <v>1304</v>
      </c>
      <c r="B1365" s="138">
        <f>'Expenditures 15-22'!G210</f>
        <v>749355</v>
      </c>
      <c r="C1365" s="2" t="s">
        <v>572</v>
      </c>
      <c r="D1365" s="2" t="str">
        <f t="shared" si="20"/>
        <v>Error?</v>
      </c>
    </row>
    <row r="1366" spans="1:4" x14ac:dyDescent="0.2">
      <c r="A1366" s="5">
        <v>1305</v>
      </c>
      <c r="B1366" s="138">
        <f>'Expenditures 15-22'!H182</f>
        <v>6756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6756</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6756</v>
      </c>
      <c r="C1376" s="2" t="s">
        <v>572</v>
      </c>
      <c r="D1376" s="2" t="str">
        <f t="shared" si="20"/>
        <v>Error?</v>
      </c>
    </row>
    <row r="1377" spans="1:4" x14ac:dyDescent="0.2">
      <c r="A1377" s="5">
        <v>1316</v>
      </c>
      <c r="B1377" s="138">
        <f>'Expenditures 15-22'!K182</f>
        <v>3735133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3735133</v>
      </c>
      <c r="C1381" s="2" t="s">
        <v>572</v>
      </c>
      <c r="D1381" s="2" t="str">
        <f t="shared" si="20"/>
        <v>Error?</v>
      </c>
    </row>
    <row r="1382" spans="1:4" x14ac:dyDescent="0.2">
      <c r="A1382" s="5">
        <v>1321</v>
      </c>
      <c r="B1382" s="138">
        <f>'Expenditures 15-22'!K196</f>
        <v>19509</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3754642</v>
      </c>
      <c r="C1388" s="2" t="s">
        <v>572</v>
      </c>
      <c r="D1388" s="2" t="str">
        <f t="shared" si="20"/>
        <v>Error?</v>
      </c>
    </row>
    <row r="1389" spans="1:4" x14ac:dyDescent="0.2">
      <c r="A1389" s="5">
        <v>1328</v>
      </c>
      <c r="B1389" s="138">
        <f>'Expenditures 15-22'!K211</f>
        <v>109770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793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9819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639735</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13711</v>
      </c>
      <c r="D1412" s="2" t="str">
        <f t="shared" si="21"/>
        <v>Error?</v>
      </c>
    </row>
    <row r="1413" spans="1:4" x14ac:dyDescent="0.2">
      <c r="A1413" s="5">
        <v>1352</v>
      </c>
      <c r="B1413" s="138">
        <f>'Expenditures 15-22'!D234</f>
        <v>60203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4503</v>
      </c>
      <c r="D1416" s="2" t="str">
        <f t="shared" si="21"/>
        <v>Error?</v>
      </c>
    </row>
    <row r="1417" spans="1:4" x14ac:dyDescent="0.2">
      <c r="A1417" s="5">
        <v>1356</v>
      </c>
      <c r="B1417" s="138">
        <f>'Expenditures 15-22'!D238</f>
        <v>78417</v>
      </c>
      <c r="C1417" s="2" t="s">
        <v>572</v>
      </c>
      <c r="D1417" s="2" t="str">
        <f t="shared" si="21"/>
        <v>Error?</v>
      </c>
    </row>
    <row r="1418" spans="1:4" x14ac:dyDescent="0.2">
      <c r="A1418" s="5">
        <v>1357</v>
      </c>
      <c r="B1418" s="138">
        <f>'Expenditures 15-22'!D240</f>
        <v>29282</v>
      </c>
      <c r="D1418" s="2" t="str">
        <f t="shared" si="21"/>
        <v>Error?</v>
      </c>
    </row>
    <row r="1419" spans="1:4" x14ac:dyDescent="0.2">
      <c r="A1419" s="5">
        <v>1358</v>
      </c>
      <c r="B1419" s="138">
        <f>'Expenditures 15-22'!D241</f>
        <v>77038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106320</v>
      </c>
      <c r="C1421" s="2" t="s">
        <v>572</v>
      </c>
      <c r="D1421" s="2" t="str">
        <f t="shared" si="21"/>
        <v>Error?</v>
      </c>
    </row>
    <row r="1422" spans="1:4" x14ac:dyDescent="0.2">
      <c r="A1422" s="5">
        <v>1361</v>
      </c>
      <c r="B1422" s="138">
        <f>'Expenditures 15-22'!D245</f>
        <v>10741</v>
      </c>
      <c r="D1422" s="2" t="str">
        <f t="shared" si="21"/>
        <v>Error?</v>
      </c>
    </row>
    <row r="1423" spans="1:4" x14ac:dyDescent="0.2">
      <c r="A1423" s="5">
        <v>1362</v>
      </c>
      <c r="B1423" s="138">
        <f>'Expenditures 15-22'!D246</f>
        <v>2908</v>
      </c>
      <c r="D1423" s="2" t="str">
        <f t="shared" si="21"/>
        <v>Error?</v>
      </c>
    </row>
    <row r="1424" spans="1:4" x14ac:dyDescent="0.2">
      <c r="A1424" s="5">
        <v>1363</v>
      </c>
      <c r="B1424" s="138">
        <f>'Expenditures 15-22'!D257</f>
        <v>13649</v>
      </c>
      <c r="C1424" s="2" t="s">
        <v>572</v>
      </c>
      <c r="D1424" s="2" t="str">
        <f t="shared" si="21"/>
        <v>Error?</v>
      </c>
    </row>
    <row r="1425" spans="1:4" x14ac:dyDescent="0.2">
      <c r="A1425" s="5">
        <v>1364</v>
      </c>
      <c r="B1425" s="138">
        <f>'Expenditures 15-22'!D259</f>
        <v>120424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120424</v>
      </c>
      <c r="C1427" s="2" t="s">
        <v>572</v>
      </c>
      <c r="D1427" s="2" t="str">
        <f t="shared" si="21"/>
        <v>Error?</v>
      </c>
    </row>
    <row r="1428" spans="1:4" x14ac:dyDescent="0.2">
      <c r="A1428" s="5">
        <v>1367</v>
      </c>
      <c r="B1428" s="138">
        <f>'Expenditures 15-22'!D263</f>
        <v>30919</v>
      </c>
      <c r="D1428" s="2" t="str">
        <f t="shared" si="21"/>
        <v>Error?</v>
      </c>
    </row>
    <row r="1429" spans="1:4" x14ac:dyDescent="0.2">
      <c r="A1429" s="5">
        <v>1368</v>
      </c>
      <c r="B1429" s="138">
        <f>'Expenditures 15-22'!D264</f>
        <v>28186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325579</v>
      </c>
      <c r="D1431" s="2" t="str">
        <f t="shared" si="21"/>
        <v>Error?</v>
      </c>
    </row>
    <row r="1432" spans="1:4" x14ac:dyDescent="0.2">
      <c r="A1432" s="5">
        <v>1371</v>
      </c>
      <c r="B1432" s="138">
        <f>'Expenditures 15-22'!D267</f>
        <v>227526</v>
      </c>
      <c r="D1432" s="2" t="str">
        <f t="shared" si="21"/>
        <v>Error?</v>
      </c>
    </row>
    <row r="1433" spans="1:4" x14ac:dyDescent="0.2">
      <c r="A1433" s="5">
        <v>1372</v>
      </c>
      <c r="B1433" s="138">
        <f>'Expenditures 15-22'!D268</f>
        <v>33457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645667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47763</v>
      </c>
      <c r="D1440" s="2" t="str">
        <f t="shared" si="21"/>
        <v>Error?</v>
      </c>
    </row>
    <row r="1441" spans="1:4" x14ac:dyDescent="0.2">
      <c r="A1441" s="10">
        <v>1380</v>
      </c>
      <c r="D1441" s="2" t="str">
        <f t="shared" si="21"/>
        <v>OK</v>
      </c>
    </row>
    <row r="1442" spans="1:4" x14ac:dyDescent="0.2">
      <c r="A1442" s="5">
        <v>1381</v>
      </c>
      <c r="B1442" s="138">
        <f>'Expenditures 15-22'!D276</f>
        <v>80500</v>
      </c>
      <c r="D1442" s="2" t="str">
        <f t="shared" si="21"/>
        <v>Error?</v>
      </c>
    </row>
    <row r="1443" spans="1:4" x14ac:dyDescent="0.2">
      <c r="A1443" s="10">
        <v>1382</v>
      </c>
      <c r="D1443" s="2" t="str">
        <f t="shared" si="21"/>
        <v>OK</v>
      </c>
    </row>
    <row r="1444" spans="1:4" x14ac:dyDescent="0.2">
      <c r="A1444" s="5">
        <v>1383</v>
      </c>
      <c r="B1444" s="138">
        <f>'Expenditures 15-22'!D277</f>
        <v>128263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1092740</v>
      </c>
      <c r="C1446" s="2" t="s">
        <v>572</v>
      </c>
      <c r="D1446" s="2" t="str">
        <f t="shared" si="21"/>
        <v>Error?</v>
      </c>
    </row>
    <row r="1447" spans="1:4" x14ac:dyDescent="0.2">
      <c r="A1447" s="5">
        <v>1386</v>
      </c>
      <c r="B1447" s="138">
        <f>'Expenditures 15-22'!D280</f>
        <v>378</v>
      </c>
      <c r="D1447" s="2" t="str">
        <f t="shared" si="21"/>
        <v>Error?</v>
      </c>
    </row>
    <row r="1448" spans="1:4" x14ac:dyDescent="0.2">
      <c r="A1448" s="5">
        <v>1387</v>
      </c>
      <c r="B1448" s="138">
        <f>'Expenditures 15-22'!D295</f>
        <v>1732853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793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9819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639735</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13711</v>
      </c>
      <c r="C1476" s="2" t="s">
        <v>572</v>
      </c>
      <c r="D1476" s="2" t="str">
        <f t="shared" si="22"/>
        <v>Error?</v>
      </c>
    </row>
    <row r="1477" spans="1:4" x14ac:dyDescent="0.2">
      <c r="A1477" s="5">
        <v>1416</v>
      </c>
      <c r="B1477" s="138">
        <f>'Expenditures 15-22'!K234</f>
        <v>60203</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4503</v>
      </c>
      <c r="C1480" s="2" t="s">
        <v>572</v>
      </c>
      <c r="D1480" s="2" t="str">
        <f t="shared" si="22"/>
        <v>Error?</v>
      </c>
    </row>
    <row r="1481" spans="1:4" x14ac:dyDescent="0.2">
      <c r="A1481" s="5">
        <v>1420</v>
      </c>
      <c r="B1481" s="138">
        <f>'Expenditures 15-22'!K238</f>
        <v>78417</v>
      </c>
      <c r="C1481" s="2" t="s">
        <v>572</v>
      </c>
      <c r="D1481" s="2" t="str">
        <f t="shared" si="22"/>
        <v>Error?</v>
      </c>
    </row>
    <row r="1482" spans="1:4" x14ac:dyDescent="0.2">
      <c r="A1482" s="5">
        <v>1421</v>
      </c>
      <c r="B1482" s="138">
        <f>'Expenditures 15-22'!K240</f>
        <v>29282</v>
      </c>
      <c r="C1482" s="2" t="s">
        <v>572</v>
      </c>
      <c r="D1482" s="2" t="str">
        <f t="shared" si="22"/>
        <v>Error?</v>
      </c>
    </row>
    <row r="1483" spans="1:4" x14ac:dyDescent="0.2">
      <c r="A1483" s="5">
        <v>1422</v>
      </c>
      <c r="B1483" s="138">
        <f>'Expenditures 15-22'!K241</f>
        <v>77038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106320</v>
      </c>
      <c r="C1485" s="2" t="s">
        <v>572</v>
      </c>
      <c r="D1485" s="2" t="str">
        <f t="shared" si="22"/>
        <v>Error?</v>
      </c>
    </row>
    <row r="1486" spans="1:4" x14ac:dyDescent="0.2">
      <c r="A1486" s="5">
        <v>1425</v>
      </c>
      <c r="B1486" s="138">
        <f>'Expenditures 15-22'!K245</f>
        <v>10741</v>
      </c>
      <c r="C1486" s="2" t="s">
        <v>572</v>
      </c>
      <c r="D1486" s="2" t="str">
        <f t="shared" si="22"/>
        <v>Error?</v>
      </c>
    </row>
    <row r="1487" spans="1:4" x14ac:dyDescent="0.2">
      <c r="A1487" s="5">
        <v>1426</v>
      </c>
      <c r="B1487" s="138">
        <f>'Expenditures 15-22'!K246</f>
        <v>2908</v>
      </c>
      <c r="C1487" s="2" t="s">
        <v>572</v>
      </c>
      <c r="D1487" s="2" t="str">
        <f t="shared" si="22"/>
        <v>Error?</v>
      </c>
    </row>
    <row r="1488" spans="1:4" x14ac:dyDescent="0.2">
      <c r="A1488" s="5">
        <v>1427</v>
      </c>
      <c r="B1488" s="138">
        <f>'Expenditures 15-22'!K257</f>
        <v>13649</v>
      </c>
      <c r="C1488" s="2" t="s">
        <v>572</v>
      </c>
      <c r="D1488" s="2" t="str">
        <f t="shared" si="22"/>
        <v>Error?</v>
      </c>
    </row>
    <row r="1489" spans="1:4" x14ac:dyDescent="0.2">
      <c r="A1489" s="5">
        <v>1428</v>
      </c>
      <c r="B1489" s="138">
        <f>'Expenditures 15-22'!K259</f>
        <v>120424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120424</v>
      </c>
      <c r="C1491" s="2" t="s">
        <v>572</v>
      </c>
      <c r="D1491" s="2" t="str">
        <f t="shared" si="22"/>
        <v>Error?</v>
      </c>
    </row>
    <row r="1492" spans="1:4" x14ac:dyDescent="0.2">
      <c r="A1492" s="5">
        <v>1431</v>
      </c>
      <c r="B1492" s="138">
        <f>'Expenditures 15-22'!K263</f>
        <v>30919</v>
      </c>
      <c r="C1492" s="2" t="s">
        <v>572</v>
      </c>
      <c r="D1492" s="2" t="str">
        <f t="shared" si="22"/>
        <v>Error?</v>
      </c>
    </row>
    <row r="1493" spans="1:4" x14ac:dyDescent="0.2">
      <c r="A1493" s="5">
        <v>1432</v>
      </c>
      <c r="B1493" s="138">
        <f>'Expenditures 15-22'!K264</f>
        <v>28186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325579</v>
      </c>
      <c r="C1495" s="2" t="s">
        <v>572</v>
      </c>
      <c r="D1495" s="2" t="str">
        <f t="shared" si="22"/>
        <v>Error?</v>
      </c>
    </row>
    <row r="1496" spans="1:4" x14ac:dyDescent="0.2">
      <c r="A1496" s="5">
        <v>1435</v>
      </c>
      <c r="B1496" s="138">
        <f>'Expenditures 15-22'!K267</f>
        <v>227526</v>
      </c>
      <c r="C1496" s="2" t="s">
        <v>572</v>
      </c>
      <c r="D1496" s="2" t="str">
        <f t="shared" si="22"/>
        <v>Error?</v>
      </c>
    </row>
    <row r="1497" spans="1:4" x14ac:dyDescent="0.2">
      <c r="A1497" s="5">
        <v>1436</v>
      </c>
      <c r="B1497" s="138">
        <f>'Expenditures 15-22'!K268</f>
        <v>33457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645667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47763</v>
      </c>
      <c r="C1504" s="2" t="s">
        <v>572</v>
      </c>
      <c r="D1504" s="2" t="str">
        <f t="shared" si="22"/>
        <v>Error?</v>
      </c>
    </row>
    <row r="1505" spans="1:4" x14ac:dyDescent="0.2">
      <c r="A1505" s="10">
        <v>1444</v>
      </c>
      <c r="D1505" s="2" t="str">
        <f t="shared" si="22"/>
        <v>OK</v>
      </c>
    </row>
    <row r="1506" spans="1:4" x14ac:dyDescent="0.2">
      <c r="A1506" s="5">
        <v>1445</v>
      </c>
      <c r="B1506" s="138">
        <f>'Expenditures 15-22'!K276</f>
        <v>80500</v>
      </c>
      <c r="C1506" s="2" t="s">
        <v>572</v>
      </c>
      <c r="D1506" s="2" t="str">
        <f t="shared" si="22"/>
        <v>Error?</v>
      </c>
    </row>
    <row r="1507" spans="1:4" x14ac:dyDescent="0.2">
      <c r="A1507" s="10">
        <v>1446</v>
      </c>
      <c r="D1507" s="2" t="str">
        <f t="shared" si="22"/>
        <v>OK</v>
      </c>
    </row>
    <row r="1508" spans="1:4" x14ac:dyDescent="0.2">
      <c r="A1508" s="5">
        <v>1447</v>
      </c>
      <c r="B1508" s="138">
        <f>'Expenditures 15-22'!K277</f>
        <v>128263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1092740</v>
      </c>
      <c r="C1510" s="2" t="s">
        <v>572</v>
      </c>
      <c r="D1510" s="2" t="str">
        <f t="shared" si="22"/>
        <v>Error?</v>
      </c>
    </row>
    <row r="1511" spans="1:4" x14ac:dyDescent="0.2">
      <c r="A1511" s="5">
        <v>1450</v>
      </c>
      <c r="B1511" s="138">
        <f>'Expenditures 15-22'!K280</f>
        <v>378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1732853</v>
      </c>
      <c r="C1517" s="2" t="s">
        <v>572</v>
      </c>
      <c r="D1517" s="2" t="str">
        <f t="shared" si="22"/>
        <v>Error?</v>
      </c>
    </row>
    <row r="1518" spans="1:4" x14ac:dyDescent="0.2">
      <c r="A1518" s="5">
        <v>1457</v>
      </c>
      <c r="B1518" s="138">
        <f>'Expenditures 15-22'!K296</f>
        <v>154594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1463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1463</v>
      </c>
      <c r="C1541" s="2" t="s">
        <v>572</v>
      </c>
      <c r="D1541" s="2" t="str">
        <f t="shared" si="23"/>
        <v>Error?</v>
      </c>
    </row>
    <row r="1542" spans="1:4" x14ac:dyDescent="0.2">
      <c r="A1542" s="5">
        <v>1481</v>
      </c>
      <c r="B1542" s="138">
        <f>'Expenditures 15-22'!F312</f>
        <v>1463</v>
      </c>
      <c r="C1542" s="2" t="s">
        <v>572</v>
      </c>
      <c r="D1542" s="2" t="str">
        <f t="shared" si="23"/>
        <v>Error?</v>
      </c>
    </row>
    <row r="1543" spans="1:4" x14ac:dyDescent="0.2">
      <c r="A1543" s="5">
        <v>1482</v>
      </c>
      <c r="B1543" s="138">
        <f>'Expenditures 15-22'!G301</f>
        <v>1809153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1809153</v>
      </c>
      <c r="C1547" s="2" t="s">
        <v>572</v>
      </c>
      <c r="D1547" s="2" t="str">
        <f t="shared" si="23"/>
        <v>Error?</v>
      </c>
    </row>
    <row r="1548" spans="1:4" x14ac:dyDescent="0.2">
      <c r="A1548" s="5">
        <v>1487</v>
      </c>
      <c r="B1548" s="138">
        <f>'Expenditures 15-22'!G312</f>
        <v>1809153</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1810616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1810616</v>
      </c>
      <c r="C1559" s="2" t="s">
        <v>572</v>
      </c>
      <c r="D1559" s="2" t="str">
        <f t="shared" si="23"/>
        <v>Error?</v>
      </c>
    </row>
    <row r="1560" spans="1:4" x14ac:dyDescent="0.2">
      <c r="A1560" s="5">
        <v>1499</v>
      </c>
      <c r="B1560" s="138">
        <f>'Expenditures 15-22'!K312</f>
        <v>1810616</v>
      </c>
      <c r="C1560" s="2" t="s">
        <v>572</v>
      </c>
      <c r="D1560" s="2" t="str">
        <f t="shared" si="23"/>
        <v>Error?</v>
      </c>
    </row>
    <row r="1561" spans="1:4" x14ac:dyDescent="0.2">
      <c r="A1561" s="5">
        <v>1500</v>
      </c>
      <c r="B1561" s="138">
        <f>'Expenditures 15-22'!K313</f>
        <v>-1540268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26964099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27930412</v>
      </c>
      <c r="C1630" s="2" t="s">
        <v>572</v>
      </c>
      <c r="D1630" s="2" t="str">
        <f t="shared" si="24"/>
        <v>Error?</v>
      </c>
    </row>
    <row r="1631" spans="1:4" x14ac:dyDescent="0.2">
      <c r="A1631" s="5">
        <v>1570</v>
      </c>
      <c r="B1631" s="138">
        <f>'Acct Summary 7-8'!D79</f>
        <v>1886651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1432816</v>
      </c>
      <c r="C1644" s="2" t="s">
        <v>572</v>
      </c>
      <c r="D1644" s="2" t="str">
        <f t="shared" si="24"/>
        <v>Error?</v>
      </c>
    </row>
    <row r="1645" spans="1:4" x14ac:dyDescent="0.2">
      <c r="A1645" s="5">
        <v>1584</v>
      </c>
      <c r="B1645" s="138">
        <f>'Acct Summary 7-8'!E79</f>
        <v>3463780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2774499</v>
      </c>
      <c r="C1658" s="2" t="s">
        <v>572</v>
      </c>
      <c r="D1658" s="2" t="str">
        <f t="shared" si="24"/>
        <v>Error?</v>
      </c>
    </row>
    <row r="1659" spans="1:4" x14ac:dyDescent="0.2">
      <c r="A1659" s="5">
        <v>1598</v>
      </c>
      <c r="B1659" s="138">
        <f>'Acct Summary 7-8'!F79</f>
        <v>3897104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4006874</v>
      </c>
      <c r="C1672" s="2" t="s">
        <v>572</v>
      </c>
      <c r="D1672" s="2" t="str">
        <f t="shared" si="25"/>
        <v>Error?</v>
      </c>
    </row>
    <row r="1673" spans="1:4" x14ac:dyDescent="0.2">
      <c r="A1673" s="5">
        <v>1612</v>
      </c>
      <c r="B1673" s="138">
        <f>'Acct Summary 7-8'!G79</f>
        <v>647816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802410</v>
      </c>
      <c r="C1686" s="2" t="s">
        <v>572</v>
      </c>
      <c r="D1686" s="2" t="str">
        <f t="shared" si="25"/>
        <v>Error?</v>
      </c>
    </row>
    <row r="1687" spans="1:4" x14ac:dyDescent="0.2">
      <c r="A1687" s="5">
        <v>1626</v>
      </c>
      <c r="B1687" s="138">
        <f>'Acct Summary 7-8'!H79</f>
        <v>1002691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735722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34363845</v>
      </c>
      <c r="C1744" s="2" t="s">
        <v>572</v>
      </c>
      <c r="D1744" s="2" t="str">
        <f t="shared" si="26"/>
        <v>Error?</v>
      </c>
    </row>
    <row r="1745" spans="1:5" x14ac:dyDescent="0.2">
      <c r="A1745" s="5">
        <v>1684</v>
      </c>
      <c r="B1745" s="138">
        <f>'Tax Sched 23'!B5</f>
        <v>588510</v>
      </c>
      <c r="C1745" s="2" t="s">
        <v>572</v>
      </c>
      <c r="D1745" s="2" t="str">
        <f t="shared" si="26"/>
        <v>Error?</v>
      </c>
    </row>
    <row r="1746" spans="1:5" x14ac:dyDescent="0.2">
      <c r="A1746" s="5">
        <v>1685</v>
      </c>
      <c r="B1746" s="138">
        <f>'Tax Sched 23'!B6</f>
        <v>6297448</v>
      </c>
      <c r="C1746" s="2" t="s">
        <v>572</v>
      </c>
      <c r="D1746" s="2" t="str">
        <f t="shared" si="26"/>
        <v>Error?</v>
      </c>
    </row>
    <row r="1747" spans="1:5" x14ac:dyDescent="0.2">
      <c r="A1747" s="5">
        <v>1686</v>
      </c>
      <c r="B1747" s="138">
        <f>'Tax Sched 23'!B7</f>
        <v>2034332</v>
      </c>
      <c r="C1747" s="2" t="s">
        <v>572</v>
      </c>
      <c r="D1747" s="2" t="str">
        <f t="shared" si="26"/>
        <v>Error?</v>
      </c>
    </row>
    <row r="1748" spans="1:5" x14ac:dyDescent="0.2">
      <c r="A1748" s="5">
        <v>1687</v>
      </c>
      <c r="B1748" s="138">
        <f>'Tax Sched 23'!B8</f>
        <v>675733</v>
      </c>
      <c r="C1748" s="2" t="s">
        <v>572</v>
      </c>
      <c r="D1748" s="2" t="str">
        <f t="shared" si="26"/>
        <v>Error?</v>
      </c>
    </row>
    <row r="1749" spans="1:5" x14ac:dyDescent="0.2">
      <c r="A1749" s="5">
        <v>1688</v>
      </c>
      <c r="B1749" s="138">
        <f>'Tax Sched 23'!B10</f>
        <v>494844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321282</v>
      </c>
      <c r="C1752" s="2" t="s">
        <v>572</v>
      </c>
      <c r="D1752" s="2" t="str">
        <f t="shared" si="26"/>
        <v>Error?</v>
      </c>
    </row>
    <row r="1753" spans="1:5" x14ac:dyDescent="0.2">
      <c r="A1753" s="5">
        <v>1692</v>
      </c>
      <c r="B1753" s="138">
        <f>'Tax Sched 23'!B12</f>
        <v>520333</v>
      </c>
      <c r="C1753" s="2" t="s">
        <v>572</v>
      </c>
      <c r="D1753" s="2" t="str">
        <f t="shared" si="26"/>
        <v>Error?</v>
      </c>
    </row>
    <row r="1754" spans="1:5" x14ac:dyDescent="0.2">
      <c r="A1754" s="5">
        <v>1693</v>
      </c>
      <c r="B1754" s="138">
        <f>'Tax Sched 23'!B14</f>
        <v>42947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45858488</v>
      </c>
      <c r="C1759" s="2" t="s">
        <v>572</v>
      </c>
      <c r="D1759" s="2" t="str">
        <f t="shared" si="26"/>
        <v>Error?</v>
      </c>
    </row>
    <row r="1760" spans="1:5" x14ac:dyDescent="0.2">
      <c r="A1760" s="5">
        <v>1699</v>
      </c>
      <c r="B1760" s="138">
        <f>'Tax Sched 23'!D4</f>
        <v>16153748</v>
      </c>
      <c r="C1760" s="2" t="s">
        <v>572</v>
      </c>
      <c r="D1760" s="2" t="str">
        <f t="shared" si="26"/>
        <v>Error?</v>
      </c>
    </row>
    <row r="1761" spans="1:5" x14ac:dyDescent="0.2">
      <c r="A1761" s="5">
        <v>1700</v>
      </c>
      <c r="B1761" s="138">
        <f>'Tax Sched 23'!D5</f>
        <v>284540</v>
      </c>
      <c r="C1761" s="2" t="s">
        <v>572</v>
      </c>
      <c r="D1761" s="2" t="str">
        <f t="shared" si="26"/>
        <v>Error?</v>
      </c>
    </row>
    <row r="1762" spans="1:5" s="8" customFormat="1" x14ac:dyDescent="0.2">
      <c r="A1762" s="5">
        <v>1701</v>
      </c>
      <c r="B1762" s="138">
        <f>'Tax Sched 23'!D6</f>
        <v>2868806</v>
      </c>
      <c r="C1762" s="2" t="s">
        <v>572</v>
      </c>
      <c r="D1762" s="2" t="str">
        <f t="shared" si="26"/>
        <v>Error?</v>
      </c>
      <c r="E1762" s="9"/>
    </row>
    <row r="1763" spans="1:5" x14ac:dyDescent="0.2">
      <c r="A1763" s="5">
        <v>1702</v>
      </c>
      <c r="B1763" s="138">
        <f>'Tax Sched 23'!D7</f>
        <v>936329</v>
      </c>
      <c r="C1763" s="2" t="s">
        <v>572</v>
      </c>
      <c r="D1763" s="2" t="str">
        <f t="shared" si="26"/>
        <v>Error?</v>
      </c>
    </row>
    <row r="1764" spans="1:5" x14ac:dyDescent="0.2">
      <c r="A1764" s="5">
        <v>1703</v>
      </c>
      <c r="B1764" s="138">
        <f>'Tax Sched 23'!D8</f>
        <v>317311</v>
      </c>
      <c r="C1764" s="2" t="s">
        <v>572</v>
      </c>
      <c r="D1764" s="2" t="str">
        <f t="shared" si="26"/>
        <v>Error?</v>
      </c>
    </row>
    <row r="1765" spans="1:5" x14ac:dyDescent="0.2">
      <c r="A1765" s="5">
        <v>1704</v>
      </c>
      <c r="B1765" s="138">
        <f>'Tax Sched 23'!D10</f>
        <v>218997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155534</v>
      </c>
      <c r="C1768" s="2" t="s">
        <v>572</v>
      </c>
      <c r="D1768" s="2" t="str">
        <f t="shared" si="26"/>
        <v>Error?</v>
      </c>
    </row>
    <row r="1769" spans="1:5" x14ac:dyDescent="0.2">
      <c r="A1769" s="5">
        <v>1708</v>
      </c>
      <c r="B1769" s="138">
        <f>'Tax Sched 23'!D12</f>
        <v>244486</v>
      </c>
      <c r="C1769" s="2" t="s">
        <v>572</v>
      </c>
      <c r="D1769" s="2" t="str">
        <f t="shared" si="26"/>
        <v>Error?</v>
      </c>
    </row>
    <row r="1770" spans="1:5" x14ac:dyDescent="0.2">
      <c r="A1770" s="5">
        <v>1709</v>
      </c>
      <c r="B1770" s="138">
        <f>'Tax Sched 23'!D14</f>
        <v>20808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21444524</v>
      </c>
      <c r="C1775" s="2" t="s">
        <v>572</v>
      </c>
      <c r="D1775" s="2" t="str">
        <f t="shared" si="26"/>
        <v>Error?</v>
      </c>
    </row>
    <row r="1776" spans="1:5" x14ac:dyDescent="0.2">
      <c r="A1776" s="5">
        <v>1715</v>
      </c>
      <c r="B1776" s="138">
        <f>'Tax Sched 23'!C4</f>
        <v>18210097</v>
      </c>
      <c r="D1776" s="2" t="str">
        <f t="shared" si="26"/>
        <v>Error?</v>
      </c>
    </row>
    <row r="1777" spans="1:4" x14ac:dyDescent="0.2">
      <c r="A1777" s="5">
        <v>1716</v>
      </c>
      <c r="B1777" s="138">
        <f>'Tax Sched 23'!C5</f>
        <v>303970</v>
      </c>
      <c r="D1777" s="2" t="str">
        <f t="shared" si="26"/>
        <v>Error?</v>
      </c>
    </row>
    <row r="1778" spans="1:4" x14ac:dyDescent="0.2">
      <c r="A1778" s="5">
        <v>1717</v>
      </c>
      <c r="B1778" s="138">
        <f>'Tax Sched 23'!C6</f>
        <v>3428642</v>
      </c>
      <c r="D1778" s="2" t="str">
        <f t="shared" si="26"/>
        <v>Error?</v>
      </c>
    </row>
    <row r="1779" spans="1:4" x14ac:dyDescent="0.2">
      <c r="A1779" s="5">
        <v>1718</v>
      </c>
      <c r="B1779" s="138">
        <f>'Tax Sched 23'!C7</f>
        <v>1098003</v>
      </c>
      <c r="D1779" s="2" t="str">
        <f t="shared" si="26"/>
        <v>Error?</v>
      </c>
    </row>
    <row r="1780" spans="1:4" x14ac:dyDescent="0.2">
      <c r="A1780" s="5">
        <v>1719</v>
      </c>
      <c r="B1780" s="138">
        <f>'Tax Sched 23'!C8</f>
        <v>358422</v>
      </c>
      <c r="D1780" s="2" t="str">
        <f t="shared" si="26"/>
        <v>Error?</v>
      </c>
    </row>
    <row r="1781" spans="1:4" x14ac:dyDescent="0.2">
      <c r="A1781" s="5">
        <v>1720</v>
      </c>
      <c r="B1781" s="138">
        <f>'Tax Sched 23'!C10</f>
        <v>275847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165748</v>
      </c>
      <c r="D1784" s="2" t="str">
        <f t="shared" si="26"/>
        <v>Error?</v>
      </c>
    </row>
    <row r="1785" spans="1:4" x14ac:dyDescent="0.2">
      <c r="A1785" s="5">
        <v>1724</v>
      </c>
      <c r="B1785" s="138">
        <f>'Tax Sched 23'!C12</f>
        <v>275847</v>
      </c>
      <c r="D1785" s="2" t="str">
        <f t="shared" si="26"/>
        <v>Error?</v>
      </c>
    </row>
    <row r="1786" spans="1:4" x14ac:dyDescent="0.2">
      <c r="A1786" s="5">
        <v>1725</v>
      </c>
      <c r="B1786" s="138">
        <f>'Tax Sched 23'!C14</f>
        <v>22139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24413964</v>
      </c>
      <c r="C1791" s="2" t="s">
        <v>572</v>
      </c>
      <c r="D1791" s="2" t="str">
        <f t="shared" ref="D1791:D1854" si="27">IF(ISBLANK(B1791),"OK",IF(A1791-B1791=0,"OK","Error?"))</f>
        <v>Error?</v>
      </c>
    </row>
    <row r="1792" spans="1:4" x14ac:dyDescent="0.2">
      <c r="A1792" s="5">
        <v>1731</v>
      </c>
      <c r="B1792" s="138">
        <f>'Tax Sched 23'!F4</f>
        <v>16586555</v>
      </c>
      <c r="C1792" s="2" t="s">
        <v>572</v>
      </c>
      <c r="D1792" s="2" t="str">
        <f t="shared" si="27"/>
        <v>Error?</v>
      </c>
    </row>
    <row r="1793" spans="1:4" x14ac:dyDescent="0.2">
      <c r="A1793" s="5">
        <v>1732</v>
      </c>
      <c r="B1793" s="138">
        <f>'Tax Sched 23'!F5</f>
        <v>276870</v>
      </c>
      <c r="C1793" s="2" t="s">
        <v>572</v>
      </c>
      <c r="D1793" s="2" t="str">
        <f t="shared" si="27"/>
        <v>Error?</v>
      </c>
    </row>
    <row r="1794" spans="1:4" x14ac:dyDescent="0.2">
      <c r="A1794" s="5">
        <v>1733</v>
      </c>
      <c r="B1794" s="138">
        <f>'Tax Sched 23'!F6</f>
        <v>3122957</v>
      </c>
      <c r="C1794" s="2" t="s">
        <v>572</v>
      </c>
      <c r="D1794" s="2" t="str">
        <f t="shared" si="27"/>
        <v>Error?</v>
      </c>
    </row>
    <row r="1795" spans="1:4" x14ac:dyDescent="0.2">
      <c r="A1795" s="5">
        <v>1734</v>
      </c>
      <c r="B1795" s="138">
        <f>'Tax Sched 23'!F7</f>
        <v>1000110</v>
      </c>
      <c r="C1795" s="2" t="s">
        <v>572</v>
      </c>
      <c r="D1795" s="2" t="str">
        <f t="shared" si="27"/>
        <v>Error?</v>
      </c>
    </row>
    <row r="1796" spans="1:4" x14ac:dyDescent="0.2">
      <c r="A1796" s="5">
        <v>1735</v>
      </c>
      <c r="B1796" s="138">
        <f>'Tax Sched 23'!F8</f>
        <v>326466</v>
      </c>
      <c r="C1796" s="2" t="s">
        <v>572</v>
      </c>
      <c r="D1796" s="2" t="str">
        <f t="shared" si="27"/>
        <v>Error?</v>
      </c>
    </row>
    <row r="1797" spans="1:4" x14ac:dyDescent="0.2">
      <c r="A1797" s="5">
        <v>1736</v>
      </c>
      <c r="B1797" s="138">
        <f>'Tax Sched 23'!F10</f>
        <v>251254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150970</v>
      </c>
      <c r="C1800" s="2" t="s">
        <v>572</v>
      </c>
      <c r="D1800" s="2" t="str">
        <f t="shared" si="27"/>
        <v>Error?</v>
      </c>
    </row>
    <row r="1801" spans="1:4" x14ac:dyDescent="0.2">
      <c r="A1801" s="5">
        <v>1740</v>
      </c>
      <c r="B1801" s="138">
        <f>'Tax Sched 23'!F12</f>
        <v>251254</v>
      </c>
      <c r="C1801" s="2" t="s">
        <v>572</v>
      </c>
      <c r="D1801" s="2" t="str">
        <f t="shared" si="27"/>
        <v>Error?</v>
      </c>
    </row>
    <row r="1802" spans="1:4" x14ac:dyDescent="0.2">
      <c r="A1802" s="5">
        <v>1741</v>
      </c>
      <c r="B1802" s="138">
        <f>'Tax Sched 23'!F14</f>
        <v>20166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22237310</v>
      </c>
      <c r="C1807" s="2" t="s">
        <v>572</v>
      </c>
      <c r="D1807" s="2" t="str">
        <f t="shared" si="27"/>
        <v>Error?</v>
      </c>
    </row>
    <row r="1808" spans="1:4" x14ac:dyDescent="0.2">
      <c r="A1808" s="5">
        <v>1747</v>
      </c>
      <c r="B1808" s="138">
        <f>'Tax Sched 23'!E4</f>
        <v>34796652</v>
      </c>
      <c r="D1808" s="2" t="str">
        <f t="shared" si="27"/>
        <v>Error?</v>
      </c>
    </row>
    <row r="1809" spans="1:4" x14ac:dyDescent="0.2">
      <c r="A1809" s="5">
        <v>1748</v>
      </c>
      <c r="B1809" s="138">
        <f>'Tax Sched 23'!E5</f>
        <v>580840</v>
      </c>
      <c r="D1809" s="2" t="str">
        <f t="shared" si="27"/>
        <v>Error?</v>
      </c>
    </row>
    <row r="1810" spans="1:4" x14ac:dyDescent="0.2">
      <c r="A1810" s="5">
        <v>1749</v>
      </c>
      <c r="B1810" s="138">
        <f>'Tax Sched 23'!E6</f>
        <v>6551599</v>
      </c>
      <c r="D1810" s="2" t="str">
        <f t="shared" si="27"/>
        <v>Error?</v>
      </c>
    </row>
    <row r="1811" spans="1:4" x14ac:dyDescent="0.2">
      <c r="A1811" s="5">
        <v>1750</v>
      </c>
      <c r="B1811" s="138">
        <f>'Tax Sched 23'!E7</f>
        <v>2098113</v>
      </c>
      <c r="D1811" s="2" t="str">
        <f t="shared" si="27"/>
        <v>Error?</v>
      </c>
    </row>
    <row r="1812" spans="1:4" x14ac:dyDescent="0.2">
      <c r="A1812" s="5">
        <v>1751</v>
      </c>
      <c r="B1812" s="138">
        <f>'Tax Sched 23'!E8</f>
        <v>684888</v>
      </c>
      <c r="D1812" s="2" t="str">
        <f t="shared" si="27"/>
        <v>Error?</v>
      </c>
    </row>
    <row r="1813" spans="1:4" x14ac:dyDescent="0.2">
      <c r="A1813" s="5">
        <v>1752</v>
      </c>
      <c r="B1813" s="138">
        <f>'Tax Sched 23'!E10</f>
        <v>527101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316718</v>
      </c>
      <c r="D1816" s="2" t="str">
        <f t="shared" si="27"/>
        <v>Error?</v>
      </c>
    </row>
    <row r="1817" spans="1:4" x14ac:dyDescent="0.2">
      <c r="A1817" s="5">
        <v>1756</v>
      </c>
      <c r="B1817" s="138">
        <f>'Tax Sched 23'!E12</f>
        <v>527101</v>
      </c>
      <c r="D1817" s="2" t="str">
        <f t="shared" si="27"/>
        <v>Error?</v>
      </c>
    </row>
    <row r="1818" spans="1:4" x14ac:dyDescent="0.2">
      <c r="A1818" s="5">
        <v>1757</v>
      </c>
      <c r="B1818" s="138">
        <f>'Tax Sched 23'!E14</f>
        <v>42305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46651274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68458000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42947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42947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42947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1816850</v>
      </c>
      <c r="D2008" s="2" t="str">
        <f t="shared" si="30"/>
        <v>Error?</v>
      </c>
    </row>
    <row r="2009" spans="1:4" x14ac:dyDescent="0.2">
      <c r="A2009" s="5">
        <v>1948</v>
      </c>
      <c r="B2009" s="138">
        <f>'Cap Outlay Deprec 26'!C8</f>
        <v>93966860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7695053</v>
      </c>
      <c r="D2011" s="2" t="str">
        <f t="shared" si="30"/>
        <v>Error?</v>
      </c>
    </row>
    <row r="2012" spans="1:4" x14ac:dyDescent="0.2">
      <c r="A2012" s="5">
        <v>1951</v>
      </c>
      <c r="B2012" s="138">
        <f>'Cap Outlay Deprec 26'!C13</f>
        <v>787796</v>
      </c>
      <c r="D2012" s="2" t="str">
        <f t="shared" si="30"/>
        <v>Error?</v>
      </c>
    </row>
    <row r="2013" spans="1:4" x14ac:dyDescent="0.2">
      <c r="A2013" s="5">
        <v>1952</v>
      </c>
      <c r="B2013" s="138">
        <f>'Cap Outlay Deprec 26'!C16</f>
        <v>109510169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7089811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154340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7244151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5243610</v>
      </c>
      <c r="C2025" s="2" t="s">
        <v>572</v>
      </c>
      <c r="D2025" s="2" t="str">
        <f t="shared" si="30"/>
        <v>Error?</v>
      </c>
    </row>
    <row r="2026" spans="1:4" x14ac:dyDescent="0.2">
      <c r="A2026" s="5">
        <v>1965</v>
      </c>
      <c r="B2026" s="138">
        <f>'Cap Outlay Deprec 26'!F5</f>
        <v>1816850</v>
      </c>
      <c r="C2026" s="2" t="s">
        <v>572</v>
      </c>
      <c r="D2026" s="2" t="str">
        <f t="shared" si="30"/>
        <v>Error?</v>
      </c>
    </row>
    <row r="2027" spans="1:4" x14ac:dyDescent="0.2">
      <c r="A2027" s="5">
        <v>1966</v>
      </c>
      <c r="B2027" s="138">
        <f>'Cap Outlay Deprec 26'!F8</f>
        <v>101056671</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7849393</v>
      </c>
      <c r="C2029" s="2" t="s">
        <v>572</v>
      </c>
      <c r="D2029" s="2" t="str">
        <f t="shared" si="30"/>
        <v>Error?</v>
      </c>
    </row>
    <row r="2030" spans="1:4" x14ac:dyDescent="0.2">
      <c r="A2030" s="5">
        <v>1969</v>
      </c>
      <c r="B2030" s="138">
        <f>'Cap Outlay Deprec 26'!F13</f>
        <v>787796</v>
      </c>
      <c r="C2030" s="2" t="s">
        <v>572</v>
      </c>
      <c r="D2030" s="2" t="str">
        <f t="shared" si="30"/>
        <v>Error?</v>
      </c>
    </row>
    <row r="2031" spans="1:4" x14ac:dyDescent="0.2">
      <c r="A2031" s="5">
        <v>1970</v>
      </c>
      <c r="B2031" s="138">
        <f>'Cap Outlay Deprec 26'!F16</f>
        <v>111510710</v>
      </c>
      <c r="C2031" s="2" t="s">
        <v>572</v>
      </c>
      <c r="D2031" s="2" t="str">
        <f t="shared" si="30"/>
        <v>Error?</v>
      </c>
    </row>
    <row r="2032" spans="1:4" x14ac:dyDescent="0.2">
      <c r="A2032" s="10">
        <v>1971</v>
      </c>
      <c r="D2032" s="2" t="str">
        <f t="shared" si="30"/>
        <v>OK</v>
      </c>
    </row>
    <row r="2033" spans="1:4" x14ac:dyDescent="0.2">
      <c r="A2033" s="5">
        <v>1972</v>
      </c>
      <c r="B2033" s="138">
        <f>'Cap Outlay Deprec 26'!H8</f>
        <v>29027946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5664683</v>
      </c>
      <c r="D2035" s="2" t="str">
        <f t="shared" si="30"/>
        <v>Error?</v>
      </c>
    </row>
    <row r="2036" spans="1:4" x14ac:dyDescent="0.2">
      <c r="A2036" s="5">
        <v>1975</v>
      </c>
      <c r="B2036" s="138">
        <f>'Cap Outlay Deprec 26'!H13</f>
        <v>752325</v>
      </c>
      <c r="D2036" s="2" t="str">
        <f t="shared" si="30"/>
        <v>Error?</v>
      </c>
    </row>
    <row r="2037" spans="1:4" x14ac:dyDescent="0.2">
      <c r="A2037" s="5">
        <v>1976</v>
      </c>
      <c r="B2037" s="138">
        <f>'Cap Outlay Deprec 26'!H16</f>
        <v>35444954</v>
      </c>
      <c r="C2037" s="2" t="s">
        <v>572</v>
      </c>
      <c r="D2037" s="2" t="str">
        <f t="shared" si="30"/>
        <v>Error?</v>
      </c>
    </row>
    <row r="2038" spans="1:4" x14ac:dyDescent="0.2">
      <c r="A2038" s="10">
        <v>1977</v>
      </c>
      <c r="D2038" s="2" t="str">
        <f t="shared" si="30"/>
        <v>OK</v>
      </c>
    </row>
    <row r="2039" spans="1:4" x14ac:dyDescent="0.2">
      <c r="A2039" s="5">
        <v>1978</v>
      </c>
      <c r="B2039" s="138">
        <f>'Cap Outlay Deprec 26'!I8</f>
        <v>2588755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180943</v>
      </c>
      <c r="D2041" s="2" t="str">
        <f t="shared" si="30"/>
        <v>Error?</v>
      </c>
    </row>
    <row r="2042" spans="1:4" x14ac:dyDescent="0.2">
      <c r="A2042" s="5">
        <v>1981</v>
      </c>
      <c r="B2042" s="138">
        <f>'Cap Outlay Deprec 26'!I13</f>
        <v>35471</v>
      </c>
      <c r="D2042" s="2" t="str">
        <f t="shared" si="30"/>
        <v>Error?</v>
      </c>
    </row>
    <row r="2043" spans="1:4" x14ac:dyDescent="0.2">
      <c r="A2043" s="5">
        <v>1982</v>
      </c>
      <c r="B2043" s="138">
        <f>'Cap Outlay Deprec 26'!I16</f>
        <v>2805169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31616701</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5845626</v>
      </c>
      <c r="C2053" s="2" t="s">
        <v>572</v>
      </c>
      <c r="D2053" s="2" t="str">
        <f t="shared" si="31"/>
        <v>Error?</v>
      </c>
    </row>
    <row r="2054" spans="1:4" x14ac:dyDescent="0.2">
      <c r="A2054" s="5">
        <v>1993</v>
      </c>
      <c r="B2054" s="138">
        <f>'Cap Outlay Deprec 26'!K13</f>
        <v>787796</v>
      </c>
      <c r="C2054" s="2" t="s">
        <v>572</v>
      </c>
      <c r="D2054" s="2" t="str">
        <f t="shared" si="31"/>
        <v>Error?</v>
      </c>
    </row>
    <row r="2055" spans="1:4" x14ac:dyDescent="0.2">
      <c r="A2055" s="5">
        <v>1994</v>
      </c>
      <c r="B2055" s="138">
        <f>'Cap Outlay Deprec 26'!K16</f>
        <v>38250123</v>
      </c>
      <c r="C2055" s="2" t="s">
        <v>572</v>
      </c>
      <c r="D2055" s="2" t="str">
        <f t="shared" si="31"/>
        <v>Error?</v>
      </c>
    </row>
    <row r="2056" spans="1:4" x14ac:dyDescent="0.2">
      <c r="A2056" s="5">
        <v>1995</v>
      </c>
      <c r="B2056" s="138">
        <f>'Cap Outlay Deprec 26'!L5</f>
        <v>1816850</v>
      </c>
      <c r="C2056" s="2" t="s">
        <v>572</v>
      </c>
      <c r="D2056" s="2" t="str">
        <f t="shared" si="31"/>
        <v>Error?</v>
      </c>
    </row>
    <row r="2057" spans="1:4" x14ac:dyDescent="0.2">
      <c r="A2057" s="5">
        <v>1996</v>
      </c>
      <c r="B2057" s="138">
        <f>'Cap Outlay Deprec 26'!L8</f>
        <v>69439970</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2003767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73260587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1893187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1906712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36993412</v>
      </c>
      <c r="C2551" s="2" t="s">
        <v>572</v>
      </c>
      <c r="D2551" s="2" t="str">
        <f t="shared" si="38"/>
        <v>Error?</v>
      </c>
    </row>
    <row r="2552" spans="1:4" x14ac:dyDescent="0.2">
      <c r="A2552" s="10">
        <v>2491</v>
      </c>
      <c r="D2552" s="2" t="str">
        <f t="shared" si="38"/>
        <v>OK</v>
      </c>
    </row>
    <row r="2553" spans="1:4" x14ac:dyDescent="0.2">
      <c r="A2553" s="5">
        <v>2492</v>
      </c>
      <c r="B2553" s="138">
        <f>'Acct Summary 7-8'!C6</f>
        <v>1989943</v>
      </c>
      <c r="C2553" s="2" t="s">
        <v>572</v>
      </c>
      <c r="D2553" s="2" t="str">
        <f t="shared" si="38"/>
        <v>Error?</v>
      </c>
    </row>
    <row r="2554" spans="1:4" x14ac:dyDescent="0.2">
      <c r="A2554" s="5">
        <v>2493</v>
      </c>
      <c r="B2554" s="138">
        <f>'Acct Summary 7-8'!C7</f>
        <v>2407124</v>
      </c>
      <c r="C2554" s="2" t="s">
        <v>572</v>
      </c>
      <c r="D2554" s="2" t="str">
        <f t="shared" si="38"/>
        <v>Error?</v>
      </c>
    </row>
    <row r="2555" spans="1:4" x14ac:dyDescent="0.2">
      <c r="A2555" s="5">
        <v>2494</v>
      </c>
      <c r="B2555" s="138">
        <f>'Acct Summary 7-8'!C8</f>
        <v>41390479</v>
      </c>
      <c r="C2555" s="2" t="s">
        <v>572</v>
      </c>
      <c r="D2555" s="2" t="str">
        <f t="shared" si="38"/>
        <v>Error?</v>
      </c>
    </row>
    <row r="2556" spans="1:4" x14ac:dyDescent="0.2">
      <c r="A2556" s="5">
        <v>2495</v>
      </c>
      <c r="B2556" s="138">
        <f>'Acct Summary 7-8'!C12</f>
        <v>23758061</v>
      </c>
      <c r="C2556" s="2" t="s">
        <v>572</v>
      </c>
      <c r="D2556" s="2" t="str">
        <f t="shared" si="38"/>
        <v>Error?</v>
      </c>
    </row>
    <row r="2557" spans="1:4" x14ac:dyDescent="0.2">
      <c r="A2557" s="5">
        <v>2496</v>
      </c>
      <c r="B2557" s="138">
        <f>'Acct Summary 7-8'!C13</f>
        <v>13416576</v>
      </c>
      <c r="C2557" s="2" t="s">
        <v>572</v>
      </c>
      <c r="D2557" s="2" t="str">
        <f t="shared" si="38"/>
        <v>Error?</v>
      </c>
    </row>
    <row r="2558" spans="1:4" x14ac:dyDescent="0.2">
      <c r="A2558" s="5">
        <v>2497</v>
      </c>
      <c r="B2558" s="138">
        <f>'Acct Summary 7-8'!C14</f>
        <v>69518</v>
      </c>
      <c r="C2558" s="2" t="s">
        <v>572</v>
      </c>
      <c r="D2558" s="2" t="str">
        <f t="shared" si="38"/>
        <v>Error?</v>
      </c>
    </row>
    <row r="2559" spans="1:4" x14ac:dyDescent="0.2">
      <c r="A2559" s="5">
        <v>2498</v>
      </c>
      <c r="B2559" s="138">
        <f>'Acct Summary 7-8'!C15</f>
        <v>1906712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39150867</v>
      </c>
      <c r="C2561" s="2" t="s">
        <v>572</v>
      </c>
      <c r="D2561" s="2" t="str">
        <f t="shared" si="39"/>
        <v>Error?</v>
      </c>
    </row>
    <row r="2562" spans="1:4" x14ac:dyDescent="0.2">
      <c r="A2562" s="5">
        <v>2501</v>
      </c>
      <c r="B2562" s="138">
        <f>'Acct Summary 7-8'!C20</f>
        <v>2239612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661510</v>
      </c>
      <c r="C2564" s="2" t="s">
        <v>572</v>
      </c>
      <c r="D2564" s="2" t="str">
        <f t="shared" si="39"/>
        <v>Error?</v>
      </c>
    </row>
    <row r="2565" spans="1:4" x14ac:dyDescent="0.2">
      <c r="A2565" s="10">
        <v>2504</v>
      </c>
      <c r="D2565" s="2" t="str">
        <f t="shared" si="39"/>
        <v>OK</v>
      </c>
    </row>
    <row r="2566" spans="1:4" x14ac:dyDescent="0.2">
      <c r="A2566" s="5">
        <v>2505</v>
      </c>
      <c r="B2566" s="138">
        <f>'Acct Summary 7-8'!D6</f>
        <v>3319164</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3980674</v>
      </c>
      <c r="C2568" s="2" t="s">
        <v>572</v>
      </c>
      <c r="D2568" s="2" t="str">
        <f t="shared" si="39"/>
        <v>Error?</v>
      </c>
    </row>
    <row r="2569" spans="1:4" x14ac:dyDescent="0.2">
      <c r="A2569" s="5">
        <v>2508</v>
      </c>
      <c r="B2569" s="138">
        <f>'Acct Summary 7-8'!D13</f>
        <v>4070625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4070625</v>
      </c>
      <c r="C2573" s="2" t="s">
        <v>572</v>
      </c>
      <c r="D2573" s="2" t="str">
        <f t="shared" si="39"/>
        <v>Error?</v>
      </c>
    </row>
    <row r="2574" spans="1:4" x14ac:dyDescent="0.2">
      <c r="A2574" s="5">
        <v>2513</v>
      </c>
      <c r="B2574" s="138">
        <f>'Acct Summary 7-8'!D20</f>
        <v>-89951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2071298</v>
      </c>
      <c r="C2591" s="2" t="s">
        <v>572</v>
      </c>
      <c r="D2591" s="2" t="str">
        <f t="shared" si="39"/>
        <v>Error?</v>
      </c>
    </row>
    <row r="2592" spans="1:4" x14ac:dyDescent="0.2">
      <c r="A2592" s="10">
        <v>2531</v>
      </c>
      <c r="D2592" s="2" t="str">
        <f t="shared" si="39"/>
        <v>OK</v>
      </c>
    </row>
    <row r="2593" spans="1:4" x14ac:dyDescent="0.2">
      <c r="A2593" s="5">
        <v>2532</v>
      </c>
      <c r="B2593" s="138">
        <f>'Acct Summary 7-8'!F6</f>
        <v>1760614</v>
      </c>
      <c r="C2593" s="2" t="s">
        <v>572</v>
      </c>
      <c r="D2593" s="2" t="str">
        <f t="shared" si="39"/>
        <v>Error?</v>
      </c>
    </row>
    <row r="2594" spans="1:4" x14ac:dyDescent="0.2">
      <c r="A2594" s="5">
        <v>2533</v>
      </c>
      <c r="B2594" s="138">
        <f>'Acct Summary 7-8'!F7</f>
        <v>32500</v>
      </c>
      <c r="C2594" s="2" t="s">
        <v>572</v>
      </c>
      <c r="D2594" s="2" t="str">
        <f t="shared" si="39"/>
        <v>Error?</v>
      </c>
    </row>
    <row r="2595" spans="1:4" x14ac:dyDescent="0.2">
      <c r="A2595" s="5">
        <v>2534</v>
      </c>
      <c r="B2595" s="138">
        <f>'Acct Summary 7-8'!F8</f>
        <v>3864412</v>
      </c>
      <c r="C2595" s="2" t="s">
        <v>572</v>
      </c>
      <c r="D2595" s="2" t="str">
        <f t="shared" si="39"/>
        <v>Error?</v>
      </c>
    </row>
    <row r="2596" spans="1:4" x14ac:dyDescent="0.2">
      <c r="A2596" s="5">
        <v>2535</v>
      </c>
      <c r="B2596" s="138">
        <f>'Acct Summary 7-8'!F13</f>
        <v>3735133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19509</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3754642</v>
      </c>
      <c r="C2600" s="2" t="s">
        <v>572</v>
      </c>
      <c r="D2600" s="2" t="str">
        <f t="shared" si="39"/>
        <v>Error?</v>
      </c>
    </row>
    <row r="2601" spans="1:4" x14ac:dyDescent="0.2">
      <c r="A2601" s="5">
        <v>2540</v>
      </c>
      <c r="B2601" s="138">
        <f>'Acct Summary 7-8'!F20</f>
        <v>109770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1887447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1887447</v>
      </c>
      <c r="C2606" s="2" t="s">
        <v>572</v>
      </c>
      <c r="D2606" s="2" t="str">
        <f t="shared" si="39"/>
        <v>Error?</v>
      </c>
    </row>
    <row r="2607" spans="1:4" x14ac:dyDescent="0.2">
      <c r="A2607" s="5">
        <v>2546</v>
      </c>
      <c r="B2607" s="138">
        <f>'Acct Summary 7-8'!G12</f>
        <v>639735</v>
      </c>
      <c r="C2607" s="2" t="s">
        <v>572</v>
      </c>
      <c r="D2607" s="2" t="str">
        <f t="shared" si="39"/>
        <v>Error?</v>
      </c>
    </row>
    <row r="2608" spans="1:4" x14ac:dyDescent="0.2">
      <c r="A2608" s="5">
        <v>2547</v>
      </c>
      <c r="B2608" s="138">
        <f>'Acct Summary 7-8'!G13</f>
        <v>1092740</v>
      </c>
      <c r="C2608" s="2" t="s">
        <v>572</v>
      </c>
      <c r="D2608" s="2" t="str">
        <f t="shared" si="39"/>
        <v>Error?</v>
      </c>
    </row>
    <row r="2609" spans="1:4" x14ac:dyDescent="0.2">
      <c r="A2609" s="5">
        <v>2548</v>
      </c>
      <c r="B2609" s="138">
        <f>'Acct Summary 7-8'!G14</f>
        <v>378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1732853</v>
      </c>
      <c r="C2612" s="2" t="s">
        <v>572</v>
      </c>
      <c r="D2612" s="2" t="str">
        <f t="shared" si="39"/>
        <v>Error?</v>
      </c>
    </row>
    <row r="2613" spans="1:4" x14ac:dyDescent="0.2">
      <c r="A2613" s="5">
        <v>2552</v>
      </c>
      <c r="B2613" s="138">
        <f>'Acct Summary 7-8'!G20</f>
        <v>154594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6297448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6480100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7263265</v>
      </c>
      <c r="C2634" s="2" t="s">
        <v>572</v>
      </c>
      <c r="D2634" s="2" t="str">
        <f t="shared" si="40"/>
        <v>Error?</v>
      </c>
    </row>
    <row r="2635" spans="1:4" x14ac:dyDescent="0.2">
      <c r="A2635" s="5">
        <v>2574</v>
      </c>
      <c r="B2635" s="138">
        <f>'Acct Summary 7-8'!E17</f>
        <v>7263265</v>
      </c>
      <c r="C2635" s="2" t="s">
        <v>572</v>
      </c>
      <c r="D2635" s="2" t="str">
        <f t="shared" si="40"/>
        <v>Error?</v>
      </c>
    </row>
    <row r="2636" spans="1:4" x14ac:dyDescent="0.2">
      <c r="A2636" s="5">
        <v>2575</v>
      </c>
      <c r="B2636" s="138">
        <f>'Acct Summary 7-8'!E20</f>
        <v>-783165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270348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270348</v>
      </c>
      <c r="C2658" s="2" t="s">
        <v>572</v>
      </c>
      <c r="D2658" s="2" t="str">
        <f t="shared" si="40"/>
        <v>Error?</v>
      </c>
    </row>
    <row r="2659" spans="1:4" x14ac:dyDescent="0.2">
      <c r="A2659" s="5">
        <v>2598</v>
      </c>
      <c r="B2659" s="138">
        <f>'Acct Summary 7-8'!H13</f>
        <v>1810616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1810616</v>
      </c>
      <c r="C2661" s="2" t="s">
        <v>572</v>
      </c>
      <c r="D2661" s="2" t="str">
        <f t="shared" si="40"/>
        <v>Error?</v>
      </c>
    </row>
    <row r="2662" spans="1:4" x14ac:dyDescent="0.2">
      <c r="A2662" s="5">
        <v>2601</v>
      </c>
      <c r="B2662" s="138">
        <f>'Acct Summary 7-8'!H20</f>
        <v>-1540268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13525</v>
      </c>
      <c r="C2789" s="2" t="s">
        <v>572</v>
      </c>
      <c r="D2789" s="2" t="str">
        <f t="shared" si="42"/>
        <v>Error?</v>
      </c>
    </row>
    <row r="2790" spans="1:4" x14ac:dyDescent="0.2">
      <c r="A2790" s="5">
        <v>2729</v>
      </c>
      <c r="B2790" s="138">
        <f>'Expenditures 15-22'!E102</f>
        <v>13525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19509</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19509</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11653694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169064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11653694</v>
      </c>
      <c r="D2912" s="2" t="str">
        <f t="shared" si="44"/>
        <v>Error?</v>
      </c>
    </row>
    <row r="2913" spans="1:4" x14ac:dyDescent="0.2">
      <c r="A2913" s="5">
        <v>2852</v>
      </c>
      <c r="B2913" s="138">
        <f>'Assets-Liab 5-6'!I41</f>
        <v>11653694</v>
      </c>
      <c r="C2913" s="2" t="s">
        <v>572</v>
      </c>
      <c r="D2913" s="2" t="str">
        <f t="shared" si="44"/>
        <v>Error?</v>
      </c>
    </row>
    <row r="2914" spans="1:4" x14ac:dyDescent="0.2">
      <c r="A2914" s="5">
        <v>2853</v>
      </c>
      <c r="B2914" s="138">
        <f>'Assets-Liab 5-6'!L33</f>
        <v>169064</v>
      </c>
      <c r="D2914" s="2" t="str">
        <f t="shared" si="44"/>
        <v>Error?</v>
      </c>
    </row>
    <row r="2915" spans="1:4" x14ac:dyDescent="0.2">
      <c r="A2915" s="10">
        <v>2854</v>
      </c>
      <c r="D2915" s="2" t="str">
        <f t="shared" si="44"/>
        <v>OK</v>
      </c>
    </row>
    <row r="2916" spans="1:4" x14ac:dyDescent="0.2">
      <c r="A2916" s="5">
        <v>2855</v>
      </c>
      <c r="B2916" s="138">
        <f>'Assets-Liab 5-6'!L34</f>
        <v>169064</v>
      </c>
      <c r="C2916" s="2" t="s">
        <v>572</v>
      </c>
      <c r="D2916" s="2" t="str">
        <f t="shared" si="44"/>
        <v>Error?</v>
      </c>
    </row>
    <row r="2917" spans="1:4" x14ac:dyDescent="0.2">
      <c r="A2917" s="5">
        <v>2856</v>
      </c>
      <c r="B2917" s="138">
        <f>'Assets-Liab 5-6'!L41</f>
        <v>169064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13525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1893187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1893187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13525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19509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19509</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283047</v>
      </c>
      <c r="D3055" s="2" t="str">
        <f t="shared" si="46"/>
        <v>Error?</v>
      </c>
    </row>
    <row r="3056" spans="1:4" x14ac:dyDescent="0.2">
      <c r="A3056" s="5">
        <v>2995</v>
      </c>
      <c r="B3056" s="138">
        <f>'Expenditures 15-22'!D10</f>
        <v>8533</v>
      </c>
      <c r="D3056" s="2" t="str">
        <f t="shared" si="46"/>
        <v>Error?</v>
      </c>
    </row>
    <row r="3057" spans="1:4" x14ac:dyDescent="0.2">
      <c r="A3057" s="5">
        <v>2996</v>
      </c>
      <c r="B3057" s="138">
        <f>'Expenditures 15-22'!E10</f>
        <v>74475</v>
      </c>
      <c r="D3057" s="2" t="str">
        <f t="shared" si="46"/>
        <v>Error?</v>
      </c>
    </row>
    <row r="3058" spans="1:4" x14ac:dyDescent="0.2">
      <c r="A3058" s="5">
        <v>2997</v>
      </c>
      <c r="B3058" s="138">
        <f>'Expenditures 15-22'!F10</f>
        <v>39056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267742</v>
      </c>
      <c r="D3060" s="2" t="str">
        <f t="shared" si="46"/>
        <v>Error?</v>
      </c>
    </row>
    <row r="3061" spans="1:4" x14ac:dyDescent="0.2">
      <c r="A3061" s="10">
        <v>3000</v>
      </c>
      <c r="D3061" s="2" t="str">
        <f t="shared" si="46"/>
        <v>OK</v>
      </c>
    </row>
    <row r="3062" spans="1:4" x14ac:dyDescent="0.2">
      <c r="A3062" s="5">
        <v>3001</v>
      </c>
      <c r="B3062" s="138">
        <f>'Expenditures 15-22'!K10</f>
        <v>672853</v>
      </c>
      <c r="C3062" s="2" t="s">
        <v>572</v>
      </c>
      <c r="D3062" s="2" t="str">
        <f t="shared" si="46"/>
        <v>Error?</v>
      </c>
    </row>
    <row r="3063" spans="1:4" x14ac:dyDescent="0.2">
      <c r="A3063" s="10">
        <v>3002</v>
      </c>
      <c r="D3063" s="2" t="str">
        <f t="shared" si="46"/>
        <v>OK</v>
      </c>
    </row>
    <row r="3064" spans="1:4" x14ac:dyDescent="0.2">
      <c r="A3064" s="5">
        <v>3003</v>
      </c>
      <c r="B3064" s="138">
        <f>'Expenditures 15-22'!D219</f>
        <v>33966</v>
      </c>
      <c r="D3064" s="2" t="str">
        <f t="shared" si="46"/>
        <v>Error?</v>
      </c>
    </row>
    <row r="3065" spans="1:4" x14ac:dyDescent="0.2">
      <c r="A3065" s="5">
        <v>3004</v>
      </c>
      <c r="B3065" s="138">
        <f>'Expenditures 15-22'!K219</f>
        <v>33966</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596267</v>
      </c>
      <c r="C3225" s="2" t="s">
        <v>572</v>
      </c>
      <c r="D3225" s="2" t="str">
        <f t="shared" si="49"/>
        <v>Error?</v>
      </c>
    </row>
    <row r="3226" spans="1:4" x14ac:dyDescent="0.2">
      <c r="A3226" s="5">
        <v>3165</v>
      </c>
      <c r="B3226" s="138">
        <f>'Acct Summary 7-8'!I8</f>
        <v>596267</v>
      </c>
      <c r="C3226" s="2" t="s">
        <v>572</v>
      </c>
      <c r="D3226" s="2" t="str">
        <f t="shared" si="49"/>
        <v>Error?</v>
      </c>
    </row>
    <row r="3227" spans="1:4" x14ac:dyDescent="0.2">
      <c r="A3227" s="5">
        <v>3166</v>
      </c>
      <c r="B3227" s="138">
        <f>'Acct Summary 7-8'!I20</f>
        <v>596267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1273299</v>
      </c>
      <c r="C3231" s="2" t="s">
        <v>572</v>
      </c>
      <c r="D3231" s="2" t="str">
        <f t="shared" si="49"/>
        <v>Error?</v>
      </c>
    </row>
    <row r="3232" spans="1:4" x14ac:dyDescent="0.2">
      <c r="A3232" s="5">
        <v>3171</v>
      </c>
      <c r="B3232" s="138">
        <f>'Acct Summary 7-8'!C77</f>
        <v>-1273299</v>
      </c>
      <c r="C3232" s="2" t="s">
        <v>572</v>
      </c>
      <c r="D3232" s="2" t="str">
        <f t="shared" si="49"/>
        <v>Error?</v>
      </c>
    </row>
    <row r="3233" spans="1:4" x14ac:dyDescent="0.2">
      <c r="A3233" s="5">
        <v>3172</v>
      </c>
      <c r="B3233" s="138">
        <f>'Acct Summary 7-8'!C78</f>
        <v>966313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363884</v>
      </c>
      <c r="C3237" s="2" t="s">
        <v>572</v>
      </c>
      <c r="D3237" s="2" t="str">
        <f t="shared" si="49"/>
        <v>Error?</v>
      </c>
    </row>
    <row r="3238" spans="1:4" x14ac:dyDescent="0.2">
      <c r="A3238" s="5">
        <v>3177</v>
      </c>
      <c r="B3238" s="138">
        <f>'Acct Summary 7-8'!D77</f>
        <v>-363884</v>
      </c>
      <c r="C3238" s="2" t="s">
        <v>572</v>
      </c>
      <c r="D3238" s="2" t="str">
        <f t="shared" si="49"/>
        <v>Error?</v>
      </c>
    </row>
    <row r="3239" spans="1:4" x14ac:dyDescent="0.2">
      <c r="A3239" s="5">
        <v>3178</v>
      </c>
      <c r="B3239" s="138">
        <f>'Acct Summary 7-8'!D78</f>
        <v>-453835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109770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154594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363884</v>
      </c>
      <c r="C3274" s="2" t="s">
        <v>572</v>
      </c>
      <c r="D3274" s="2" t="str">
        <f t="shared" si="50"/>
        <v>Error?</v>
      </c>
    </row>
    <row r="3275" spans="1:4" x14ac:dyDescent="0.2">
      <c r="A3275" s="5">
        <v>3214</v>
      </c>
      <c r="B3275" s="138">
        <f>'Acct Summary 7-8'!E75</f>
        <v>270000</v>
      </c>
      <c r="D3275" s="2" t="str">
        <f t="shared" si="50"/>
        <v>Error?</v>
      </c>
    </row>
    <row r="3276" spans="1:4" x14ac:dyDescent="0.2">
      <c r="A3276" s="5">
        <v>3215</v>
      </c>
      <c r="B3276" s="138">
        <f>'Acct Summary 7-8'!E76</f>
        <v>270000</v>
      </c>
      <c r="C3276" s="2" t="s">
        <v>572</v>
      </c>
      <c r="D3276" s="2" t="str">
        <f t="shared" si="50"/>
        <v>Error?</v>
      </c>
    </row>
    <row r="3277" spans="1:4" x14ac:dyDescent="0.2">
      <c r="A3277" s="5">
        <v>3216</v>
      </c>
      <c r="B3277" s="138">
        <f>'Acct Summary 7-8'!E77</f>
        <v>93884</v>
      </c>
      <c r="C3277" s="2" t="s">
        <v>572</v>
      </c>
      <c r="D3277" s="2" t="str">
        <f t="shared" si="50"/>
        <v>Error?</v>
      </c>
    </row>
    <row r="3278" spans="1:4" x14ac:dyDescent="0.2">
      <c r="A3278" s="5">
        <v>3217</v>
      </c>
      <c r="B3278" s="138">
        <f>'Acct Summary 7-8'!E78</f>
        <v>-689281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1273299</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1273299</v>
      </c>
      <c r="C3299" s="2" t="s">
        <v>572</v>
      </c>
      <c r="D3299" s="2" t="str">
        <f t="shared" si="50"/>
        <v>Error?</v>
      </c>
    </row>
    <row r="3300" spans="1:4" x14ac:dyDescent="0.2">
      <c r="A3300" s="5">
        <v>3239</v>
      </c>
      <c r="B3300" s="138">
        <f>'Acct Summary 7-8'!H78</f>
        <v>-266969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596267</v>
      </c>
      <c r="C3320" s="2" t="s">
        <v>572</v>
      </c>
      <c r="D3320" s="2" t="str">
        <f t="shared" si="50"/>
        <v>Error?</v>
      </c>
    </row>
    <row r="3321" spans="1:4" x14ac:dyDescent="0.2">
      <c r="A3321" s="5">
        <v>3260</v>
      </c>
      <c r="B3321" s="138">
        <f>'Acct Summary 7-8'!I79</f>
        <v>11057427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11653694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4582535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86259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528681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84963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8238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4256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5301146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263732</v>
      </c>
      <c r="D3387" s="2" t="str">
        <f t="shared" si="51"/>
        <v>Error?</v>
      </c>
    </row>
    <row r="3388" spans="1:4" x14ac:dyDescent="0.2">
      <c r="A3388" s="5">
        <v>3327</v>
      </c>
      <c r="B3388" s="138">
        <f>'Expenditures 15-22'!D217</f>
        <v>331425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263732</v>
      </c>
      <c r="C3390" s="2" t="s">
        <v>572</v>
      </c>
      <c r="D3390" s="2" t="str">
        <f t="shared" si="51"/>
        <v>Error?</v>
      </c>
    </row>
    <row r="3391" spans="1:4" x14ac:dyDescent="0.2">
      <c r="A3391" s="5">
        <v>3330</v>
      </c>
      <c r="B3391" s="138">
        <f>'Expenditures 15-22'!K217</f>
        <v>331425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27934113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1432236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2774499</v>
      </c>
      <c r="D3417" s="2" t="str">
        <f t="shared" si="52"/>
        <v>Error?</v>
      </c>
    </row>
    <row r="3418" spans="1:4" x14ac:dyDescent="0.2">
      <c r="A3418" s="10">
        <v>3357</v>
      </c>
      <c r="D3418" s="2" t="str">
        <f t="shared" si="52"/>
        <v>OK</v>
      </c>
    </row>
    <row r="3419" spans="1:4" x14ac:dyDescent="0.2">
      <c r="A3419" s="5">
        <v>3358</v>
      </c>
      <c r="B3419" s="138">
        <f>'Assets-Liab 5-6'!F4</f>
        <v>4007081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802410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735722</v>
      </c>
      <c r="D3425" s="2" t="str">
        <f t="shared" si="52"/>
        <v>Error?</v>
      </c>
    </row>
    <row r="3426" spans="1:4" x14ac:dyDescent="0.2">
      <c r="A3426" s="10">
        <v>3365</v>
      </c>
      <c r="D3426" s="2" t="str">
        <f t="shared" si="52"/>
        <v>OK</v>
      </c>
    </row>
    <row r="3427" spans="1:4" x14ac:dyDescent="0.2">
      <c r="A3427" s="5">
        <v>3366</v>
      </c>
      <c r="B3427" s="138">
        <f>'Assets-Liab 5-6'!I4</f>
        <v>11653694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169064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519214</v>
      </c>
      <c r="C3446" s="2" t="s">
        <v>572</v>
      </c>
      <c r="D3446" s="2" t="str">
        <f t="shared" si="52"/>
        <v>Error?</v>
      </c>
    </row>
    <row r="3447" spans="1:4" x14ac:dyDescent="0.2">
      <c r="A3447" s="5">
        <v>3386</v>
      </c>
      <c r="B3447" s="138">
        <f>'Tax Sched 23'!D16</f>
        <v>243965</v>
      </c>
      <c r="C3447" s="2" t="s">
        <v>572</v>
      </c>
      <c r="D3447" s="2" t="str">
        <f t="shared" si="52"/>
        <v>Error?</v>
      </c>
    </row>
    <row r="3448" spans="1:4" x14ac:dyDescent="0.2">
      <c r="A3448" s="5">
        <v>3387</v>
      </c>
      <c r="B3448" s="138">
        <f>'Tax Sched 23'!C16</f>
        <v>275249</v>
      </c>
      <c r="D3448" s="2" t="str">
        <f t="shared" si="52"/>
        <v>Error?</v>
      </c>
    </row>
    <row r="3449" spans="1:4" x14ac:dyDescent="0.2">
      <c r="A3449" s="5">
        <v>3388</v>
      </c>
      <c r="B3449" s="138">
        <f>'Tax Sched 23'!F16</f>
        <v>250708</v>
      </c>
      <c r="C3449" s="2" t="s">
        <v>572</v>
      </c>
      <c r="D3449" s="2" t="str">
        <f t="shared" si="52"/>
        <v>Error?</v>
      </c>
    </row>
    <row r="3450" spans="1:4" x14ac:dyDescent="0.2">
      <c r="A3450" s="5">
        <v>3389</v>
      </c>
      <c r="B3450" s="138">
        <f>'Tax Sched 23'!E16</f>
        <v>525957</v>
      </c>
      <c r="D3450" s="2" t="str">
        <f t="shared" si="52"/>
        <v>Error?</v>
      </c>
    </row>
    <row r="3451" spans="1:4" x14ac:dyDescent="0.2">
      <c r="A3451" s="5">
        <v>3390</v>
      </c>
      <c r="B3451" s="138">
        <f>'Cap Outlay Deprec 26'!C15</f>
        <v>5243610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5243610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899378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899378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899378</v>
      </c>
      <c r="D3567" s="2" t="str">
        <f t="shared" si="54"/>
        <v>Error?</v>
      </c>
    </row>
    <row r="3568" spans="1:4" x14ac:dyDescent="0.2">
      <c r="A3568" s="5">
        <v>3507</v>
      </c>
      <c r="B3568" s="138">
        <f>'Assets-Liab 5-6'!K41</f>
        <v>899378</v>
      </c>
      <c r="C3568" s="2" t="s">
        <v>572</v>
      </c>
      <c r="D3568" s="2" t="str">
        <f t="shared" si="54"/>
        <v>Error?</v>
      </c>
    </row>
    <row r="3569" spans="1:4" x14ac:dyDescent="0.2">
      <c r="A3569" s="5">
        <v>3508</v>
      </c>
      <c r="B3569" s="138">
        <f>'Acct Summary 7-8'!K4</f>
        <v>539742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539742</v>
      </c>
      <c r="C3571" s="2" t="s">
        <v>572</v>
      </c>
      <c r="D3571" s="2" t="str">
        <f t="shared" si="54"/>
        <v>Error?</v>
      </c>
    </row>
    <row r="3572" spans="1:4" x14ac:dyDescent="0.2">
      <c r="A3572" s="5">
        <v>3511</v>
      </c>
      <c r="B3572" s="138">
        <f>'Acct Summary 7-8'!K13</f>
        <v>10575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10575</v>
      </c>
      <c r="C3575" s="2" t="s">
        <v>572</v>
      </c>
      <c r="D3575" s="2" t="str">
        <f t="shared" si="54"/>
        <v>Error?</v>
      </c>
    </row>
    <row r="3576" spans="1:4" x14ac:dyDescent="0.2">
      <c r="A3576" s="5">
        <v>3515</v>
      </c>
      <c r="B3576" s="138">
        <f>'Acct Summary 7-8'!K20</f>
        <v>529167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529167</v>
      </c>
      <c r="C3588" s="2" t="s">
        <v>572</v>
      </c>
      <c r="D3588" s="2" t="str">
        <f t="shared" si="55"/>
        <v>Error?</v>
      </c>
    </row>
    <row r="3589" spans="1:4" x14ac:dyDescent="0.2">
      <c r="A3589" s="5">
        <v>3528</v>
      </c>
      <c r="B3589" s="138">
        <f>'Acct Summary 7-8'!K79</f>
        <v>370211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899378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10575</v>
      </c>
      <c r="D3632" s="2" t="str">
        <f t="shared" si="55"/>
        <v>Error?</v>
      </c>
    </row>
    <row r="3633" spans="1:4" x14ac:dyDescent="0.2">
      <c r="A3633" s="5">
        <v>3572</v>
      </c>
      <c r="B3633" s="138">
        <f>'Expenditures 15-22'!E350</f>
        <v>10575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10575</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10575</v>
      </c>
      <c r="C3669" s="2" t="s">
        <v>572</v>
      </c>
      <c r="D3669" s="2" t="str">
        <f t="shared" si="56"/>
        <v>Error?</v>
      </c>
    </row>
    <row r="3670" spans="1:4" x14ac:dyDescent="0.2">
      <c r="A3670" s="5">
        <v>3609</v>
      </c>
      <c r="B3670" s="138">
        <f>'Expenditures 15-22'!K350</f>
        <v>10575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10575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10575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529167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998109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34</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34</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15215887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56606366</v>
      </c>
      <c r="C4122" s="2" t="s">
        <v>572</v>
      </c>
      <c r="D4122" s="2" t="str">
        <f t="shared" si="63"/>
        <v>Error?</v>
      </c>
    </row>
    <row r="4123" spans="1:4" x14ac:dyDescent="0.2">
      <c r="A4123" s="5">
        <v>4062</v>
      </c>
      <c r="B4123" s="138">
        <f>'Acct Summary 7-8'!D10</f>
        <v>3980674</v>
      </c>
      <c r="C4123" s="2" t="s">
        <v>572</v>
      </c>
      <c r="D4123" s="2" t="str">
        <f t="shared" si="63"/>
        <v>Error?</v>
      </c>
    </row>
    <row r="4124" spans="1:4" x14ac:dyDescent="0.2">
      <c r="A4124" s="5">
        <v>4063</v>
      </c>
      <c r="B4124" s="138">
        <f>'Acct Summary 7-8'!E10</f>
        <v>6480100</v>
      </c>
      <c r="C4124" s="2" t="s">
        <v>572</v>
      </c>
      <c r="D4124" s="2" t="str">
        <f t="shared" si="63"/>
        <v>Error?</v>
      </c>
    </row>
    <row r="4125" spans="1:4" x14ac:dyDescent="0.2">
      <c r="A4125" s="5">
        <v>4064</v>
      </c>
      <c r="B4125" s="138">
        <f>'Acct Summary 7-8'!F10</f>
        <v>3864412</v>
      </c>
      <c r="C4125" s="2" t="s">
        <v>572</v>
      </c>
      <c r="D4125" s="2" t="str">
        <f t="shared" si="63"/>
        <v>Error?</v>
      </c>
    </row>
    <row r="4126" spans="1:4" x14ac:dyDescent="0.2">
      <c r="A4126" s="5">
        <v>4065</v>
      </c>
      <c r="B4126" s="138">
        <f>'Acct Summary 7-8'!G10</f>
        <v>1887447</v>
      </c>
      <c r="C4126" s="2" t="s">
        <v>572</v>
      </c>
      <c r="D4126" s="2" t="str">
        <f t="shared" si="63"/>
        <v>Error?</v>
      </c>
    </row>
    <row r="4127" spans="1:4" x14ac:dyDescent="0.2">
      <c r="A4127" s="5">
        <v>4066</v>
      </c>
      <c r="B4127" s="138">
        <f>'Acct Summary 7-8'!H10</f>
        <v>270348</v>
      </c>
      <c r="C4127" s="2" t="s">
        <v>572</v>
      </c>
      <c r="D4127" s="2" t="str">
        <f t="shared" si="63"/>
        <v>Error?</v>
      </c>
    </row>
    <row r="4128" spans="1:4" x14ac:dyDescent="0.2">
      <c r="A4128" s="5">
        <v>4067</v>
      </c>
      <c r="B4128" s="138">
        <f>'Acct Summary 7-8'!I10</f>
        <v>596267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539742</v>
      </c>
      <c r="C4130" s="2" t="s">
        <v>572</v>
      </c>
      <c r="D4130" s="2" t="str">
        <f t="shared" si="63"/>
        <v>Error?</v>
      </c>
    </row>
    <row r="4131" spans="1:4" x14ac:dyDescent="0.2">
      <c r="A4131" s="5">
        <v>4070</v>
      </c>
      <c r="B4131" s="138">
        <f>'Acct Summary 7-8'!C18</f>
        <v>15215887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54366754</v>
      </c>
      <c r="C4136" s="2" t="s">
        <v>572</v>
      </c>
      <c r="D4136" s="2" t="str">
        <f t="shared" si="63"/>
        <v>Error?</v>
      </c>
    </row>
    <row r="4137" spans="1:4" x14ac:dyDescent="0.2">
      <c r="A4137" s="5">
        <v>4076</v>
      </c>
      <c r="B4137" s="138">
        <f>'Acct Summary 7-8'!D19</f>
        <v>4070625</v>
      </c>
      <c r="C4137" s="2" t="s">
        <v>572</v>
      </c>
      <c r="D4137" s="2" t="str">
        <f t="shared" si="63"/>
        <v>Error?</v>
      </c>
    </row>
    <row r="4138" spans="1:4" x14ac:dyDescent="0.2">
      <c r="A4138" s="5">
        <v>4077</v>
      </c>
      <c r="B4138" s="138">
        <f>'Acct Summary 7-8'!E19</f>
        <v>7263265</v>
      </c>
      <c r="C4138" s="2" t="s">
        <v>572</v>
      </c>
      <c r="D4138" s="2" t="str">
        <f t="shared" si="63"/>
        <v>Error?</v>
      </c>
    </row>
    <row r="4139" spans="1:4" x14ac:dyDescent="0.2">
      <c r="A4139" s="5">
        <v>4078</v>
      </c>
      <c r="B4139" s="138">
        <f>'Acct Summary 7-8'!F19</f>
        <v>3754642</v>
      </c>
      <c r="C4139" s="2" t="s">
        <v>572</v>
      </c>
      <c r="D4139" s="2" t="str">
        <f t="shared" si="63"/>
        <v>Error?</v>
      </c>
    </row>
    <row r="4140" spans="1:4" x14ac:dyDescent="0.2">
      <c r="A4140" s="5">
        <v>4079</v>
      </c>
      <c r="B4140" s="138">
        <f>'Acct Summary 7-8'!G19</f>
        <v>1732853</v>
      </c>
      <c r="C4140" s="2" t="s">
        <v>572</v>
      </c>
      <c r="D4140" s="2" t="str">
        <f t="shared" si="63"/>
        <v>Error?</v>
      </c>
    </row>
    <row r="4141" spans="1:4" x14ac:dyDescent="0.2">
      <c r="A4141" s="5">
        <v>4080</v>
      </c>
      <c r="B4141" s="138">
        <f>'Acct Summary 7-8'!H19</f>
        <v>1810616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10575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63590000</v>
      </c>
      <c r="C4171" s="2" t="s">
        <v>572</v>
      </c>
      <c r="D4171" s="2" t="str">
        <f t="shared" si="64"/>
        <v>Error?</v>
      </c>
    </row>
    <row r="4172" spans="1:4" x14ac:dyDescent="0.2">
      <c r="A4172" s="5">
        <v>4111</v>
      </c>
      <c r="B4172" s="138">
        <f>'Short-Term Long-Term Debt 24'!J49</f>
        <v>60815501</v>
      </c>
      <c r="C4172" s="2" t="s">
        <v>572</v>
      </c>
      <c r="D4172" s="2" t="str">
        <f t="shared" si="64"/>
        <v>Error?</v>
      </c>
    </row>
    <row r="4173" spans="1:4" x14ac:dyDescent="0.2">
      <c r="A4173" s="5">
        <v>4112</v>
      </c>
      <c r="B4173" s="138">
        <f>'Short-Term Long-Term Debt 24'!H49</f>
        <v>4868000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3043.3</v>
      </c>
      <c r="C4265" s="2" t="s">
        <v>572</v>
      </c>
      <c r="D4265" s="2" t="str">
        <f t="shared" si="65"/>
        <v>Error?</v>
      </c>
      <c r="E4265" s="128"/>
    </row>
    <row r="4266" spans="1:5" x14ac:dyDescent="0.2">
      <c r="A4266" s="12">
        <v>4205</v>
      </c>
      <c r="B4266" s="138">
        <f>('FP Info 3'!F10)*100000</f>
        <v>50.8</v>
      </c>
      <c r="C4266" s="2" t="s">
        <v>572</v>
      </c>
      <c r="D4266" s="2" t="str">
        <f t="shared" si="65"/>
        <v>Error?</v>
      </c>
      <c r="E4266" s="128"/>
    </row>
    <row r="4267" spans="1:5" x14ac:dyDescent="0.2">
      <c r="A4267" s="12">
        <v>4206</v>
      </c>
      <c r="B4267" s="138">
        <f>('FP Info 3'!H10)*100000</f>
        <v>183.5</v>
      </c>
      <c r="C4267" s="2" t="s">
        <v>572</v>
      </c>
      <c r="D4267" s="2" t="str">
        <f t="shared" si="65"/>
        <v>Error?</v>
      </c>
      <c r="E4267" s="128"/>
    </row>
    <row r="4268" spans="1:5" x14ac:dyDescent="0.2">
      <c r="A4268" s="12">
        <v>4207</v>
      </c>
      <c r="B4268" s="138">
        <f>('FP Info 3'!J10)*100000</f>
        <v>3277.9999999999995</v>
      </c>
      <c r="C4268" s="2" t="s">
        <v>572</v>
      </c>
      <c r="D4268" s="2" t="str">
        <f t="shared" si="65"/>
        <v>Error?</v>
      </c>
    </row>
    <row r="4269" spans="1:5" x14ac:dyDescent="0.2">
      <c r="A4269" s="12">
        <v>4208</v>
      </c>
      <c r="B4269" s="138">
        <f>'FP Info 3'!J16</f>
        <v>45023796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6184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34998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182652</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182652</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16881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44320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75239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182652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46.1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182652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1143385544</v>
      </c>
      <c r="D4995" s="2" t="str">
        <f t="shared" si="77"/>
        <v>Error?</v>
      </c>
    </row>
    <row r="4996" spans="1:4" x14ac:dyDescent="0.2">
      <c r="A4996" s="12">
        <v>4935</v>
      </c>
      <c r="B4996" s="138">
        <f>'FP Info 3'!H31</f>
        <v>78893602.536000013</v>
      </c>
      <c r="D4996" s="2" t="str">
        <f t="shared" si="77"/>
        <v>Error?</v>
      </c>
    </row>
    <row r="4997" spans="1:4" x14ac:dyDescent="0.2">
      <c r="A4997" s="12">
        <v>4936</v>
      </c>
      <c r="B4997" s="138">
        <f>'FP Info 3'!H37</f>
        <v>63590000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34363845</v>
      </c>
      <c r="D5061" s="2" t="str">
        <f t="shared" si="78"/>
        <v>Error?</v>
      </c>
    </row>
    <row r="5062" spans="1:4" x14ac:dyDescent="0.2">
      <c r="A5062" s="10">
        <v>5001</v>
      </c>
      <c r="D5062" s="2" t="str">
        <f t="shared" si="78"/>
        <v>OK</v>
      </c>
    </row>
    <row r="5063" spans="1:4" x14ac:dyDescent="0.2">
      <c r="A5063" s="5">
        <v>5002</v>
      </c>
      <c r="B5063" s="138">
        <f>'Revenues 9-14'!C7</f>
        <v>42947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34406792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69792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69792</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674213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674213</v>
      </c>
      <c r="C5090" s="2" t="s">
        <v>572</v>
      </c>
      <c r="D5090" s="2" t="str">
        <f t="shared" si="78"/>
        <v>Error?</v>
      </c>
    </row>
    <row r="5091" spans="1:4" x14ac:dyDescent="0.2">
      <c r="A5091" s="5">
        <v>5030</v>
      </c>
      <c r="B5091" s="138">
        <f>'Revenues 9-14'!C70</f>
        <v>37509</v>
      </c>
      <c r="D5091" s="2" t="str">
        <f t="shared" si="78"/>
        <v>Error?</v>
      </c>
    </row>
    <row r="5092" spans="1:4" x14ac:dyDescent="0.2">
      <c r="A5092" s="5">
        <v>5031</v>
      </c>
      <c r="B5092" s="138">
        <f>'Revenues 9-14'!C71</f>
        <v>115590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593479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10620</v>
      </c>
      <c r="D5099" s="2" t="str">
        <f t="shared" si="78"/>
        <v>Error?</v>
      </c>
    </row>
    <row r="5100" spans="1:4" x14ac:dyDescent="0.2">
      <c r="A5100" s="5">
        <v>5039</v>
      </c>
      <c r="B5100" s="138">
        <f>'Revenues 9-14'!C80</f>
        <v>69201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79821</v>
      </c>
      <c r="C5102" s="2" t="s">
        <v>572</v>
      </c>
      <c r="D5102" s="2" t="str">
        <f t="shared" si="78"/>
        <v>Error?</v>
      </c>
    </row>
    <row r="5103" spans="1:4" x14ac:dyDescent="0.2">
      <c r="A5103" s="5">
        <v>5042</v>
      </c>
      <c r="B5103" s="138">
        <f>'Revenues 9-14'!C84</f>
        <v>629043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629043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134288</v>
      </c>
      <c r="D5118" s="2" t="str">
        <f t="shared" si="78"/>
        <v>Error?</v>
      </c>
    </row>
    <row r="5119" spans="1:4" x14ac:dyDescent="0.2">
      <c r="A5119" s="5">
        <v>5058</v>
      </c>
      <c r="B5119" s="138">
        <f>'Revenues 9-14'!C107</f>
        <v>405333</v>
      </c>
      <c r="D5119" s="2" t="str">
        <f t="shared" ref="D5119:D5182" si="79">IF(ISBLANK(B5119),"OK",IF(A5119-B5119=0,"OK","Error?"))</f>
        <v>Error?</v>
      </c>
    </row>
    <row r="5120" spans="1:4" x14ac:dyDescent="0.2">
      <c r="A5120" s="5">
        <v>5059</v>
      </c>
      <c r="B5120" s="138">
        <f>'Revenues 9-14'!C108</f>
        <v>540272</v>
      </c>
      <c r="C5120" s="2" t="s">
        <v>572</v>
      </c>
      <c r="D5120" s="2" t="str">
        <f t="shared" si="79"/>
        <v>Error?</v>
      </c>
    </row>
    <row r="5121" spans="1:4" x14ac:dyDescent="0.2">
      <c r="A5121" s="5">
        <v>5060</v>
      </c>
      <c r="B5121" s="138">
        <f>'Revenues 9-14'!C109</f>
        <v>36993412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1306085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1306085</v>
      </c>
      <c r="C5132" s="2" t="s">
        <v>572</v>
      </c>
      <c r="D5132" s="2" t="str">
        <f t="shared" si="79"/>
        <v>Error?</v>
      </c>
    </row>
    <row r="5133" spans="1:4" x14ac:dyDescent="0.2">
      <c r="A5133" s="5">
        <v>5072</v>
      </c>
      <c r="B5133" s="138">
        <f>'Revenues 9-14'!C125</f>
        <v>134996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82399</v>
      </c>
      <c r="D5137" s="2" t="str">
        <f t="shared" si="79"/>
        <v>Error?</v>
      </c>
    </row>
    <row r="5138" spans="1:4" x14ac:dyDescent="0.2">
      <c r="A5138" s="10">
        <v>5077</v>
      </c>
      <c r="D5138" s="2" t="str">
        <f t="shared" si="79"/>
        <v>OK</v>
      </c>
    </row>
    <row r="5139" spans="1:4" x14ac:dyDescent="0.2">
      <c r="A5139" s="5">
        <v>5078</v>
      </c>
      <c r="B5139" s="138">
        <f>'Revenues 9-14'!C129</f>
        <v>792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218187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12936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452735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683858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1989943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655016</v>
      </c>
      <c r="D5239" s="2" t="str">
        <f t="shared" si="80"/>
        <v>Error?</v>
      </c>
    </row>
    <row r="5240" spans="1:4" x14ac:dyDescent="0.2">
      <c r="A5240" s="5">
        <v>5179</v>
      </c>
      <c r="B5240" s="138">
        <f>'Revenues 9-14'!C192</f>
        <v>3400</v>
      </c>
      <c r="D5240" s="2" t="str">
        <f t="shared" si="80"/>
        <v>Error?</v>
      </c>
    </row>
    <row r="5241" spans="1:4" x14ac:dyDescent="0.2">
      <c r="A5241" s="5">
        <v>5180</v>
      </c>
      <c r="B5241" s="138">
        <f>'Revenues 9-14'!C193</f>
        <v>125387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783803</v>
      </c>
      <c r="C5246" s="2" t="s">
        <v>572</v>
      </c>
      <c r="D5246" s="2" t="str">
        <f t="shared" si="80"/>
        <v>Error?</v>
      </c>
    </row>
    <row r="5247" spans="1:4" x14ac:dyDescent="0.2">
      <c r="A5247" s="5">
        <v>5186</v>
      </c>
      <c r="B5247" s="138">
        <f>'Revenues 9-14'!C200</f>
        <v>375866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16881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382050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35718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1028998</v>
      </c>
      <c r="D5278" s="2" t="str">
        <f t="shared" si="81"/>
        <v>Error?</v>
      </c>
    </row>
    <row r="5279" spans="1:4" x14ac:dyDescent="0.2">
      <c r="A5279" s="5">
        <v>5218</v>
      </c>
      <c r="B5279" s="138">
        <f>'Revenues 9-14'!C214</f>
        <v>5117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1069833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2407124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2407124</v>
      </c>
      <c r="C5326" s="2" t="s">
        <v>572</v>
      </c>
      <c r="D5326" s="2" t="str">
        <f t="shared" si="82"/>
        <v>Error?</v>
      </c>
    </row>
    <row r="5327" spans="1:5" x14ac:dyDescent="0.2">
      <c r="A5327" s="5">
        <v>5266</v>
      </c>
      <c r="B5327" s="138">
        <f>'Revenues 9-14'!C268</f>
        <v>41390479</v>
      </c>
      <c r="C5327" s="2" t="s">
        <v>572</v>
      </c>
      <c r="D5327" s="2" t="str">
        <f t="shared" si="82"/>
        <v>Error?</v>
      </c>
    </row>
    <row r="5328" spans="1:5" x14ac:dyDescent="0.2">
      <c r="A5328" s="5">
        <v>5267</v>
      </c>
      <c r="B5328" s="138">
        <f>'Revenues 9-14'!D5</f>
        <v>588510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588510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35800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35800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36774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37200</v>
      </c>
      <c r="C5355" s="2" t="s">
        <v>572</v>
      </c>
      <c r="D5355" s="2" t="str">
        <f t="shared" si="82"/>
        <v>Error?</v>
      </c>
    </row>
    <row r="5356" spans="1:4" x14ac:dyDescent="0.2">
      <c r="A5356" s="5">
        <v>5295</v>
      </c>
      <c r="B5356" s="138">
        <f>'Revenues 9-14'!D109</f>
        <v>661510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3319164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3319164</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3319164</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3980674</v>
      </c>
      <c r="C5508" s="2" t="s">
        <v>572</v>
      </c>
      <c r="D5508" s="2" t="str">
        <f t="shared" si="85"/>
        <v>Error?</v>
      </c>
    </row>
    <row r="5509" spans="1:4" x14ac:dyDescent="0.2">
      <c r="A5509" s="5">
        <v>5448</v>
      </c>
      <c r="B5509" s="138">
        <f>'Revenues 9-14'!E5</f>
        <v>6297448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6297448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6297448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6480100</v>
      </c>
      <c r="C5552" s="2" t="s">
        <v>572</v>
      </c>
      <c r="D5552" s="2" t="str">
        <f t="shared" si="85"/>
        <v>Error?</v>
      </c>
    </row>
    <row r="5553" spans="1:4" x14ac:dyDescent="0.2">
      <c r="A5553" s="5">
        <v>5492</v>
      </c>
      <c r="B5553" s="138">
        <f>'Revenues 9-14'!F5</f>
        <v>2034332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2034332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24502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24502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12464</v>
      </c>
      <c r="D5586" s="2" t="str">
        <f t="shared" si="86"/>
        <v>Error?</v>
      </c>
    </row>
    <row r="5587" spans="1:4" x14ac:dyDescent="0.2">
      <c r="A5587" s="5">
        <v>5526</v>
      </c>
      <c r="B5587" s="138">
        <f>'Revenues 9-14'!F108</f>
        <v>12464</v>
      </c>
      <c r="C5587" s="2" t="s">
        <v>572</v>
      </c>
      <c r="D5587" s="2" t="str">
        <f t="shared" si="86"/>
        <v>Error?</v>
      </c>
    </row>
    <row r="5588" spans="1:4" x14ac:dyDescent="0.2">
      <c r="A5588" s="5">
        <v>5527</v>
      </c>
      <c r="B5588" s="138">
        <f>'Revenues 9-14'!F109</f>
        <v>2071298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936096</v>
      </c>
      <c r="D5615" s="2" t="str">
        <f t="shared" si="86"/>
        <v>Error?</v>
      </c>
    </row>
    <row r="5616" spans="1:4" x14ac:dyDescent="0.2">
      <c r="A5616" s="10">
        <v>5555</v>
      </c>
      <c r="D5616" s="2" t="str">
        <f t="shared" si="86"/>
        <v>OK</v>
      </c>
    </row>
    <row r="5617" spans="1:5" x14ac:dyDescent="0.2">
      <c r="A5617" s="5">
        <v>5556</v>
      </c>
      <c r="B5617" s="138">
        <f>'Revenues 9-14'!F153</f>
        <v>824518</v>
      </c>
      <c r="D5617" s="2" t="str">
        <f t="shared" si="86"/>
        <v>Error?</v>
      </c>
    </row>
    <row r="5618" spans="1:5" x14ac:dyDescent="0.2">
      <c r="A5618" s="5">
        <v>5557</v>
      </c>
      <c r="B5618" s="138">
        <f>'Revenues 9-14'!F155</f>
        <v>1760614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1760614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1760614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32500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32500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32500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32500</v>
      </c>
      <c r="C5719" s="2" t="s">
        <v>572</v>
      </c>
      <c r="D5719" s="2" t="str">
        <f t="shared" si="88"/>
        <v>Error?</v>
      </c>
    </row>
    <row r="5720" spans="1:4" x14ac:dyDescent="0.2">
      <c r="A5720" s="5">
        <v>5659</v>
      </c>
      <c r="B5720" s="138">
        <f>'Revenues 9-14'!F268</f>
        <v>3864412</v>
      </c>
      <c r="C5720" s="2" t="s">
        <v>572</v>
      </c>
      <c r="D5720" s="2" t="str">
        <f t="shared" si="88"/>
        <v>Error?</v>
      </c>
    </row>
    <row r="5721" spans="1:4" x14ac:dyDescent="0.2">
      <c r="A5721" s="5">
        <v>5660</v>
      </c>
      <c r="B5721" s="138">
        <f>'Revenues 9-14'!G5</f>
        <v>675733</v>
      </c>
      <c r="D5721" s="2" t="str">
        <f t="shared" si="88"/>
        <v>Error?</v>
      </c>
    </row>
    <row r="5722" spans="1:4" x14ac:dyDescent="0.2">
      <c r="A5722" s="5">
        <v>5661</v>
      </c>
      <c r="B5722" s="138">
        <f>'Revenues 9-14'!G7</f>
        <v>0</v>
      </c>
      <c r="D5722" s="2" t="str">
        <f t="shared" si="88"/>
        <v>Error?</v>
      </c>
    </row>
    <row r="5723" spans="1:4" x14ac:dyDescent="0.2">
      <c r="A5723" s="5">
        <v>5662</v>
      </c>
      <c r="B5723" s="138">
        <f>'Revenues 9-14'!G8</f>
        <v>519214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1194947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692500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692500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1887447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13074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13074</v>
      </c>
      <c r="C5881" s="2" t="s">
        <v>572</v>
      </c>
      <c r="D5881" s="2" t="str">
        <f t="shared" si="90"/>
        <v>Error?</v>
      </c>
    </row>
    <row r="5882" spans="1:4" x14ac:dyDescent="0.2">
      <c r="A5882" s="5">
        <v>5821</v>
      </c>
      <c r="B5882" s="138">
        <f>'Revenues 9-14'!H96</f>
        <v>257274</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257274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270348</v>
      </c>
      <c r="C5915" s="2" t="s">
        <v>572</v>
      </c>
      <c r="D5915" s="2" t="str">
        <f t="shared" si="91"/>
        <v>Error?</v>
      </c>
    </row>
    <row r="5916" spans="1:4" x14ac:dyDescent="0.2">
      <c r="A5916" s="5">
        <v>5855</v>
      </c>
      <c r="B5916" s="138">
        <f>'Revenues 9-14'!I5</f>
        <v>494844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494844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101423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101423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596267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520333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520333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19409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19409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539742</v>
      </c>
      <c r="C6023" s="2" t="s">
        <v>572</v>
      </c>
      <c r="D6023" s="2" t="str">
        <f t="shared" si="93"/>
        <v>Error?</v>
      </c>
    </row>
    <row r="6024" spans="1:5" x14ac:dyDescent="0.2">
      <c r="A6024" s="5">
        <v>5963</v>
      </c>
      <c r="B6024" s="138">
        <f>'Revenues 9-14'!G109</f>
        <v>1887447</v>
      </c>
      <c r="C6024" s="2" t="s">
        <v>572</v>
      </c>
      <c r="D6024" s="2" t="str">
        <f t="shared" si="93"/>
        <v>Error?</v>
      </c>
    </row>
    <row r="6025" spans="1:5" x14ac:dyDescent="0.2">
      <c r="A6025" s="5">
        <v>5964</v>
      </c>
      <c r="B6025" s="138">
        <f>'Revenues 9-14'!H109</f>
        <v>270348</v>
      </c>
      <c r="C6025" s="2" t="s">
        <v>572</v>
      </c>
      <c r="D6025" s="2" t="str">
        <f t="shared" si="93"/>
        <v>Error?</v>
      </c>
    </row>
    <row r="6026" spans="1:5" x14ac:dyDescent="0.2">
      <c r="A6026" s="5">
        <v>5965</v>
      </c>
      <c r="B6026" s="138">
        <f>'Revenues 9-14'!I109</f>
        <v>596267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539742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438692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105564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3801.7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580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191296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191296</v>
      </c>
      <c r="D6215" s="2" t="str">
        <f t="shared" si="96"/>
        <v>Error?</v>
      </c>
      <c r="E6215" s="2" t="s">
        <v>190</v>
      </c>
    </row>
    <row r="6216" spans="1:5" x14ac:dyDescent="0.2">
      <c r="A6216">
        <v>6155</v>
      </c>
      <c r="B6216" s="138">
        <f>'Assets-Liab 5-6'!J41</f>
        <v>191296</v>
      </c>
      <c r="D6216" s="2" t="str">
        <f t="shared" si="96"/>
        <v>Error?</v>
      </c>
      <c r="E6216" s="2" t="s">
        <v>190</v>
      </c>
    </row>
    <row r="6217" spans="1:5" x14ac:dyDescent="0.2">
      <c r="A6217">
        <v>6156</v>
      </c>
      <c r="B6217" s="138">
        <f>'Assets-Liab 5-6'!J4</f>
        <v>191296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321282</v>
      </c>
      <c r="D6220" s="2" t="str">
        <f t="shared" si="96"/>
        <v>Error?</v>
      </c>
      <c r="E6220" s="2" t="s">
        <v>190</v>
      </c>
    </row>
    <row r="6221" spans="1:5" x14ac:dyDescent="0.2">
      <c r="A6221">
        <v>6160</v>
      </c>
      <c r="B6221" s="138">
        <f>'Acct Summary 7-8'!J6</f>
        <v>200000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521282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521282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519685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519685</v>
      </c>
      <c r="D6229" s="2" t="str">
        <f t="shared" si="96"/>
        <v>Error?</v>
      </c>
      <c r="E6229" s="2" t="s">
        <v>190</v>
      </c>
    </row>
    <row r="6230" spans="1:5" x14ac:dyDescent="0.2">
      <c r="A6230">
        <v>6169</v>
      </c>
      <c r="B6230" s="138">
        <f>'Acct Summary 7-8'!J20</f>
        <v>1597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1597</v>
      </c>
      <c r="D6263" s="2" t="str">
        <f t="shared" si="96"/>
        <v>Error?</v>
      </c>
      <c r="E6263" s="2" t="s">
        <v>190</v>
      </c>
    </row>
    <row r="6264" spans="1:5" x14ac:dyDescent="0.2">
      <c r="A6264">
        <v>6203</v>
      </c>
      <c r="B6264" s="138">
        <f>'Acct Summary 7-8'!J79</f>
        <v>189699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191296</v>
      </c>
      <c r="D6266" s="2" t="str">
        <f t="shared" si="96"/>
        <v>Error?</v>
      </c>
      <c r="E6266" s="2" t="s">
        <v>190</v>
      </c>
    </row>
    <row r="6267" spans="1:5" x14ac:dyDescent="0.2">
      <c r="A6267">
        <v>6206</v>
      </c>
      <c r="B6267" s="138">
        <f>'Acct Summary 7-8'!C82</f>
        <v>966313</v>
      </c>
      <c r="D6267" s="2" t="str">
        <f t="shared" si="96"/>
        <v>Error?</v>
      </c>
      <c r="E6267" s="2" t="s">
        <v>190</v>
      </c>
    </row>
    <row r="6268" spans="1:5" x14ac:dyDescent="0.2">
      <c r="A6268">
        <v>6207</v>
      </c>
      <c r="B6268" s="138">
        <f>'Acct Summary 7-8'!D82</f>
        <v>-453835</v>
      </c>
      <c r="D6268" s="2" t="str">
        <f t="shared" si="96"/>
        <v>Error?</v>
      </c>
      <c r="E6268" s="2" t="s">
        <v>190</v>
      </c>
    </row>
    <row r="6269" spans="1:5" x14ac:dyDescent="0.2">
      <c r="A6269">
        <v>6208</v>
      </c>
      <c r="B6269" s="138">
        <f>'Acct Summary 7-8'!E82</f>
        <v>-689281</v>
      </c>
      <c r="D6269" s="2" t="str">
        <f t="shared" si="96"/>
        <v>Error?</v>
      </c>
      <c r="E6269" s="2" t="s">
        <v>190</v>
      </c>
    </row>
    <row r="6270" spans="1:5" x14ac:dyDescent="0.2">
      <c r="A6270">
        <v>6209</v>
      </c>
      <c r="B6270" s="138">
        <f>'Acct Summary 7-8'!F82</f>
        <v>109770</v>
      </c>
      <c r="D6270" s="2" t="str">
        <f t="shared" si="96"/>
        <v>Error?</v>
      </c>
      <c r="E6270" s="2" t="s">
        <v>190</v>
      </c>
    </row>
    <row r="6271" spans="1:5" x14ac:dyDescent="0.2">
      <c r="A6271">
        <v>6210</v>
      </c>
      <c r="B6271" s="138">
        <f>'Acct Summary 7-8'!G82</f>
        <v>154594</v>
      </c>
      <c r="D6271" s="2" t="str">
        <f t="shared" ref="D6271:D6334" si="97">IF(ISBLANK(B6271),"OK",IF(A6271-B6271=0,"OK","Error?"))</f>
        <v>Error?</v>
      </c>
      <c r="E6271" s="2" t="s">
        <v>190</v>
      </c>
    </row>
    <row r="6272" spans="1:5" x14ac:dyDescent="0.2">
      <c r="A6272">
        <v>6211</v>
      </c>
      <c r="B6272" s="138">
        <f>'Acct Summary 7-8'!H82</f>
        <v>-266969</v>
      </c>
      <c r="D6272" s="2" t="str">
        <f t="shared" si="97"/>
        <v>Error?</v>
      </c>
      <c r="E6272" s="2" t="s">
        <v>190</v>
      </c>
    </row>
    <row r="6273" spans="1:5" x14ac:dyDescent="0.2">
      <c r="A6273">
        <v>6212</v>
      </c>
      <c r="B6273" s="138">
        <f>'Acct Summary 7-8'!I82</f>
        <v>596267</v>
      </c>
      <c r="D6273" s="2" t="str">
        <f t="shared" si="97"/>
        <v>Error?</v>
      </c>
      <c r="E6273" s="2" t="s">
        <v>190</v>
      </c>
    </row>
    <row r="6274" spans="1:5" x14ac:dyDescent="0.2">
      <c r="A6274">
        <v>6213</v>
      </c>
      <c r="B6274" s="138">
        <f>'Acct Summary 7-8'!J82</f>
        <v>1597</v>
      </c>
      <c r="D6274" s="2" t="str">
        <f t="shared" si="97"/>
        <v>Error?</v>
      </c>
      <c r="E6274" s="2" t="s">
        <v>190</v>
      </c>
    </row>
    <row r="6275" spans="1:5" x14ac:dyDescent="0.2">
      <c r="A6275">
        <v>6214</v>
      </c>
      <c r="B6275" s="138">
        <f>'Acct Summary 7-8'!K82</f>
        <v>529167</v>
      </c>
      <c r="D6275" s="2" t="str">
        <f t="shared" si="97"/>
        <v>Error?</v>
      </c>
      <c r="E6275" s="2" t="s">
        <v>190</v>
      </c>
    </row>
    <row r="6276" spans="1:5" x14ac:dyDescent="0.2">
      <c r="A6276">
        <v>6215</v>
      </c>
      <c r="B6276" s="138">
        <f>'Acct Summary 7-8'!C83</f>
        <v>3.4597162404908316E-2</v>
      </c>
      <c r="D6276" s="2" t="str">
        <f t="shared" si="97"/>
        <v>Error?</v>
      </c>
      <c r="E6276" s="2" t="s">
        <v>190</v>
      </c>
    </row>
    <row r="6277" spans="1:5" x14ac:dyDescent="0.2">
      <c r="A6277">
        <v>6216</v>
      </c>
      <c r="B6277" s="138">
        <f>'Acct Summary 7-8'!D83</f>
        <v>-0.31674339203358981</v>
      </c>
      <c r="D6277" s="2" t="str">
        <f t="shared" si="97"/>
        <v>Error?</v>
      </c>
      <c r="E6277" s="2" t="s">
        <v>190</v>
      </c>
    </row>
    <row r="6278" spans="1:5" x14ac:dyDescent="0.2">
      <c r="A6278">
        <v>6217</v>
      </c>
      <c r="B6278" s="138">
        <f>'Acct Summary 7-8'!E83</f>
        <v>-0.24843440203078104</v>
      </c>
      <c r="D6278" s="2" t="str">
        <f t="shared" si="97"/>
        <v>Error?</v>
      </c>
      <c r="E6278" s="2" t="s">
        <v>190</v>
      </c>
    </row>
    <row r="6279" spans="1:5" x14ac:dyDescent="0.2">
      <c r="A6279">
        <v>6218</v>
      </c>
      <c r="B6279" s="138">
        <f>'Acct Summary 7-8'!F83</f>
        <v>2.7395420969064662E-2</v>
      </c>
      <c r="D6279" s="2" t="str">
        <f t="shared" si="97"/>
        <v>Error?</v>
      </c>
      <c r="E6279" s="2" t="s">
        <v>190</v>
      </c>
    </row>
    <row r="6280" spans="1:5" x14ac:dyDescent="0.2">
      <c r="A6280">
        <v>6219</v>
      </c>
      <c r="B6280" s="138">
        <f>'Acct Summary 7-8'!G83</f>
        <v>0.19266210540746004</v>
      </c>
      <c r="D6280" s="2" t="str">
        <f t="shared" si="97"/>
        <v>Error?</v>
      </c>
      <c r="E6280" s="2" t="s">
        <v>190</v>
      </c>
    </row>
    <row r="6281" spans="1:5" x14ac:dyDescent="0.2">
      <c r="A6281">
        <v>6220</v>
      </c>
      <c r="B6281" s="138">
        <f>'Acct Summary 7-8'!H83</f>
        <v>-0.36286668062121291</v>
      </c>
      <c r="D6281" s="2" t="str">
        <f t="shared" si="97"/>
        <v>Error?</v>
      </c>
      <c r="E6281" s="2" t="s">
        <v>190</v>
      </c>
    </row>
    <row r="6282" spans="1:5" x14ac:dyDescent="0.2">
      <c r="A6282">
        <v>6221</v>
      </c>
      <c r="B6282" s="138">
        <f>'Acct Summary 7-8'!I83</f>
        <v>5.1165493104589843E-2</v>
      </c>
      <c r="D6282" s="2" t="str">
        <f t="shared" si="97"/>
        <v>Error?</v>
      </c>
      <c r="E6282" s="2" t="s">
        <v>190</v>
      </c>
    </row>
    <row r="6283" spans="1:5" x14ac:dyDescent="0.2">
      <c r="A6283">
        <v>6222</v>
      </c>
      <c r="B6283" s="138">
        <f>'Acct Summary 7-8'!J83</f>
        <v>8.3483188357310143E-3</v>
      </c>
      <c r="D6283" s="2" t="str">
        <f t="shared" si="97"/>
        <v>Error?</v>
      </c>
      <c r="E6283" s="2" t="s">
        <v>190</v>
      </c>
    </row>
    <row r="6284" spans="1:5" x14ac:dyDescent="0.2">
      <c r="A6284">
        <v>6223</v>
      </c>
      <c r="B6284" s="138">
        <f>'Acct Summary 7-8'!K83</f>
        <v>0.58836996235175865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270000</v>
      </c>
      <c r="D6287" s="2" t="str">
        <f t="shared" si="97"/>
        <v>Error?</v>
      </c>
      <c r="E6287" s="2" t="s">
        <v>190</v>
      </c>
    </row>
    <row r="6288" spans="1:5" x14ac:dyDescent="0.2">
      <c r="A6288">
        <v>6227</v>
      </c>
      <c r="B6288" s="138">
        <f>'Acct Summary 7-8'!E40</f>
        <v>93884</v>
      </c>
      <c r="D6288" s="2" t="str">
        <f t="shared" si="97"/>
        <v>Error?</v>
      </c>
      <c r="E6288" s="2" t="s">
        <v>190</v>
      </c>
    </row>
    <row r="6289" spans="1:5" x14ac:dyDescent="0.2">
      <c r="A6289">
        <v>6228</v>
      </c>
      <c r="B6289" s="138">
        <f>'Acct Summary 7-8'!H41</f>
        <v>1273299</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321282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321282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321282</v>
      </c>
      <c r="D6352" s="2" t="str">
        <f t="shared" si="98"/>
        <v>Error?</v>
      </c>
      <c r="E6352" s="2" t="s">
        <v>190</v>
      </c>
    </row>
    <row r="6353" spans="1:5" x14ac:dyDescent="0.2">
      <c r="A6353">
        <v>6292</v>
      </c>
      <c r="B6353" s="138">
        <f>'Revenues 9-14'!J117</f>
        <v>200000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200000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200000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78037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6214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494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84745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1760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1760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134140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134140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1289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1289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985874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985874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1123063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1207808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3233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3233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3233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519685</v>
      </c>
      <c r="D7042" s="2" t="str">
        <f t="shared" si="109"/>
        <v>Error?</v>
      </c>
    </row>
    <row r="7043" spans="1:5" x14ac:dyDescent="0.2">
      <c r="A7043">
        <v>6982</v>
      </c>
      <c r="B7043" s="138">
        <f>'Revenues 9-14'!H9</f>
        <v>0</v>
      </c>
      <c r="D7043" s="2" t="str">
        <f t="shared" si="109"/>
        <v>Error?</v>
      </c>
    </row>
    <row r="7044" spans="1:5" x14ac:dyDescent="0.2">
      <c r="A7044">
        <v>6983</v>
      </c>
      <c r="B7044" s="138">
        <f>'Revenues 9-14'!D106</f>
        <v>426</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3233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521282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20900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20900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20900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519685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519685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519685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519685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519685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519685</v>
      </c>
      <c r="D7224" s="2" t="str">
        <f t="shared" si="111"/>
        <v>Error?</v>
      </c>
    </row>
    <row r="7225" spans="1:4" x14ac:dyDescent="0.2">
      <c r="A7225">
        <v>7164</v>
      </c>
      <c r="B7225" s="138">
        <f>'Expenditures 15-22'!K343</f>
        <v>1597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1231941</v>
      </c>
      <c r="D7624" s="2" t="str">
        <f t="shared" si="124"/>
        <v>Error?</v>
      </c>
      <c r="E7624" s="2" t="s">
        <v>19</v>
      </c>
    </row>
    <row r="7625" spans="1:5" x14ac:dyDescent="0.2">
      <c r="A7625">
        <f t="shared" si="123"/>
        <v>7564</v>
      </c>
      <c r="B7625" s="138">
        <f>'Cap Outlay Deprec 26'!I17</f>
        <v>123194.1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2928363.1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270000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93884</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1273299</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42947</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t="str">
        <f>'Expenditures 15-22'!D282</f>
        <v xml:space="preserve"> </v>
      </c>
      <c r="D7783" s="2" t="e">
        <f t="shared" si="127"/>
        <v>#VALUE!</v>
      </c>
      <c r="E7783" s="4" t="s">
        <v>1851</v>
      </c>
    </row>
    <row r="7784" spans="1:5" x14ac:dyDescent="0.2">
      <c r="A7784">
        <v>7723</v>
      </c>
      <c r="B7784" s="138" t="str">
        <f>'Expenditures 15-22'!K282</f>
        <v xml:space="preserve"> </v>
      </c>
      <c r="D7784" s="2" t="e">
        <f t="shared" si="127"/>
        <v>#VALUE!</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3425607</v>
      </c>
      <c r="D7797" s="2" t="str">
        <f t="shared" si="127"/>
        <v>Error?</v>
      </c>
      <c r="E7797" s="4" t="s">
        <v>1900</v>
      </c>
    </row>
    <row r="7798" spans="1:5" x14ac:dyDescent="0.2">
      <c r="A7798">
        <v>7737</v>
      </c>
      <c r="B7798" s="138">
        <f>'Contracts Paid in CY 29'!F141</f>
        <v>50000</v>
      </c>
      <c r="D7798" s="2" t="str">
        <f t="shared" si="127"/>
        <v>Error?</v>
      </c>
      <c r="E7798" s="4" t="s">
        <v>1900</v>
      </c>
    </row>
    <row r="7799" spans="1:5" x14ac:dyDescent="0.2">
      <c r="A7799">
        <v>7738</v>
      </c>
      <c r="B7799" s="138">
        <f>'Contracts Paid in CY 29'!G141</f>
        <v>1500289</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3" t="s">
        <v>1190</v>
      </c>
      <c r="B2" s="2393"/>
      <c r="C2" s="2393"/>
      <c r="D2" s="2393"/>
      <c r="E2" s="2393"/>
      <c r="F2" s="2393"/>
      <c r="G2" s="2393"/>
      <c r="H2" s="2393"/>
      <c r="I2" s="2393"/>
      <c r="J2" s="2393"/>
      <c r="K2" s="2393"/>
      <c r="L2" s="2393"/>
    </row>
    <row r="3" spans="1:29" ht="13.5" customHeight="1" x14ac:dyDescent="0.2">
      <c r="A3" s="2424" t="s">
        <v>1189</v>
      </c>
      <c r="B3" s="2424"/>
      <c r="C3" s="2424"/>
      <c r="D3" s="2424"/>
      <c r="E3" s="2424"/>
      <c r="F3" s="2424"/>
      <c r="G3" s="2424"/>
      <c r="H3" s="2424"/>
      <c r="I3" s="2424"/>
      <c r="J3" s="2424"/>
      <c r="K3" s="2424"/>
      <c r="L3" s="2424"/>
    </row>
    <row r="4" spans="1:29" ht="13.5" customHeight="1" x14ac:dyDescent="0.2">
      <c r="A4" s="2393" t="s">
        <v>1985</v>
      </c>
      <c r="B4" s="2414"/>
      <c r="C4" s="2414"/>
      <c r="D4" s="2414"/>
      <c r="E4" s="2414"/>
      <c r="F4" s="2414"/>
      <c r="G4" s="2414"/>
      <c r="H4" s="2414"/>
      <c r="I4" s="2414"/>
      <c r="J4" s="2414"/>
      <c r="K4" s="2414"/>
      <c r="L4" s="241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5" t="str">
        <f>COVER!A17</f>
        <v>Troy CCSD 30-C</v>
      </c>
      <c r="B7" s="2416"/>
      <c r="C7" s="2416"/>
      <c r="D7" s="2417"/>
      <c r="E7" s="2418" t="str">
        <f>COVER!A13</f>
        <v>56-099-030C-04</v>
      </c>
      <c r="F7" s="2419"/>
      <c r="G7" s="2425" t="str">
        <f>COVER!T23</f>
        <v>066-004945</v>
      </c>
      <c r="H7" s="2426"/>
      <c r="I7" s="2426"/>
      <c r="J7" s="2426"/>
      <c r="K7" s="2426"/>
      <c r="L7" s="2427"/>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8"/>
      <c r="B9" s="2429"/>
      <c r="C9" s="2429"/>
      <c r="D9" s="2429"/>
      <c r="E9" s="2429"/>
      <c r="F9" s="2430"/>
      <c r="G9" s="2399" t="str">
        <f>COVER!T13</f>
        <v>GASSENSMITH &amp; MICHALESKO, LTD</v>
      </c>
      <c r="H9" s="2431"/>
      <c r="I9" s="2431"/>
      <c r="J9" s="2431"/>
      <c r="K9" s="2431"/>
      <c r="L9" s="2432"/>
    </row>
    <row r="10" spans="1:29" ht="13.5" customHeight="1" x14ac:dyDescent="0.2">
      <c r="A10" s="2405" t="str">
        <f>COVER!A38</f>
        <v>DR. TODD KOEHL</v>
      </c>
      <c r="B10" s="2406"/>
      <c r="C10" s="2406"/>
      <c r="D10" s="2406"/>
      <c r="E10" s="2406"/>
      <c r="F10" s="2407"/>
      <c r="G10" s="2399" t="str">
        <f>COVER!T17</f>
        <v>323 SPRINGFIELD</v>
      </c>
      <c r="H10" s="2400"/>
      <c r="I10" s="2400"/>
      <c r="J10" s="2400"/>
      <c r="K10" s="2400"/>
      <c r="L10" s="2401"/>
    </row>
    <row r="11" spans="1:29" ht="13.5" customHeight="1" x14ac:dyDescent="0.2">
      <c r="A11" s="1184" t="s">
        <v>1518</v>
      </c>
      <c r="B11" s="1185"/>
      <c r="C11" s="1186"/>
      <c r="D11" s="1191"/>
      <c r="E11" s="1186"/>
      <c r="F11" s="1190"/>
      <c r="G11" s="2399" t="str">
        <f>COVER!T19</f>
        <v>JOLIET</v>
      </c>
      <c r="H11" s="2400"/>
      <c r="I11" s="2400"/>
      <c r="J11" s="2400"/>
      <c r="K11" s="2400"/>
      <c r="L11" s="2401"/>
    </row>
    <row r="12" spans="1:29" ht="13.5" customHeight="1" x14ac:dyDescent="0.2">
      <c r="A12" s="2408" t="s">
        <v>1517</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1519</v>
      </c>
      <c r="H13" s="2395"/>
      <c r="I13" s="2411" t="str">
        <f>COVER!T25</f>
        <v>JILLEGASSENSMITH.COM</v>
      </c>
      <c r="J13" s="2412"/>
      <c r="K13" s="2412"/>
      <c r="L13" s="2413"/>
    </row>
    <row r="14" spans="1:29" ht="13.5" customHeight="1" x14ac:dyDescent="0.2">
      <c r="A14" s="2399" t="str">
        <f>COVER!A19</f>
        <v>5800 WEST THEODORE ST</v>
      </c>
      <c r="B14" s="2400"/>
      <c r="C14" s="2400"/>
      <c r="D14" s="2400"/>
      <c r="E14" s="2400"/>
      <c r="F14" s="2401"/>
      <c r="G14" s="1195" t="s">
        <v>1184</v>
      </c>
      <c r="H14" s="1193"/>
      <c r="I14" s="1193"/>
      <c r="J14" s="1193"/>
      <c r="K14" s="1193"/>
      <c r="L14" s="1194"/>
    </row>
    <row r="15" spans="1:29" ht="13.5" customHeight="1" x14ac:dyDescent="0.2">
      <c r="A15" s="2399" t="str">
        <f>COVER!A21</f>
        <v>PLAINFIELD</v>
      </c>
      <c r="B15" s="2400"/>
      <c r="C15" s="2400"/>
      <c r="D15" s="2400"/>
      <c r="E15" s="2400"/>
      <c r="F15" s="2401"/>
      <c r="G15" s="2396" t="str">
        <f>COVER!T15</f>
        <v>JILL GASSENSMITH</v>
      </c>
      <c r="H15" s="2397"/>
      <c r="I15" s="2397"/>
      <c r="J15" s="2397"/>
      <c r="K15" s="2397"/>
      <c r="L15" s="2398"/>
    </row>
    <row r="16" spans="1:29" ht="12.2" customHeight="1" x14ac:dyDescent="0.2">
      <c r="A16" s="2421">
        <f>COVER!A25</f>
        <v>60586</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95" t="s">
        <v>1183</v>
      </c>
      <c r="H17" s="1193"/>
      <c r="I17" s="1193"/>
      <c r="J17" s="1193"/>
      <c r="K17" s="1197" t="s">
        <v>1182</v>
      </c>
      <c r="L17" s="1190"/>
      <c r="M17" s="1183"/>
    </row>
    <row r="18" spans="1:13" ht="12.2" customHeight="1" x14ac:dyDescent="0.2">
      <c r="A18" s="2405"/>
      <c r="B18" s="2406"/>
      <c r="C18" s="2406"/>
      <c r="D18" s="2406"/>
      <c r="E18" s="2406"/>
      <c r="F18" s="2407"/>
      <c r="G18" s="2415" t="str">
        <f>COVER!T21</f>
        <v>815-744-6200</v>
      </c>
      <c r="H18" s="2416"/>
      <c r="I18" s="2416"/>
      <c r="J18" s="2416"/>
      <c r="K18" s="2415" t="str">
        <f>COVER!X21</f>
        <v>815-744-3822</v>
      </c>
      <c r="L18" s="242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7" t="str">
        <f>'Single Audit Cover'!A7</f>
        <v>Troy CCSD 30-C</v>
      </c>
      <c r="B1" s="2414"/>
      <c r="C1" s="2414"/>
      <c r="D1" s="2414"/>
    </row>
    <row r="2" spans="1:11" s="1212" customFormat="1" ht="12.75" x14ac:dyDescent="0.2">
      <c r="A2" s="2438" t="str">
        <f>'Single Audit Cover'!E7</f>
        <v>56-099-030C-04</v>
      </c>
      <c r="B2" s="2439"/>
      <c r="C2" s="2439"/>
      <c r="D2" s="2439"/>
    </row>
    <row r="3" spans="1:11" s="1212" customFormat="1" ht="12.75" x14ac:dyDescent="0.2">
      <c r="A3" s="2437" t="s">
        <v>1512</v>
      </c>
      <c r="B3" s="2414"/>
      <c r="C3" s="2414"/>
      <c r="D3" s="2414"/>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A26" sqref="A26:B2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1" t="str">
        <f>'Single Audit Cover'!A7</f>
        <v>Troy CCSD 30-C</v>
      </c>
      <c r="B1" s="2441"/>
      <c r="C1" s="2441"/>
      <c r="D1" s="2441"/>
      <c r="E1" s="2441"/>
    </row>
    <row r="2" spans="1:5" x14ac:dyDescent="0.2">
      <c r="A2" s="2442" t="str">
        <f>'Single Audit Cover'!E7</f>
        <v>56-099-030C-04</v>
      </c>
      <c r="B2" s="2442"/>
      <c r="C2" s="2442"/>
      <c r="D2" s="2442"/>
      <c r="E2" s="2442"/>
    </row>
    <row r="3" spans="1:5" ht="4.5" customHeight="1" x14ac:dyDescent="0.2"/>
    <row r="4" spans="1:5" x14ac:dyDescent="0.2">
      <c r="A4" s="2441" t="s">
        <v>1244</v>
      </c>
      <c r="B4" s="2441"/>
      <c r="C4" s="2441"/>
      <c r="D4" s="2441"/>
      <c r="E4" s="2441"/>
    </row>
    <row r="5" spans="1:5" x14ac:dyDescent="0.2">
      <c r="A5" s="2444" t="str">
        <f>'Single Audit Cover'!A4</f>
        <v>Year Ending June 30, 2019</v>
      </c>
      <c r="B5" s="2444"/>
      <c r="C5" s="2444"/>
      <c r="D5" s="2444"/>
      <c r="E5" s="2444"/>
    </row>
    <row r="6" spans="1:5" x14ac:dyDescent="0.2">
      <c r="A6" s="2441" t="s">
        <v>1243</v>
      </c>
      <c r="B6" s="2441"/>
      <c r="C6" s="2441"/>
      <c r="D6" s="2441"/>
      <c r="E6" s="2441"/>
    </row>
    <row r="8" spans="1:5" x14ac:dyDescent="0.2">
      <c r="A8" s="1257" t="s">
        <v>1242</v>
      </c>
    </row>
    <row r="10" spans="1:5" x14ac:dyDescent="0.2">
      <c r="A10" s="1258" t="s">
        <v>1241</v>
      </c>
      <c r="B10" s="1259" t="s">
        <v>1240</v>
      </c>
      <c r="C10" s="1259"/>
      <c r="D10" s="1260">
        <f>SUM('Acct Summary 7-8'!C7:K7)</f>
        <v>2622276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105564</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0</v>
      </c>
    </row>
    <row r="19" spans="1:4" ht="13.5" thickBot="1" x14ac:dyDescent="0.25">
      <c r="A19" s="1262" t="s">
        <v>1234</v>
      </c>
      <c r="D19" s="1263">
        <f>SUM(D10:D17)</f>
        <v>2727840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3"/>
      <c r="B24" s="2443"/>
      <c r="D24" s="1265"/>
    </row>
    <row r="25" spans="1:4" x14ac:dyDescent="0.2">
      <c r="A25" s="2440" t="s">
        <v>2136</v>
      </c>
      <c r="B25" s="2440"/>
      <c r="D25" s="1265">
        <v>-182652</v>
      </c>
    </row>
    <row r="26" spans="1:4" x14ac:dyDescent="0.2">
      <c r="A26" s="2440"/>
      <c r="B26" s="2440"/>
      <c r="D26" s="1265"/>
    </row>
    <row r="27" spans="1:4" x14ac:dyDescent="0.2">
      <c r="A27" s="2440"/>
      <c r="B27" s="2440"/>
      <c r="D27" s="1265"/>
    </row>
    <row r="28" spans="1:4" x14ac:dyDescent="0.2">
      <c r="A28" s="2440"/>
      <c r="B28" s="2440"/>
      <c r="D28" s="1265"/>
    </row>
    <row r="29" spans="1:4" x14ac:dyDescent="0.2">
      <c r="A29" s="2440"/>
      <c r="B29" s="2440"/>
      <c r="D29" s="1265"/>
    </row>
    <row r="30" spans="1:4" x14ac:dyDescent="0.2">
      <c r="A30" s="2440"/>
      <c r="B30" s="2440"/>
      <c r="D30" s="1265"/>
    </row>
    <row r="32" spans="1:4" x14ac:dyDescent="0.2">
      <c r="A32" s="1257" t="s">
        <v>1232</v>
      </c>
      <c r="D32" s="1260">
        <f>SUM(D19:D30)</f>
        <v>2545188</v>
      </c>
    </row>
    <row r="33" spans="1:4" x14ac:dyDescent="0.2">
      <c r="D33" s="1266"/>
    </row>
    <row r="34" spans="1:4" x14ac:dyDescent="0.2">
      <c r="A34" s="317" t="s">
        <v>1231</v>
      </c>
    </row>
    <row r="35" spans="1:4" x14ac:dyDescent="0.2">
      <c r="A35" s="317" t="s">
        <v>1230</v>
      </c>
      <c r="B35" s="1255" t="s">
        <v>1229</v>
      </c>
      <c r="D35" s="1267">
        <f>+' SEFA'!F49</f>
        <v>2545188</v>
      </c>
    </row>
    <row r="37" spans="1:4" x14ac:dyDescent="0.2">
      <c r="A37" s="1257" t="s">
        <v>1228</v>
      </c>
    </row>
    <row r="39" spans="1:4" ht="13.35" customHeight="1" x14ac:dyDescent="0.2">
      <c r="A39" s="1264" t="s">
        <v>1227</v>
      </c>
    </row>
    <row r="40" spans="1:4" x14ac:dyDescent="0.2">
      <c r="A40" s="2440"/>
      <c r="B40" s="2440"/>
      <c r="D40" s="1265"/>
    </row>
    <row r="41" spans="1:4" x14ac:dyDescent="0.2">
      <c r="A41" s="2440"/>
      <c r="B41" s="2440"/>
      <c r="D41" s="1268"/>
    </row>
    <row r="42" spans="1:4" x14ac:dyDescent="0.2">
      <c r="A42" s="2440"/>
      <c r="B42" s="2440"/>
      <c r="D42" s="1268"/>
    </row>
    <row r="43" spans="1:4" x14ac:dyDescent="0.2">
      <c r="A43" s="2440"/>
      <c r="B43" s="2440"/>
      <c r="D43" s="1268"/>
    </row>
    <row r="44" spans="1:4" x14ac:dyDescent="0.2">
      <c r="A44" s="2440"/>
      <c r="B44" s="2440"/>
      <c r="D44" s="1268"/>
    </row>
    <row r="45" spans="1:4" x14ac:dyDescent="0.2">
      <c r="A45" s="2440"/>
      <c r="B45" s="2440"/>
      <c r="D45" s="1268"/>
    </row>
    <row r="47" spans="1:4" x14ac:dyDescent="0.2">
      <c r="B47" s="1269" t="s">
        <v>1226</v>
      </c>
      <c r="C47" s="1269"/>
      <c r="D47" s="1270">
        <f>SUM(D35:D45)</f>
        <v>2545188</v>
      </c>
    </row>
    <row r="49" spans="2:4" x14ac:dyDescent="0.2">
      <c r="B49" s="1269" t="s">
        <v>1225</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4"/>
  <sheetViews>
    <sheetView showGridLines="0" topLeftCell="A25" zoomScaleNormal="100" workbookViewId="0">
      <selection activeCell="F35" sqref="F35"/>
    </sheetView>
  </sheetViews>
  <sheetFormatPr defaultColWidth="33.5703125" defaultRowHeight="12.75" x14ac:dyDescent="0.2"/>
  <cols>
    <col min="1" max="1" width="0.140625" style="317" customWidth="1"/>
    <col min="2" max="2" width="39.57031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4" t="str">
        <f>'Single Audit Cover'!A7</f>
        <v>Troy CCSD 30-C</v>
      </c>
      <c r="C1" s="2445"/>
      <c r="D1" s="2445"/>
      <c r="E1" s="2445"/>
      <c r="F1" s="2445"/>
      <c r="G1" s="2445"/>
      <c r="H1" s="2445"/>
      <c r="I1" s="2445"/>
      <c r="J1" s="2445"/>
      <c r="K1" s="2445"/>
      <c r="L1" s="2445"/>
      <c r="M1" s="2445"/>
    </row>
    <row r="2" spans="2:14" ht="15" x14ac:dyDescent="0.2">
      <c r="B2" s="2446" t="str">
        <f>'Single Audit Cover'!E7</f>
        <v>56-099-030C-04</v>
      </c>
      <c r="C2" s="2446"/>
      <c r="D2" s="2446"/>
      <c r="E2" s="2446"/>
      <c r="F2" s="2446"/>
      <c r="G2" s="2446"/>
      <c r="H2" s="2446"/>
      <c r="I2" s="2446"/>
      <c r="J2" s="2446"/>
      <c r="K2" s="2446"/>
      <c r="L2" s="2446"/>
      <c r="M2" s="2446"/>
      <c r="N2" s="1299"/>
    </row>
    <row r="3" spans="2:14" ht="15" x14ac:dyDescent="0.2">
      <c r="B3" s="2447" t="s">
        <v>1218</v>
      </c>
      <c r="C3" s="2447"/>
      <c r="D3" s="2447"/>
      <c r="E3" s="2447"/>
      <c r="F3" s="2447"/>
      <c r="G3" s="2447"/>
      <c r="H3" s="2447"/>
      <c r="I3" s="2447"/>
      <c r="J3" s="2447"/>
      <c r="K3" s="2447"/>
      <c r="L3" s="2447"/>
      <c r="M3" s="2447"/>
      <c r="N3" s="1299"/>
    </row>
    <row r="4" spans="2:14" ht="15" x14ac:dyDescent="0.2">
      <c r="B4" s="2448" t="str">
        <f>'Single Audit Cover'!A4</f>
        <v>Year Ending June 30, 2019</v>
      </c>
      <c r="C4" s="2448"/>
      <c r="D4" s="2448"/>
      <c r="E4" s="2448"/>
      <c r="F4" s="2448"/>
      <c r="G4" s="2448"/>
      <c r="H4" s="2448"/>
      <c r="I4" s="2448"/>
      <c r="J4" s="2448"/>
      <c r="K4" s="2448"/>
      <c r="L4" s="2448"/>
      <c r="M4" s="2448"/>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x14ac:dyDescent="0.2">
      <c r="B11" s="1334" t="s">
        <v>2087</v>
      </c>
      <c r="C11" s="1335"/>
      <c r="D11" s="1336"/>
      <c r="E11" s="1337"/>
      <c r="F11" s="1337"/>
      <c r="G11" s="1337"/>
      <c r="H11" s="1337"/>
      <c r="I11" s="1337"/>
      <c r="J11" s="1337"/>
      <c r="K11" s="1337"/>
      <c r="L11" s="1337"/>
      <c r="M11" s="1337"/>
    </row>
    <row r="12" spans="2:14" x14ac:dyDescent="0.2">
      <c r="B12" s="1938" t="s">
        <v>2088</v>
      </c>
      <c r="C12" s="1335"/>
      <c r="D12" s="1336"/>
      <c r="E12" s="1337"/>
      <c r="F12" s="1337"/>
      <c r="G12" s="1337"/>
      <c r="H12" s="1337"/>
      <c r="I12" s="1337"/>
      <c r="J12" s="1337"/>
      <c r="K12" s="1337"/>
      <c r="L12" s="1337"/>
      <c r="M12" s="1337"/>
    </row>
    <row r="13" spans="2:14" x14ac:dyDescent="0.2">
      <c r="B13" s="1938" t="s">
        <v>2089</v>
      </c>
      <c r="C13" s="1335"/>
      <c r="D13" s="1336"/>
      <c r="E13" s="1337"/>
      <c r="F13" s="1337"/>
      <c r="G13" s="1337"/>
      <c r="H13" s="1337"/>
      <c r="I13" s="1337"/>
      <c r="J13" s="1337"/>
      <c r="K13" s="1337"/>
      <c r="L13" s="1337"/>
      <c r="M13" s="1337"/>
    </row>
    <row r="14" spans="2:14" ht="20.100000000000001" customHeight="1" x14ac:dyDescent="0.2">
      <c r="B14" s="1940" t="s">
        <v>2090</v>
      </c>
      <c r="C14" s="1941">
        <v>10.555</v>
      </c>
      <c r="D14" s="1942" t="s">
        <v>2097</v>
      </c>
      <c r="E14" s="1943">
        <v>0</v>
      </c>
      <c r="F14" s="1943">
        <v>545774</v>
      </c>
      <c r="G14" s="1943">
        <v>0</v>
      </c>
      <c r="H14" s="1943">
        <v>0</v>
      </c>
      <c r="I14" s="1943">
        <v>545775</v>
      </c>
      <c r="J14" s="1943">
        <v>0</v>
      </c>
      <c r="K14" s="1943">
        <v>0</v>
      </c>
      <c r="L14" s="1943">
        <f t="shared" ref="L14:L29" si="0">G14+I14+K14</f>
        <v>545775</v>
      </c>
      <c r="M14" s="1944" t="s">
        <v>2112</v>
      </c>
    </row>
    <row r="15" spans="2:14" ht="20.100000000000001" customHeight="1" x14ac:dyDescent="0.2">
      <c r="B15" s="1940" t="s">
        <v>2090</v>
      </c>
      <c r="C15" s="1941">
        <v>10.555</v>
      </c>
      <c r="D15" s="1942" t="s">
        <v>2098</v>
      </c>
      <c r="E15" s="1943">
        <v>541010</v>
      </c>
      <c r="F15" s="1943">
        <v>109242</v>
      </c>
      <c r="G15" s="1943">
        <v>541010</v>
      </c>
      <c r="H15" s="1943">
        <v>0</v>
      </c>
      <c r="I15" s="1943">
        <v>109242</v>
      </c>
      <c r="J15" s="1943">
        <v>0</v>
      </c>
      <c r="K15" s="1943">
        <v>0</v>
      </c>
      <c r="L15" s="1943">
        <f t="shared" si="0"/>
        <v>650252</v>
      </c>
      <c r="M15" s="1944" t="s">
        <v>2112</v>
      </c>
    </row>
    <row r="16" spans="2:14" ht="20.100000000000001" customHeight="1" x14ac:dyDescent="0.2">
      <c r="B16" s="1940" t="s">
        <v>2091</v>
      </c>
      <c r="C16" s="1941">
        <v>10.553000000000001</v>
      </c>
      <c r="D16" s="1942" t="s">
        <v>2099</v>
      </c>
      <c r="E16" s="1943">
        <v>0</v>
      </c>
      <c r="F16" s="1943">
        <v>104323</v>
      </c>
      <c r="G16" s="1943">
        <v>0</v>
      </c>
      <c r="H16" s="1943">
        <v>0</v>
      </c>
      <c r="I16" s="1943">
        <v>104323</v>
      </c>
      <c r="J16" s="1943">
        <v>0</v>
      </c>
      <c r="K16" s="1943">
        <v>0</v>
      </c>
      <c r="L16" s="1943">
        <f t="shared" si="0"/>
        <v>104323</v>
      </c>
      <c r="M16" s="1944" t="s">
        <v>2112</v>
      </c>
    </row>
    <row r="17" spans="2:13" ht="20.100000000000001" customHeight="1" x14ac:dyDescent="0.2">
      <c r="B17" s="1940" t="s">
        <v>2091</v>
      </c>
      <c r="C17" s="1941">
        <v>10.553000000000001</v>
      </c>
      <c r="D17" s="1942" t="s">
        <v>2100</v>
      </c>
      <c r="E17" s="1943">
        <v>112026</v>
      </c>
      <c r="F17" s="1943">
        <v>21064</v>
      </c>
      <c r="G17" s="1943">
        <v>112026</v>
      </c>
      <c r="H17" s="1943">
        <v>0</v>
      </c>
      <c r="I17" s="1943">
        <v>21064</v>
      </c>
      <c r="J17" s="1943">
        <v>0</v>
      </c>
      <c r="K17" s="1943">
        <v>0</v>
      </c>
      <c r="L17" s="1943">
        <f t="shared" si="0"/>
        <v>133090</v>
      </c>
      <c r="M17" s="1944" t="s">
        <v>2112</v>
      </c>
    </row>
    <row r="18" spans="2:13" ht="20.100000000000001" customHeight="1" x14ac:dyDescent="0.2">
      <c r="B18" s="1940" t="s">
        <v>2092</v>
      </c>
      <c r="C18" s="1941">
        <v>10.555999999999999</v>
      </c>
      <c r="D18" s="1942" t="s">
        <v>2101</v>
      </c>
      <c r="E18" s="1943">
        <v>0</v>
      </c>
      <c r="F18" s="1943">
        <v>2850</v>
      </c>
      <c r="G18" s="1943">
        <v>0</v>
      </c>
      <c r="H18" s="1943">
        <v>0</v>
      </c>
      <c r="I18" s="1943">
        <v>2849</v>
      </c>
      <c r="J18" s="1943">
        <v>0</v>
      </c>
      <c r="K18" s="1943">
        <v>0</v>
      </c>
      <c r="L18" s="1943">
        <f t="shared" si="0"/>
        <v>2849</v>
      </c>
      <c r="M18" s="1944" t="s">
        <v>2112</v>
      </c>
    </row>
    <row r="19" spans="2:13" ht="20.100000000000001" customHeight="1" x14ac:dyDescent="0.2">
      <c r="B19" s="1940" t="s">
        <v>2092</v>
      </c>
      <c r="C19" s="1941">
        <v>10.555999999999999</v>
      </c>
      <c r="D19" s="1942" t="s">
        <v>2102</v>
      </c>
      <c r="E19" s="1943">
        <v>2447</v>
      </c>
      <c r="F19" s="1943">
        <v>550</v>
      </c>
      <c r="G19" s="1943">
        <v>2447</v>
      </c>
      <c r="H19" s="1943">
        <v>0</v>
      </c>
      <c r="I19" s="1943">
        <v>550</v>
      </c>
      <c r="J19" s="1943">
        <v>0</v>
      </c>
      <c r="K19" s="1943">
        <v>0</v>
      </c>
      <c r="L19" s="1943">
        <f t="shared" si="0"/>
        <v>2997</v>
      </c>
      <c r="M19" s="1944" t="s">
        <v>2112</v>
      </c>
    </row>
    <row r="20" spans="2:13" ht="20.100000000000001" customHeight="1" x14ac:dyDescent="0.2">
      <c r="B20" s="1940" t="s">
        <v>2093</v>
      </c>
      <c r="C20" s="1941">
        <v>10.555</v>
      </c>
      <c r="D20" s="1942">
        <v>2019</v>
      </c>
      <c r="E20" s="1943">
        <v>0</v>
      </c>
      <c r="F20" s="1943">
        <v>58518</v>
      </c>
      <c r="G20" s="1943">
        <v>0</v>
      </c>
      <c r="H20" s="1943">
        <v>0</v>
      </c>
      <c r="I20" s="1943">
        <v>58518</v>
      </c>
      <c r="J20" s="1943">
        <v>0</v>
      </c>
      <c r="K20" s="1943">
        <v>0</v>
      </c>
      <c r="L20" s="1943">
        <f t="shared" si="0"/>
        <v>58518</v>
      </c>
      <c r="M20" s="1944" t="s">
        <v>2112</v>
      </c>
    </row>
    <row r="21" spans="2:13" ht="20.100000000000001" customHeight="1" x14ac:dyDescent="0.2">
      <c r="B21" s="1940" t="s">
        <v>2094</v>
      </c>
      <c r="C21" s="1941">
        <v>10.555</v>
      </c>
      <c r="D21" s="1942">
        <v>2019</v>
      </c>
      <c r="E21" s="1943">
        <v>0</v>
      </c>
      <c r="F21" s="1943">
        <v>47046</v>
      </c>
      <c r="G21" s="1943">
        <v>0</v>
      </c>
      <c r="H21" s="1943">
        <v>0</v>
      </c>
      <c r="I21" s="1943">
        <v>47046</v>
      </c>
      <c r="J21" s="1943">
        <v>0</v>
      </c>
      <c r="K21" s="1943">
        <v>0</v>
      </c>
      <c r="L21" s="1943">
        <f t="shared" si="0"/>
        <v>47046</v>
      </c>
      <c r="M21" s="1944" t="s">
        <v>2112</v>
      </c>
    </row>
    <row r="22" spans="2:13" ht="20.100000000000001" customHeight="1" x14ac:dyDescent="0.2">
      <c r="B22" s="1940" t="s">
        <v>2093</v>
      </c>
      <c r="C22" s="1941">
        <v>10.555</v>
      </c>
      <c r="D22" s="1942">
        <v>2018</v>
      </c>
      <c r="E22" s="1943">
        <v>64032</v>
      </c>
      <c r="F22" s="1943">
        <v>0</v>
      </c>
      <c r="G22" s="1943">
        <v>64032</v>
      </c>
      <c r="H22" s="1943">
        <v>0</v>
      </c>
      <c r="I22" s="1943">
        <v>0</v>
      </c>
      <c r="J22" s="1943">
        <v>0</v>
      </c>
      <c r="K22" s="1943">
        <v>0</v>
      </c>
      <c r="L22" s="1943">
        <f>G22+I22+K22</f>
        <v>64032</v>
      </c>
      <c r="M22" s="1944" t="s">
        <v>2112</v>
      </c>
    </row>
    <row r="23" spans="2:13" ht="20.100000000000001" customHeight="1" x14ac:dyDescent="0.2">
      <c r="B23" s="1940" t="s">
        <v>2094</v>
      </c>
      <c r="C23" s="1941">
        <v>10.555</v>
      </c>
      <c r="D23" s="1942">
        <v>2018</v>
      </c>
      <c r="E23" s="1943">
        <v>44461</v>
      </c>
      <c r="F23" s="1943">
        <v>0</v>
      </c>
      <c r="G23" s="1943">
        <v>44461</v>
      </c>
      <c r="H23" s="1943">
        <v>0</v>
      </c>
      <c r="I23" s="1943">
        <v>0</v>
      </c>
      <c r="J23" s="1943">
        <v>0</v>
      </c>
      <c r="K23" s="1943">
        <v>0</v>
      </c>
      <c r="L23" s="1943">
        <f>G23+I23+K23</f>
        <v>44461</v>
      </c>
      <c r="M23" s="1944" t="s">
        <v>2112</v>
      </c>
    </row>
    <row r="24" spans="2:13" ht="20.100000000000001" customHeight="1" x14ac:dyDescent="0.2">
      <c r="B24" s="1945" t="s">
        <v>2111</v>
      </c>
      <c r="C24" s="1941"/>
      <c r="D24" s="1942"/>
      <c r="E24" s="1943">
        <f>SUBTOTAL(109,E14:E23)</f>
        <v>763976</v>
      </c>
      <c r="F24" s="1943">
        <f>SUBTOTAL(109,F14:F23)</f>
        <v>889367</v>
      </c>
      <c r="G24" s="1943">
        <f>SUBTOTAL(109,G14:G23)</f>
        <v>763976</v>
      </c>
      <c r="H24" s="1943">
        <v>0</v>
      </c>
      <c r="I24" s="1943">
        <f>SUBTOTAL(109,I14:I23)</f>
        <v>889367</v>
      </c>
      <c r="J24" s="1943">
        <v>0</v>
      </c>
      <c r="K24" s="1943">
        <v>0</v>
      </c>
      <c r="L24" s="1943">
        <f t="shared" si="0"/>
        <v>1653343</v>
      </c>
      <c r="M24" s="1944" t="s">
        <v>2112</v>
      </c>
    </row>
    <row r="25" spans="2:13" ht="20.100000000000001" customHeight="1" x14ac:dyDescent="0.2">
      <c r="B25" s="1940" t="s">
        <v>2095</v>
      </c>
      <c r="C25" s="1941"/>
      <c r="D25" s="1942"/>
      <c r="E25" s="1943">
        <f>SUBTOTAL(109,E14:E23)</f>
        <v>763976</v>
      </c>
      <c r="F25" s="1943">
        <f>SUBTOTAL(109,F14:F23)</f>
        <v>889367</v>
      </c>
      <c r="G25" s="1943">
        <f>SUBTOTAL(109,G14:G23)</f>
        <v>763976</v>
      </c>
      <c r="H25" s="1943">
        <v>0</v>
      </c>
      <c r="I25" s="1943">
        <f>SUBTOTAL(109,I14:I23)</f>
        <v>889367</v>
      </c>
      <c r="J25" s="1943">
        <v>0</v>
      </c>
      <c r="K25" s="1943">
        <v>0</v>
      </c>
      <c r="L25" s="1943">
        <f t="shared" si="0"/>
        <v>1653343</v>
      </c>
      <c r="M25" s="1944" t="s">
        <v>2112</v>
      </c>
    </row>
    <row r="26" spans="2:13" x14ac:dyDescent="0.2">
      <c r="B26" s="1940" t="s">
        <v>2096</v>
      </c>
      <c r="C26" s="1941"/>
      <c r="D26" s="1942"/>
      <c r="E26" s="1943"/>
      <c r="F26" s="1943"/>
      <c r="G26" s="1943"/>
      <c r="H26" s="1943"/>
      <c r="I26" s="1943"/>
      <c r="J26" s="1943"/>
      <c r="K26" s="1943"/>
      <c r="L26" s="1944"/>
      <c r="M26" s="1944"/>
    </row>
    <row r="27" spans="2:13" x14ac:dyDescent="0.2">
      <c r="B27" s="1945" t="s">
        <v>2088</v>
      </c>
      <c r="C27" s="1941"/>
      <c r="D27" s="1942"/>
      <c r="E27" s="1943"/>
      <c r="F27" s="1943"/>
      <c r="G27" s="1943"/>
      <c r="H27" s="1943"/>
      <c r="I27" s="1943"/>
      <c r="J27" s="1943"/>
      <c r="K27" s="1943"/>
      <c r="L27" s="1944"/>
      <c r="M27" s="1944"/>
    </row>
    <row r="28" spans="2:13" ht="20.100000000000001" customHeight="1" x14ac:dyDescent="0.2">
      <c r="B28" s="1940" t="s">
        <v>2103</v>
      </c>
      <c r="C28" s="1941" t="s">
        <v>2113</v>
      </c>
      <c r="D28" s="1942" t="s">
        <v>2124</v>
      </c>
      <c r="E28" s="1943">
        <v>0</v>
      </c>
      <c r="F28" s="1943">
        <f>414550-F29</f>
        <v>260359</v>
      </c>
      <c r="G28" s="1943">
        <f>414204-G30</f>
        <v>408020</v>
      </c>
      <c r="H28" s="1943">
        <v>0</v>
      </c>
      <c r="I28" s="1943">
        <v>423091</v>
      </c>
      <c r="J28" s="1943">
        <v>0</v>
      </c>
      <c r="K28" s="1943">
        <v>15821</v>
      </c>
      <c r="L28" s="1943">
        <f t="shared" si="0"/>
        <v>846932</v>
      </c>
      <c r="M28" s="1943">
        <v>453007</v>
      </c>
    </row>
    <row r="29" spans="2:13" ht="20.100000000000001" customHeight="1" x14ac:dyDescent="0.2">
      <c r="B29" s="1940" t="s">
        <v>2103</v>
      </c>
      <c r="C29" s="1941" t="s">
        <v>2113</v>
      </c>
      <c r="D29" s="1942" t="s">
        <v>2125</v>
      </c>
      <c r="E29" s="1943">
        <v>291952</v>
      </c>
      <c r="F29" s="1943">
        <v>154191</v>
      </c>
      <c r="G29" s="1943">
        <v>0</v>
      </c>
      <c r="H29" s="1943">
        <v>0</v>
      </c>
      <c r="I29" s="1943">
        <v>31939</v>
      </c>
      <c r="J29" s="1943">
        <v>0</v>
      </c>
      <c r="K29" s="1943">
        <v>0</v>
      </c>
      <c r="L29" s="1943">
        <f t="shared" si="0"/>
        <v>31939</v>
      </c>
      <c r="M29" s="1943">
        <v>454225</v>
      </c>
    </row>
    <row r="30" spans="2:13" ht="20.100000000000001" customHeight="1" x14ac:dyDescent="0.2">
      <c r="B30" s="1940" t="s">
        <v>2160</v>
      </c>
      <c r="C30" s="1941" t="s">
        <v>2158</v>
      </c>
      <c r="D30" s="1942" t="s">
        <v>2159</v>
      </c>
      <c r="E30" s="1943"/>
      <c r="F30" s="1943"/>
      <c r="G30" s="1943">
        <v>6184</v>
      </c>
      <c r="H30" s="1943"/>
      <c r="I30" s="1943">
        <v>20435</v>
      </c>
      <c r="J30" s="1943">
        <v>0</v>
      </c>
      <c r="K30" s="1943">
        <v>9565</v>
      </c>
      <c r="L30" s="1943">
        <f t="shared" ref="L30" si="1">G30+I30+K30</f>
        <v>36184</v>
      </c>
      <c r="M30" s="1943">
        <v>454225</v>
      </c>
    </row>
    <row r="31" spans="2:13" ht="20.100000000000001" customHeight="1" x14ac:dyDescent="0.2">
      <c r="B31" s="1940" t="s">
        <v>2104</v>
      </c>
      <c r="C31" s="1946" t="s">
        <v>2121</v>
      </c>
      <c r="D31" s="1947" t="s">
        <v>2126</v>
      </c>
      <c r="E31" s="1948">
        <v>0</v>
      </c>
      <c r="F31" s="1948">
        <v>19352</v>
      </c>
      <c r="G31" s="1948">
        <v>0</v>
      </c>
      <c r="H31" s="1948">
        <v>0</v>
      </c>
      <c r="I31" s="1948">
        <v>35417</v>
      </c>
      <c r="J31" s="1948">
        <v>0</v>
      </c>
      <c r="K31" s="1948">
        <v>0</v>
      </c>
      <c r="L31" s="1943">
        <f t="shared" ref="L31:L49" si="2">+G31+I31+K31</f>
        <v>35417</v>
      </c>
      <c r="M31" s="1948">
        <v>35417</v>
      </c>
    </row>
    <row r="32" spans="2:13" ht="20.100000000000001" customHeight="1" x14ac:dyDescent="0.2">
      <c r="B32" s="1940" t="s">
        <v>2104</v>
      </c>
      <c r="C32" s="1946" t="s">
        <v>2121</v>
      </c>
      <c r="D32" s="1947" t="s">
        <v>2127</v>
      </c>
      <c r="E32" s="1948">
        <v>5985</v>
      </c>
      <c r="F32" s="1948">
        <v>24968</v>
      </c>
      <c r="G32" s="1948">
        <v>22395</v>
      </c>
      <c r="H32" s="1948">
        <v>0</v>
      </c>
      <c r="I32" s="1948">
        <v>8558</v>
      </c>
      <c r="J32" s="1948">
        <v>0</v>
      </c>
      <c r="K32" s="1948">
        <v>0</v>
      </c>
      <c r="L32" s="1943">
        <f t="shared" si="2"/>
        <v>30953</v>
      </c>
      <c r="M32" s="1948">
        <v>31270</v>
      </c>
    </row>
    <row r="33" spans="2:13" ht="20.100000000000001" customHeight="1" x14ac:dyDescent="0.2">
      <c r="B33" s="1940" t="s">
        <v>2105</v>
      </c>
      <c r="C33" s="1946" t="s">
        <v>2114</v>
      </c>
      <c r="D33" s="1947" t="s">
        <v>2128</v>
      </c>
      <c r="E33" s="1948">
        <v>0</v>
      </c>
      <c r="F33" s="1948">
        <v>72075</v>
      </c>
      <c r="G33" s="1948">
        <v>0</v>
      </c>
      <c r="H33" s="1948">
        <v>0</v>
      </c>
      <c r="I33" s="1948">
        <v>82106</v>
      </c>
      <c r="J33" s="1948">
        <v>0</v>
      </c>
      <c r="K33" s="1948">
        <v>13777</v>
      </c>
      <c r="L33" s="1943">
        <f t="shared" si="2"/>
        <v>95883</v>
      </c>
      <c r="M33" s="1948">
        <v>109499</v>
      </c>
    </row>
    <row r="34" spans="2:13" ht="20.100000000000001" customHeight="1" x14ac:dyDescent="0.2">
      <c r="B34" s="1940" t="s">
        <v>2105</v>
      </c>
      <c r="C34" s="1946" t="s">
        <v>2114</v>
      </c>
      <c r="D34" s="1947" t="s">
        <v>2129</v>
      </c>
      <c r="E34" s="1948">
        <v>107923</v>
      </c>
      <c r="F34" s="1948">
        <v>3164</v>
      </c>
      <c r="G34" s="1948">
        <v>110746</v>
      </c>
      <c r="H34" s="1948">
        <v>0</v>
      </c>
      <c r="I34" s="1948">
        <v>341</v>
      </c>
      <c r="J34" s="1948">
        <v>0</v>
      </c>
      <c r="K34" s="1948">
        <v>0</v>
      </c>
      <c r="L34" s="1943">
        <f t="shared" si="2"/>
        <v>111087</v>
      </c>
      <c r="M34" s="1948">
        <v>120143</v>
      </c>
    </row>
    <row r="35" spans="2:13" ht="20.100000000000001" customHeight="1" x14ac:dyDescent="0.2">
      <c r="B35" s="1940" t="s">
        <v>2134</v>
      </c>
      <c r="C35" s="1946"/>
      <c r="D35" s="1947" t="s">
        <v>2135</v>
      </c>
      <c r="E35" s="1948"/>
      <c r="F35" s="1948">
        <v>16881</v>
      </c>
      <c r="G35" s="1948"/>
      <c r="H35" s="1948"/>
      <c r="I35" s="1948">
        <v>29999</v>
      </c>
      <c r="J35" s="1948"/>
      <c r="K35" s="1948"/>
      <c r="L35" s="1943"/>
      <c r="M35" s="1948"/>
    </row>
    <row r="36" spans="2:13" x14ac:dyDescent="0.2">
      <c r="B36" s="1945" t="s">
        <v>2132</v>
      </c>
      <c r="C36" s="1946"/>
      <c r="D36" s="1947"/>
      <c r="E36" s="1948"/>
      <c r="F36" s="1948"/>
      <c r="G36" s="1948"/>
      <c r="H36" s="1948">
        <v>0</v>
      </c>
      <c r="I36" s="1948"/>
      <c r="J36" s="1948"/>
      <c r="K36" s="1948"/>
      <c r="L36" s="1944"/>
      <c r="M36" s="1949"/>
    </row>
    <row r="37" spans="2:13" ht="20.100000000000001" customHeight="1" x14ac:dyDescent="0.2">
      <c r="B37" s="1940" t="s">
        <v>2161</v>
      </c>
      <c r="C37" s="1946" t="s">
        <v>2115</v>
      </c>
      <c r="D37" s="1947" t="s">
        <v>2122</v>
      </c>
      <c r="E37" s="1948">
        <v>0</v>
      </c>
      <c r="F37" s="1948">
        <v>21760</v>
      </c>
      <c r="G37" s="1948">
        <v>0</v>
      </c>
      <c r="H37" s="1948">
        <v>0</v>
      </c>
      <c r="I37" s="1948">
        <v>21760</v>
      </c>
      <c r="J37" s="1948">
        <v>0</v>
      </c>
      <c r="K37" s="1948">
        <v>0</v>
      </c>
      <c r="L37" s="1943">
        <f t="shared" si="2"/>
        <v>21760</v>
      </c>
      <c r="M37" s="1948">
        <v>21760</v>
      </c>
    </row>
    <row r="38" spans="2:13" ht="20.100000000000001" customHeight="1" x14ac:dyDescent="0.2">
      <c r="B38" s="1940" t="s">
        <v>2106</v>
      </c>
      <c r="C38" s="1946" t="s">
        <v>2115</v>
      </c>
      <c r="D38" s="1947" t="s">
        <v>2123</v>
      </c>
      <c r="E38" s="1948">
        <v>6840</v>
      </c>
      <c r="F38" s="1948">
        <v>13958</v>
      </c>
      <c r="G38" s="1948">
        <v>6840</v>
      </c>
      <c r="H38" s="1948">
        <v>0</v>
      </c>
      <c r="I38" s="1948">
        <v>13958</v>
      </c>
      <c r="J38" s="1948">
        <v>0</v>
      </c>
      <c r="K38" s="1948">
        <v>0</v>
      </c>
      <c r="L38" s="1943">
        <f t="shared" si="2"/>
        <v>20798</v>
      </c>
      <c r="M38" s="1948">
        <v>20798</v>
      </c>
    </row>
    <row r="39" spans="2:13" ht="20.100000000000001" customHeight="1" x14ac:dyDescent="0.2">
      <c r="B39" s="1940" t="s">
        <v>2162</v>
      </c>
      <c r="C39" s="1946" t="s">
        <v>2116</v>
      </c>
      <c r="D39" s="1947" t="s">
        <v>2130</v>
      </c>
      <c r="E39" s="1948">
        <v>0</v>
      </c>
      <c r="F39" s="1948">
        <v>617753</v>
      </c>
      <c r="G39" s="1948">
        <v>0</v>
      </c>
      <c r="H39" s="1948">
        <v>0</v>
      </c>
      <c r="I39" s="1948">
        <v>617753</v>
      </c>
      <c r="J39" s="1948">
        <v>0</v>
      </c>
      <c r="K39" s="1948">
        <v>0</v>
      </c>
      <c r="L39" s="1943">
        <f t="shared" si="2"/>
        <v>617753</v>
      </c>
      <c r="M39" s="1948">
        <v>638658</v>
      </c>
    </row>
    <row r="40" spans="2:13" ht="20.100000000000001" customHeight="1" x14ac:dyDescent="0.2">
      <c r="B40" s="1940" t="s">
        <v>2107</v>
      </c>
      <c r="C40" s="1946" t="s">
        <v>2116</v>
      </c>
      <c r="D40" s="1947" t="s">
        <v>2131</v>
      </c>
      <c r="E40" s="1948">
        <v>174815</v>
      </c>
      <c r="F40" s="1948">
        <v>411245</v>
      </c>
      <c r="G40" s="1948">
        <v>174815</v>
      </c>
      <c r="H40" s="1948">
        <v>0</v>
      </c>
      <c r="I40" s="1948">
        <v>411245</v>
      </c>
      <c r="J40" s="1948">
        <v>0</v>
      </c>
      <c r="K40" s="1948">
        <v>0</v>
      </c>
      <c r="L40" s="1943">
        <f t="shared" si="2"/>
        <v>586060</v>
      </c>
      <c r="M40" s="1948">
        <v>586060</v>
      </c>
    </row>
    <row r="41" spans="2:13" ht="20.100000000000001" customHeight="1" x14ac:dyDescent="0.2">
      <c r="B41" s="1940" t="s">
        <v>2163</v>
      </c>
      <c r="C41" s="1946" t="s">
        <v>2116</v>
      </c>
      <c r="D41" s="1947" t="s">
        <v>2133</v>
      </c>
      <c r="E41" s="1948">
        <v>0</v>
      </c>
      <c r="F41" s="1948">
        <v>5117</v>
      </c>
      <c r="G41" s="1948">
        <v>0</v>
      </c>
      <c r="H41" s="1948">
        <v>0</v>
      </c>
      <c r="I41" s="1948">
        <v>5117</v>
      </c>
      <c r="J41" s="1948">
        <v>0</v>
      </c>
      <c r="K41" s="1948">
        <v>0</v>
      </c>
      <c r="L41" s="1943">
        <f t="shared" si="2"/>
        <v>5117</v>
      </c>
      <c r="M41" s="1948" t="s">
        <v>2112</v>
      </c>
    </row>
    <row r="42" spans="2:13" ht="20.100000000000001" customHeight="1" x14ac:dyDescent="0.2">
      <c r="B42" s="1945" t="s">
        <v>2108</v>
      </c>
      <c r="C42" s="1946"/>
      <c r="D42" s="1947"/>
      <c r="E42" s="1948">
        <f>SUBTOTAL(109,E37:E41)</f>
        <v>181655</v>
      </c>
      <c r="F42" s="1948">
        <f>SUBTOTAL(109,F37:F41)</f>
        <v>1069833</v>
      </c>
      <c r="G42" s="1948">
        <f>SUBTOTAL(109,G37:G41)</f>
        <v>181655</v>
      </c>
      <c r="H42" s="1948">
        <v>0</v>
      </c>
      <c r="I42" s="1948">
        <f>SUBTOTAL(109,I37:I41)</f>
        <v>1069833</v>
      </c>
      <c r="J42" s="1948">
        <v>0</v>
      </c>
      <c r="K42" s="1948">
        <f>SUBTOTAL(109,K37:K41)</f>
        <v>0</v>
      </c>
      <c r="L42" s="1944">
        <f>G42+I42+K42</f>
        <v>1251488</v>
      </c>
      <c r="M42" s="1949" t="s">
        <v>2112</v>
      </c>
    </row>
    <row r="43" spans="2:13" ht="19.5" customHeight="1" x14ac:dyDescent="0.2">
      <c r="B43" s="1940" t="s">
        <v>2109</v>
      </c>
      <c r="C43" s="1946"/>
      <c r="D43" s="1947"/>
      <c r="E43" s="1948">
        <f>SUBTOTAL(109,E28:E41)</f>
        <v>587515</v>
      </c>
      <c r="F43" s="1948">
        <f>SUBTOTAL(109,F28:F41)</f>
        <v>1620823</v>
      </c>
      <c r="G43" s="1948">
        <f>SUBTOTAL(109,G28:G41)</f>
        <v>729000</v>
      </c>
      <c r="H43" s="1948">
        <v>0</v>
      </c>
      <c r="I43" s="1948">
        <f>SUBTOTAL(109,I28:I41)</f>
        <v>1701719</v>
      </c>
      <c r="J43" s="1948">
        <v>0</v>
      </c>
      <c r="K43" s="1948">
        <f>SUBTOTAL(109,K28:K41)</f>
        <v>39163</v>
      </c>
      <c r="L43" s="1944">
        <f>G43+I43+K43</f>
        <v>2469882</v>
      </c>
      <c r="M43" s="1949" t="s">
        <v>2112</v>
      </c>
    </row>
    <row r="44" spans="2:13" x14ac:dyDescent="0.2">
      <c r="B44" s="1940" t="s">
        <v>2110</v>
      </c>
      <c r="C44" s="1946"/>
      <c r="D44" s="1947"/>
      <c r="E44" s="1948"/>
      <c r="F44" s="1948"/>
      <c r="G44" s="1948"/>
      <c r="H44" s="1948"/>
      <c r="I44" s="1948"/>
      <c r="J44" s="1948"/>
      <c r="K44" s="1948"/>
      <c r="L44" s="1944"/>
      <c r="M44" s="1949"/>
    </row>
    <row r="45" spans="2:13" x14ac:dyDescent="0.2">
      <c r="B45" s="1945" t="s">
        <v>2117</v>
      </c>
      <c r="C45" s="1946"/>
      <c r="D45" s="1947"/>
      <c r="E45" s="1948"/>
      <c r="F45" s="1948"/>
      <c r="G45" s="1948"/>
      <c r="H45" s="1948"/>
      <c r="I45" s="1948"/>
      <c r="J45" s="1948"/>
      <c r="K45" s="1948"/>
      <c r="L45" s="1944"/>
      <c r="M45" s="1949"/>
    </row>
    <row r="46" spans="2:13" ht="20.100000000000001" customHeight="1" x14ac:dyDescent="0.2">
      <c r="B46" s="1940" t="s">
        <v>2118</v>
      </c>
      <c r="C46" s="1946">
        <v>93.778000000000006</v>
      </c>
      <c r="D46" s="1947">
        <v>2019</v>
      </c>
      <c r="E46" s="1948">
        <v>0</v>
      </c>
      <c r="F46" s="1948">
        <v>34998</v>
      </c>
      <c r="G46" s="1948">
        <v>0</v>
      </c>
      <c r="H46" s="1948">
        <v>0</v>
      </c>
      <c r="I46" s="1948">
        <v>34998</v>
      </c>
      <c r="J46" s="1948">
        <v>0</v>
      </c>
      <c r="K46" s="1948">
        <v>0</v>
      </c>
      <c r="L46" s="1944">
        <f>G46+I46+K46</f>
        <v>34998</v>
      </c>
      <c r="M46" s="1949" t="s">
        <v>2112</v>
      </c>
    </row>
    <row r="47" spans="2:13" ht="20.100000000000001" customHeight="1" x14ac:dyDescent="0.2">
      <c r="B47" s="1940" t="s">
        <v>2118</v>
      </c>
      <c r="C47" s="1946">
        <v>93.778000000000006</v>
      </c>
      <c r="D47" s="1947">
        <v>2018</v>
      </c>
      <c r="E47" s="1948">
        <v>49737</v>
      </c>
      <c r="F47" s="1948">
        <v>0</v>
      </c>
      <c r="G47" s="1948">
        <v>49737</v>
      </c>
      <c r="H47" s="1948">
        <v>0</v>
      </c>
      <c r="I47" s="1948">
        <v>0</v>
      </c>
      <c r="J47" s="1948">
        <v>0</v>
      </c>
      <c r="K47" s="1948">
        <v>0</v>
      </c>
      <c r="L47" s="1944">
        <f t="shared" si="2"/>
        <v>49737</v>
      </c>
      <c r="M47" s="1949" t="s">
        <v>2112</v>
      </c>
    </row>
    <row r="48" spans="2:13" ht="20.100000000000001" customHeight="1" x14ac:dyDescent="0.2">
      <c r="B48" s="1334" t="s">
        <v>2119</v>
      </c>
      <c r="C48" s="1338"/>
      <c r="D48" s="1339"/>
      <c r="E48" s="1939">
        <f>SUBTOTAL(109,E46:E47)</f>
        <v>49737</v>
      </c>
      <c r="F48" s="1939">
        <f>SUBTOTAL(109,F46:F47)</f>
        <v>34998</v>
      </c>
      <c r="G48" s="1939">
        <f>SUBTOTAL(109,G46:G47)</f>
        <v>49737</v>
      </c>
      <c r="H48" s="1939">
        <v>0</v>
      </c>
      <c r="I48" s="1939">
        <f>SUBTOTAL(109,I46:I47)</f>
        <v>34998</v>
      </c>
      <c r="J48" s="1939">
        <v>0</v>
      </c>
      <c r="K48" s="1939">
        <v>0</v>
      </c>
      <c r="L48" s="1337">
        <f t="shared" si="2"/>
        <v>84735</v>
      </c>
      <c r="M48" s="1340" t="s">
        <v>2112</v>
      </c>
    </row>
    <row r="49" spans="2:14" ht="20.100000000000001" customHeight="1" x14ac:dyDescent="0.2">
      <c r="B49" s="1334" t="s">
        <v>2120</v>
      </c>
      <c r="C49" s="1338"/>
      <c r="D49" s="1339"/>
      <c r="E49" s="1939">
        <f>SUBTOTAL(109,E14:E47)</f>
        <v>1401228</v>
      </c>
      <c r="F49" s="1939">
        <f>SUBTOTAL(109,F14:F47)</f>
        <v>2545188</v>
      </c>
      <c r="G49" s="1939">
        <f>SUBTOTAL(109,G14:G47)</f>
        <v>1542713</v>
      </c>
      <c r="H49" s="1939">
        <v>0</v>
      </c>
      <c r="I49" s="1939">
        <f>SUBTOTAL(109,I14:I47)</f>
        <v>2626084</v>
      </c>
      <c r="J49" s="1939">
        <v>0</v>
      </c>
      <c r="K49" s="1939">
        <f>SUBTOTAL(109,K14:K47)</f>
        <v>39163</v>
      </c>
      <c r="L49" s="1337">
        <f t="shared" si="2"/>
        <v>4207960</v>
      </c>
      <c r="M49" s="1340" t="s">
        <v>2112</v>
      </c>
    </row>
    <row r="50" spans="2:14" ht="12.75" customHeight="1" x14ac:dyDescent="0.2">
      <c r="B50" s="1342"/>
      <c r="C50" s="1343"/>
      <c r="D50" s="1344"/>
      <c r="E50" s="1345"/>
      <c r="F50" s="1345"/>
      <c r="G50" s="1345"/>
      <c r="H50" s="1345"/>
      <c r="I50" s="1345"/>
      <c r="J50" s="1345"/>
      <c r="K50" s="1345"/>
      <c r="L50" s="1345"/>
      <c r="M50" s="1345"/>
      <c r="N50" s="1341"/>
    </row>
    <row r="51" spans="2:14" x14ac:dyDescent="0.2">
      <c r="B51" s="1254"/>
      <c r="C51" s="1346"/>
      <c r="D51" s="1347"/>
      <c r="E51" s="1254"/>
      <c r="F51" s="1254"/>
      <c r="G51" s="1247"/>
      <c r="H51" s="1247"/>
      <c r="I51" s="1247"/>
      <c r="J51" s="1247"/>
      <c r="K51" s="1247"/>
      <c r="L51" s="1247"/>
      <c r="M51" s="1254"/>
      <c r="N51" s="1341"/>
    </row>
    <row r="52" spans="2:14" ht="13.5" customHeight="1" x14ac:dyDescent="0.2">
      <c r="B52" s="1279" t="s">
        <v>1733</v>
      </c>
      <c r="C52" s="1346"/>
      <c r="D52" s="1347"/>
      <c r="E52" s="1254"/>
      <c r="F52" s="1254"/>
      <c r="G52" s="1247"/>
      <c r="H52" s="1247"/>
      <c r="I52" s="1247"/>
      <c r="J52" s="1247"/>
      <c r="K52" s="1247"/>
      <c r="L52" s="1247"/>
      <c r="M52" s="1254"/>
      <c r="N52" s="1341"/>
    </row>
    <row r="53" spans="2:14" ht="8.25" customHeight="1" x14ac:dyDescent="0.2">
      <c r="B53" s="1279"/>
      <c r="C53" s="1346"/>
      <c r="D53" s="1347"/>
      <c r="E53" s="1254"/>
      <c r="F53" s="1254"/>
      <c r="G53" s="1247"/>
      <c r="H53" s="1247"/>
      <c r="I53" s="1247"/>
      <c r="J53" s="1247"/>
      <c r="K53" s="1247"/>
      <c r="L53" s="1247"/>
      <c r="M53" s="1254"/>
      <c r="N53" s="1341"/>
    </row>
    <row r="54" spans="2:14" x14ac:dyDescent="0.2">
      <c r="B54" s="1348" t="s">
        <v>1836</v>
      </c>
      <c r="C54" s="1349"/>
      <c r="D54" s="1350"/>
      <c r="E54" s="1351"/>
      <c r="F54" s="1351"/>
      <c r="G54" s="1351"/>
      <c r="H54" s="1351"/>
      <c r="I54" s="317"/>
      <c r="J54" s="317"/>
    </row>
    <row r="55" spans="2:14" x14ac:dyDescent="0.2">
      <c r="B55" s="1274"/>
      <c r="C55" s="1352"/>
      <c r="D55" s="1353"/>
      <c r="E55" s="1275"/>
      <c r="F55" s="1275"/>
      <c r="G55" s="317"/>
      <c r="H55" s="317"/>
      <c r="I55" s="317"/>
      <c r="J55" s="317"/>
    </row>
    <row r="56" spans="2:14" ht="13.5" customHeight="1" x14ac:dyDescent="0.2">
      <c r="B56" s="1273" t="s">
        <v>1245</v>
      </c>
      <c r="G56" s="317"/>
      <c r="H56" s="317"/>
      <c r="I56" s="317"/>
      <c r="J56" s="317"/>
    </row>
    <row r="57" spans="2:14" ht="13.5" customHeight="1" x14ac:dyDescent="0.2">
      <c r="B57" s="1356"/>
      <c r="C57" s="1357"/>
      <c r="D57" s="1358"/>
      <c r="E57" s="1294"/>
      <c r="F57" s="1294"/>
      <c r="G57" s="1294"/>
      <c r="H57" s="1294"/>
      <c r="I57" s="1294"/>
      <c r="J57" s="1294"/>
      <c r="K57" s="1359"/>
      <c r="L57" s="1359"/>
      <c r="M57" s="1294"/>
    </row>
    <row r="58" spans="2:14" ht="9.6" customHeight="1" x14ac:dyDescent="0.2">
      <c r="B58" s="1360"/>
      <c r="G58" s="317"/>
      <c r="H58" s="317"/>
      <c r="I58" s="317"/>
      <c r="J58" s="317"/>
    </row>
    <row r="59" spans="2:14" ht="11.25" customHeight="1" x14ac:dyDescent="0.2">
      <c r="B59" s="1361" t="s">
        <v>1734</v>
      </c>
      <c r="C59" s="1362"/>
      <c r="D59" s="1362"/>
      <c r="E59" s="1362"/>
      <c r="F59" s="1362"/>
      <c r="G59" s="1362"/>
      <c r="H59" s="1362"/>
      <c r="I59" s="1363"/>
      <c r="J59" s="1363"/>
      <c r="K59" s="1363"/>
      <c r="L59" s="1363"/>
      <c r="M59" s="1363"/>
    </row>
    <row r="60" spans="2:14" ht="11.25" customHeight="1" x14ac:dyDescent="0.2">
      <c r="B60" s="1364" t="s">
        <v>1583</v>
      </c>
      <c r="C60" s="1363"/>
      <c r="D60" s="1363"/>
      <c r="E60" s="1363"/>
      <c r="F60" s="1363"/>
      <c r="G60" s="1363"/>
      <c r="H60" s="1363"/>
      <c r="I60" s="1363"/>
      <c r="J60" s="1363"/>
      <c r="K60" s="1363"/>
      <c r="L60" s="1363"/>
      <c r="M60" s="1363"/>
    </row>
    <row r="61" spans="2:14" ht="3.95" customHeight="1" x14ac:dyDescent="0.2">
      <c r="B61" s="1364"/>
      <c r="C61" s="1363"/>
      <c r="D61" s="1363"/>
      <c r="E61" s="1363"/>
      <c r="F61" s="1363"/>
      <c r="G61" s="1363"/>
      <c r="H61" s="1363"/>
      <c r="I61" s="1363"/>
      <c r="J61" s="1363"/>
      <c r="K61" s="1363"/>
      <c r="L61" s="1363"/>
      <c r="M61" s="1363"/>
    </row>
    <row r="62" spans="2:14" ht="11.25" customHeight="1" x14ac:dyDescent="0.2">
      <c r="B62" s="1361" t="s">
        <v>1735</v>
      </c>
      <c r="C62" s="1363"/>
      <c r="D62" s="1363"/>
      <c r="E62" s="1363"/>
      <c r="F62" s="1363"/>
      <c r="G62" s="1363"/>
      <c r="H62" s="1363"/>
      <c r="I62" s="1363"/>
      <c r="J62" s="1363"/>
      <c r="K62" s="1363"/>
      <c r="L62" s="1363"/>
      <c r="M62" s="1363"/>
    </row>
    <row r="63" spans="2:14" ht="11.25" customHeight="1" x14ac:dyDescent="0.2">
      <c r="B63" s="1297" t="s">
        <v>1584</v>
      </c>
      <c r="C63" s="1365"/>
      <c r="D63" s="1366"/>
      <c r="E63" s="1297"/>
      <c r="F63" s="1297"/>
      <c r="G63" s="1297"/>
      <c r="H63" s="1297"/>
      <c r="I63" s="1297"/>
      <c r="J63" s="1297"/>
      <c r="K63" s="1367"/>
      <c r="L63" s="1367"/>
      <c r="M63" s="1297"/>
    </row>
    <row r="64" spans="2:14" ht="3.95" customHeight="1" x14ac:dyDescent="0.2">
      <c r="B64" s="1297"/>
      <c r="C64" s="1365"/>
      <c r="D64" s="1366"/>
      <c r="E64" s="1297"/>
      <c r="F64" s="1297"/>
      <c r="G64" s="1297"/>
      <c r="H64" s="1297"/>
      <c r="I64" s="1297"/>
      <c r="J64" s="1297"/>
      <c r="K64" s="1367"/>
      <c r="L64" s="1367"/>
      <c r="M64" s="1297"/>
    </row>
    <row r="65" spans="2:13" ht="11.25" customHeight="1" x14ac:dyDescent="0.2">
      <c r="B65" s="1368" t="s">
        <v>1736</v>
      </c>
      <c r="C65" s="1365"/>
      <c r="D65" s="1366"/>
      <c r="E65" s="1297"/>
      <c r="F65" s="1297"/>
      <c r="G65" s="1297"/>
      <c r="H65" s="1297"/>
      <c r="I65" s="1297"/>
      <c r="J65" s="1297"/>
      <c r="K65" s="1367"/>
      <c r="L65" s="1367"/>
      <c r="M65" s="1297"/>
    </row>
    <row r="66" spans="2:13" ht="3.95" customHeight="1" x14ac:dyDescent="0.2">
      <c r="B66" s="1368"/>
      <c r="C66" s="1365"/>
      <c r="D66" s="1366"/>
      <c r="E66" s="1297"/>
      <c r="F66" s="1297"/>
      <c r="G66" s="1297"/>
      <c r="H66" s="1297"/>
      <c r="I66" s="1297"/>
      <c r="J66" s="1297"/>
      <c r="K66" s="1367"/>
      <c r="L66" s="1367"/>
      <c r="M66" s="1297"/>
    </row>
    <row r="67" spans="2:13" ht="11.25" customHeight="1" x14ac:dyDescent="0.2">
      <c r="B67" s="1369" t="s">
        <v>1737</v>
      </c>
      <c r="C67" s="1365"/>
      <c r="D67" s="1366"/>
      <c r="E67" s="1297"/>
      <c r="F67" s="1297"/>
      <c r="G67" s="1297"/>
      <c r="H67" s="1297"/>
      <c r="I67" s="1297"/>
      <c r="J67" s="1297"/>
      <c r="K67" s="1367"/>
      <c r="L67" s="1367"/>
      <c r="M67" s="1297"/>
    </row>
    <row r="68" spans="2:13" ht="11.25" customHeight="1" x14ac:dyDescent="0.2">
      <c r="B68" s="1297" t="s">
        <v>1585</v>
      </c>
      <c r="G68" s="317"/>
      <c r="H68" s="317"/>
      <c r="I68" s="317"/>
      <c r="J68" s="317"/>
    </row>
    <row r="69" spans="2:13" ht="11.1" customHeight="1" x14ac:dyDescent="0.2">
      <c r="B69" s="1297"/>
      <c r="G69" s="317"/>
      <c r="H69" s="317"/>
      <c r="I69" s="317"/>
      <c r="J69" s="317"/>
    </row>
    <row r="70" spans="2:13" ht="11.1" customHeight="1" x14ac:dyDescent="0.2">
      <c r="B70" s="1297"/>
      <c r="G70" s="317"/>
      <c r="H70" s="317"/>
      <c r="I70" s="317"/>
      <c r="J70" s="317"/>
    </row>
    <row r="71" spans="2:13" ht="13.5" customHeight="1" x14ac:dyDescent="0.2">
      <c r="M71" s="1370"/>
    </row>
    <row r="72" spans="2:13" ht="13.5" customHeight="1" x14ac:dyDescent="0.2">
      <c r="M72" s="1370"/>
    </row>
    <row r="73" spans="2:13" ht="13.5" customHeight="1" x14ac:dyDescent="0.2">
      <c r="M73" s="1370"/>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ht="13.5" customHeight="1" x14ac:dyDescent="0.2"/>
    <row r="82" ht="13.5" customHeight="1" x14ac:dyDescent="0.2"/>
    <row r="83" ht="13.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4.7" customHeight="1" x14ac:dyDescent="0.2"/>
    <row r="134" ht="12.2"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4.7" customHeight="1" x14ac:dyDescent="0.2"/>
    <row r="174" ht="12.2" customHeight="1" x14ac:dyDescent="0.2"/>
  </sheetData>
  <mergeCells count="4">
    <mergeCell ref="B1:M1"/>
    <mergeCell ref="B2:M2"/>
    <mergeCell ref="B3:M3"/>
    <mergeCell ref="B4:M4"/>
  </mergeCells>
  <pageMargins left="0.09" right="0" top="0.5" bottom="0.5" header="0.25" footer="0.25"/>
  <pageSetup scale="52" firstPageNumber="38" orientation="landscape" useFirstPageNumber="1" r:id="rId1"/>
  <headerFooter alignWithMargins="0">
    <oddHeader>&amp;L&amp;8Page 40&amp;R&amp;8Page 40</oddHeader>
  </headerFooter>
  <ignoredErrors>
    <ignoredError sqref="E14:L27 E41:L49 E40 G40:H40 J40:L40 H39 J39:L39 E38 G38:H38 H37:L37 J38:L38 E31:L34 E28:G28 H28:L28 E29:F29 H29:L29 L30 E36:L36 E35:H35 J35:L35"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Troy CCSD 30-C</v>
      </c>
      <c r="B1" s="2458"/>
      <c r="C1" s="2458"/>
      <c r="D1" s="2458"/>
      <c r="E1" s="2458"/>
      <c r="F1" s="2458"/>
    </row>
    <row r="2" spans="1:7" ht="13.5" customHeight="1" x14ac:dyDescent="0.2">
      <c r="A2" s="2446" t="str">
        <f>'Single Audit Cover'!E7</f>
        <v>56-099-030C-04</v>
      </c>
      <c r="B2" s="2446"/>
      <c r="C2" s="2446"/>
      <c r="D2" s="2446"/>
      <c r="E2" s="2446"/>
      <c r="F2" s="2446"/>
      <c r="G2" s="1272"/>
    </row>
    <row r="3" spans="1:7" ht="15.75" customHeight="1" x14ac:dyDescent="0.2">
      <c r="A3" s="2459" t="s">
        <v>1270</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73" t="s">
        <v>1727</v>
      </c>
      <c r="C6" s="317"/>
      <c r="D6" s="317"/>
    </row>
    <row r="7" spans="1:7" ht="60.95" customHeight="1" x14ac:dyDescent="0.2">
      <c r="A7" s="2457" t="s">
        <v>2137</v>
      </c>
      <c r="B7" s="2457"/>
      <c r="C7" s="2457"/>
      <c r="D7" s="2457"/>
      <c r="E7" s="2457"/>
      <c r="F7" s="2457"/>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2138</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57" t="s">
        <v>2139</v>
      </c>
      <c r="B13" s="2457"/>
      <c r="C13" s="2457"/>
      <c r="D13" s="2457"/>
      <c r="E13" s="2457"/>
      <c r="F13" s="2457"/>
    </row>
    <row r="14" spans="1:7" ht="9.75" customHeight="1" x14ac:dyDescent="0.2">
      <c r="C14" s="1257"/>
      <c r="D14" s="1257"/>
    </row>
    <row r="15" spans="1:7" ht="13.5" customHeight="1" x14ac:dyDescent="0.2">
      <c r="C15" s="1846" t="s">
        <v>1269</v>
      </c>
      <c r="D15" s="2455" t="s">
        <v>1268</v>
      </c>
      <c r="E15" s="2455"/>
      <c r="F15" s="2455"/>
    </row>
    <row r="16" spans="1:7" ht="13.5" customHeight="1" x14ac:dyDescent="0.2">
      <c r="A16" s="1279"/>
      <c r="B16" s="1273" t="s">
        <v>1267</v>
      </c>
      <c r="C16" s="1846" t="s">
        <v>1266</v>
      </c>
      <c r="D16" s="2456" t="s">
        <v>1587</v>
      </c>
      <c r="E16" s="2456"/>
      <c r="F16" s="2456"/>
    </row>
    <row r="17" spans="1:6" ht="20.45" customHeight="1" x14ac:dyDescent="0.2">
      <c r="A17" s="1280"/>
      <c r="B17" s="1281" t="s">
        <v>2140</v>
      </c>
      <c r="C17" s="1282"/>
      <c r="D17" s="2450"/>
      <c r="E17" s="2450"/>
      <c r="F17" s="2450"/>
    </row>
    <row r="18" spans="1:6" ht="20.65" customHeight="1" x14ac:dyDescent="0.2">
      <c r="A18" s="1280"/>
      <c r="B18" s="1281"/>
      <c r="C18" s="1282"/>
      <c r="D18" s="2450"/>
      <c r="E18" s="2450"/>
      <c r="F18" s="2450"/>
    </row>
    <row r="19" spans="1:6" ht="20.65" customHeight="1" x14ac:dyDescent="0.2">
      <c r="A19" s="1280"/>
      <c r="B19" s="1281"/>
      <c r="C19" s="1282"/>
      <c r="D19" s="2450"/>
      <c r="E19" s="2450"/>
      <c r="F19" s="2450"/>
    </row>
    <row r="20" spans="1:6" ht="20.65" customHeight="1" x14ac:dyDescent="0.2">
      <c r="A20" s="1280"/>
      <c r="B20" s="1281"/>
      <c r="C20" s="1282"/>
      <c r="D20" s="2450"/>
      <c r="E20" s="2450"/>
      <c r="F20" s="2450"/>
    </row>
    <row r="21" spans="1:6" ht="20.65" customHeight="1" x14ac:dyDescent="0.2">
      <c r="A21" s="1280"/>
      <c r="B21" s="1281"/>
      <c r="C21" s="1282"/>
      <c r="D21" s="2450"/>
      <c r="E21" s="2450"/>
      <c r="F21" s="2450"/>
    </row>
    <row r="22" spans="1:6" ht="20.65" customHeight="1" x14ac:dyDescent="0.2">
      <c r="A22" s="1280"/>
      <c r="B22" s="1281"/>
      <c r="C22" s="1282"/>
      <c r="D22" s="2450"/>
      <c r="E22" s="2450"/>
      <c r="F22" s="2450"/>
    </row>
    <row r="23" spans="1:6" ht="20.65" customHeight="1" x14ac:dyDescent="0.2">
      <c r="A23" s="1280"/>
      <c r="B23" s="1281"/>
      <c r="C23" s="1282"/>
      <c r="D23" s="2450"/>
      <c r="E23" s="2450"/>
      <c r="F23" s="2450"/>
    </row>
    <row r="24" spans="1:6" ht="20.65" customHeight="1" x14ac:dyDescent="0.2">
      <c r="A24" s="1280"/>
      <c r="B24" s="1281"/>
      <c r="C24" s="1282"/>
      <c r="D24" s="2450"/>
      <c r="E24" s="2450"/>
      <c r="F24" s="2450"/>
    </row>
    <row r="25" spans="1:6" ht="20.65" customHeight="1" x14ac:dyDescent="0.2">
      <c r="A25" s="1280"/>
      <c r="B25" s="1281"/>
      <c r="C25" s="1282"/>
      <c r="D25" s="2450"/>
      <c r="E25" s="2450"/>
      <c r="F25" s="2450"/>
    </row>
    <row r="26" spans="1:6" ht="20.65" customHeight="1" x14ac:dyDescent="0.2">
      <c r="A26" s="1280"/>
      <c r="B26" s="1281"/>
      <c r="C26" s="1282"/>
      <c r="D26" s="2450"/>
      <c r="E26" s="2450"/>
      <c r="F26" s="2450"/>
    </row>
    <row r="27" spans="1:6" ht="20.65" customHeight="1" x14ac:dyDescent="0.2">
      <c r="A27" s="1280"/>
      <c r="B27" s="1281"/>
      <c r="C27" s="1282"/>
      <c r="D27" s="2450"/>
      <c r="E27" s="2450"/>
      <c r="F27" s="2450"/>
    </row>
    <row r="28" spans="1:6" ht="20.65" customHeight="1" x14ac:dyDescent="0.2">
      <c r="A28" s="1280"/>
      <c r="B28" s="1281"/>
      <c r="C28" s="1282"/>
      <c r="D28" s="2450"/>
      <c r="E28" s="2450"/>
      <c r="F28" s="2450"/>
    </row>
    <row r="29" spans="1:6" ht="20.65" customHeight="1" x14ac:dyDescent="0.2">
      <c r="A29" s="1280"/>
      <c r="B29" s="1281"/>
      <c r="C29" s="1282"/>
      <c r="D29" s="2450"/>
      <c r="E29" s="2450"/>
      <c r="F29" s="2450"/>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51" t="s">
        <v>2141</v>
      </c>
      <c r="B32" s="2451"/>
      <c r="C32" s="2451"/>
      <c r="D32" s="2451"/>
      <c r="E32" s="2451"/>
      <c r="F32" s="2451"/>
    </row>
    <row r="33" spans="1:6" ht="13.5" customHeight="1" x14ac:dyDescent="0.2">
      <c r="A33" s="328" t="s">
        <v>1433</v>
      </c>
      <c r="B33" s="328"/>
      <c r="C33" s="1285">
        <v>58518</v>
      </c>
      <c r="D33" s="1903"/>
      <c r="E33" s="1283"/>
    </row>
    <row r="34" spans="1:6" ht="13.5" customHeight="1" x14ac:dyDescent="0.2">
      <c r="A34" s="328" t="s">
        <v>1834</v>
      </c>
      <c r="B34" s="328"/>
      <c r="C34" s="1286">
        <v>47046</v>
      </c>
      <c r="D34" s="1903" t="s">
        <v>1588</v>
      </c>
      <c r="E34" s="2452">
        <f>+C33+C34</f>
        <v>105564</v>
      </c>
      <c r="F34" s="2453"/>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1589</v>
      </c>
      <c r="C49" s="2454"/>
      <c r="D49" s="2454"/>
      <c r="E49" s="1396"/>
    </row>
    <row r="50" spans="1:5" s="1297" customFormat="1" ht="3.75" customHeight="1" x14ac:dyDescent="0.2">
      <c r="A50" s="1296"/>
      <c r="B50" s="1845"/>
      <c r="C50" s="1845"/>
      <c r="D50" s="1845"/>
      <c r="E50" s="1396"/>
    </row>
    <row r="51" spans="1:5" s="1297" customFormat="1" ht="20.25" customHeight="1" x14ac:dyDescent="0.2">
      <c r="A51" s="1298">
        <v>6</v>
      </c>
      <c r="B51" s="2449" t="s">
        <v>1550</v>
      </c>
      <c r="C51" s="2449"/>
      <c r="D51" s="2449"/>
    </row>
    <row r="52" spans="1:5" ht="14.25" customHeight="1" x14ac:dyDescent="0.2">
      <c r="A52" s="1298"/>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2"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Troy CCSD 30-C</v>
      </c>
      <c r="C1" s="2473"/>
      <c r="D1" s="2473"/>
      <c r="E1" s="2473"/>
      <c r="F1" s="2473"/>
      <c r="G1" s="2473"/>
      <c r="H1" s="2473"/>
      <c r="I1" s="2473"/>
      <c r="J1" s="1406"/>
    </row>
    <row r="2" spans="2:10" s="317" customFormat="1" ht="12.75" customHeight="1" x14ac:dyDescent="0.2">
      <c r="B2" s="2474" t="str">
        <f>'Single Audit Cover'!E7</f>
        <v>56-099-030C-04</v>
      </c>
      <c r="C2" s="2475"/>
      <c r="D2" s="2475"/>
      <c r="E2" s="2475"/>
      <c r="F2" s="2475"/>
      <c r="G2" s="2475"/>
      <c r="H2" s="2475"/>
      <c r="I2" s="2475"/>
      <c r="J2" s="1406"/>
    </row>
    <row r="3" spans="2:10" s="317" customFormat="1" ht="12.75" customHeight="1" x14ac:dyDescent="0.2">
      <c r="B3" s="2476" t="s">
        <v>1284</v>
      </c>
      <c r="C3" s="2477"/>
      <c r="D3" s="2477"/>
      <c r="E3" s="2477"/>
      <c r="F3" s="2477"/>
      <c r="G3" s="2477"/>
      <c r="H3" s="2477"/>
      <c r="I3" s="2477"/>
      <c r="J3" s="1407"/>
    </row>
    <row r="4" spans="2:10" s="317" customFormat="1" ht="12.75" customHeight="1" x14ac:dyDescent="0.2">
      <c r="B4" s="2476" t="str">
        <f>'Single Audit Cover'!A4</f>
        <v>Year Ending June 30, 2019</v>
      </c>
      <c r="C4" s="2477"/>
      <c r="D4" s="2477"/>
      <c r="E4" s="2477"/>
      <c r="F4" s="2477"/>
      <c r="G4" s="2477"/>
      <c r="H4" s="2477"/>
      <c r="I4" s="2477"/>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6" t="s">
        <v>1283</v>
      </c>
      <c r="C7" s="2477"/>
      <c r="D7" s="2477"/>
      <c r="E7" s="2477"/>
      <c r="F7" s="2477"/>
      <c r="G7" s="2477"/>
      <c r="H7" s="2477"/>
      <c r="I7" s="2477"/>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8" t="s">
        <v>1163</v>
      </c>
      <c r="D11" s="2478"/>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2138</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2138</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2138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2138</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2138</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9" t="s">
        <v>2142</v>
      </c>
      <c r="E29" s="2479"/>
      <c r="F29" s="2479"/>
      <c r="G29" s="2479"/>
      <c r="H29" s="2479"/>
      <c r="I29" s="2479"/>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2138</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80" t="s">
        <v>1747</v>
      </c>
      <c r="D37" s="2481"/>
      <c r="E37" s="2481"/>
      <c r="F37" s="2482"/>
      <c r="G37" s="2480" t="s">
        <v>1591</v>
      </c>
      <c r="H37" s="2481"/>
      <c r="I37" s="2482"/>
    </row>
    <row r="38" spans="2:9" ht="16.5" customHeight="1" x14ac:dyDescent="0.2">
      <c r="B38" s="1428" t="s">
        <v>2143</v>
      </c>
      <c r="C38" s="2468" t="s">
        <v>2144</v>
      </c>
      <c r="D38" s="2469"/>
      <c r="E38" s="2469"/>
      <c r="F38" s="2470"/>
      <c r="G38" s="2483">
        <v>1069833</v>
      </c>
      <c r="H38" s="2484"/>
      <c r="I38" s="2485"/>
    </row>
    <row r="39" spans="2:9" ht="16.5" customHeight="1" x14ac:dyDescent="0.2">
      <c r="B39" s="1428"/>
      <c r="C39" s="2468"/>
      <c r="D39" s="2469"/>
      <c r="E39" s="2469"/>
      <c r="F39" s="2470"/>
      <c r="G39" s="2471"/>
      <c r="H39" s="2471"/>
      <c r="I39" s="2471"/>
    </row>
    <row r="40" spans="2:9" ht="16.5" customHeight="1" x14ac:dyDescent="0.2">
      <c r="B40" s="1428"/>
      <c r="C40" s="2468"/>
      <c r="D40" s="2469"/>
      <c r="E40" s="2469"/>
      <c r="F40" s="2470"/>
      <c r="G40" s="2471"/>
      <c r="H40" s="2471"/>
      <c r="I40" s="2471"/>
    </row>
    <row r="41" spans="2:9" ht="16.5" customHeight="1" x14ac:dyDescent="0.2">
      <c r="B41" s="1428"/>
      <c r="C41" s="2468"/>
      <c r="D41" s="2469"/>
      <c r="E41" s="2469"/>
      <c r="F41" s="2470"/>
      <c r="G41" s="2471"/>
      <c r="H41" s="2471"/>
      <c r="I41" s="2471"/>
    </row>
    <row r="42" spans="2:9" ht="16.5" customHeight="1" x14ac:dyDescent="0.2">
      <c r="B42" s="1428"/>
      <c r="C42" s="2468"/>
      <c r="D42" s="2469"/>
      <c r="E42" s="2469"/>
      <c r="F42" s="2470"/>
      <c r="G42" s="2471"/>
      <c r="H42" s="2471"/>
      <c r="I42" s="2471"/>
    </row>
    <row r="43" spans="2:9" ht="16.5" customHeight="1" x14ac:dyDescent="0.2">
      <c r="B43" s="1428"/>
      <c r="C43" s="2461" t="s">
        <v>1592</v>
      </c>
      <c r="D43" s="2462"/>
      <c r="E43" s="2462"/>
      <c r="F43" s="2463"/>
      <c r="G43" s="2464">
        <f>SUM(G38:I42)</f>
        <v>1069833</v>
      </c>
      <c r="H43" s="2464"/>
      <c r="I43" s="2464"/>
    </row>
    <row r="44" spans="2:9" ht="12.75" customHeight="1" x14ac:dyDescent="0.2"/>
    <row r="45" spans="2:9" ht="12.75" customHeight="1" x14ac:dyDescent="0.2">
      <c r="B45" s="1419" t="s">
        <v>1837</v>
      </c>
      <c r="D45" s="2465">
        <f>+' SEFA'!I49</f>
        <v>2626084</v>
      </c>
      <c r="E45" s="2466"/>
    </row>
    <row r="46" spans="2:9" ht="5.25" customHeight="1" x14ac:dyDescent="0.2">
      <c r="B46" s="1429"/>
      <c r="D46" s="1430"/>
      <c r="E46" s="1431"/>
    </row>
    <row r="47" spans="2:9" ht="12.75" customHeight="1" x14ac:dyDescent="0.2">
      <c r="B47" s="1297" t="s">
        <v>1593</v>
      </c>
      <c r="C47" s="1297"/>
      <c r="D47" s="1432">
        <f>+G43/D45</f>
        <v>0.40738719705843379</v>
      </c>
      <c r="E47" s="1433"/>
      <c r="F47" s="1434"/>
      <c r="I47" s="1435"/>
    </row>
    <row r="48" spans="2:9" ht="9.9499999999999993" customHeight="1" x14ac:dyDescent="0.2"/>
    <row r="49" spans="1:9" x14ac:dyDescent="0.2">
      <c r="B49" s="1365" t="s">
        <v>1272</v>
      </c>
      <c r="C49" s="1279"/>
      <c r="D49" s="1279"/>
      <c r="E49" s="2467">
        <v>750000</v>
      </c>
      <c r="F49" s="2467"/>
      <c r="G49" s="2467"/>
      <c r="H49" s="322"/>
    </row>
    <row r="51" spans="1:9" ht="13.5" customHeight="1" x14ac:dyDescent="0.2">
      <c r="B51" s="1365" t="s">
        <v>1271</v>
      </c>
      <c r="C51" s="1279"/>
      <c r="E51" s="1422"/>
      <c r="F51" s="1297" t="s">
        <v>884</v>
      </c>
      <c r="G51" s="1422" t="s">
        <v>2138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Troy CCSD 30-C</v>
      </c>
      <c r="C1" s="2472"/>
      <c r="D1" s="2472"/>
      <c r="E1" s="2472"/>
      <c r="F1" s="2472"/>
      <c r="G1" s="2472"/>
      <c r="H1" s="2472"/>
      <c r="I1" s="2472"/>
      <c r="J1" s="2472"/>
      <c r="K1" s="2472"/>
      <c r="L1" s="1371"/>
      <c r="M1" s="1371"/>
    </row>
    <row r="2" spans="1:13" ht="12" customHeight="1" x14ac:dyDescent="0.2">
      <c r="B2" s="2474" t="str">
        <f>'Single Audit Cover'!E7</f>
        <v>56-099-030C-04</v>
      </c>
      <c r="C2" s="2474"/>
      <c r="D2" s="2474"/>
      <c r="E2" s="2474"/>
      <c r="F2" s="2474"/>
      <c r="G2" s="2474"/>
      <c r="H2" s="2474"/>
      <c r="I2" s="2474"/>
      <c r="J2" s="2474"/>
      <c r="K2" s="2474"/>
      <c r="L2" s="1372"/>
      <c r="M2" s="1373"/>
    </row>
    <row r="3" spans="1:13" ht="10.35" customHeight="1" x14ac:dyDescent="0.2">
      <c r="B3" s="2488" t="s">
        <v>1284</v>
      </c>
      <c r="C3" s="2488"/>
      <c r="D3" s="2488"/>
      <c r="E3" s="2488"/>
      <c r="F3" s="2488"/>
      <c r="G3" s="2488"/>
      <c r="H3" s="2488"/>
      <c r="I3" s="2488"/>
      <c r="J3" s="2488"/>
      <c r="K3" s="2488"/>
      <c r="L3" s="1374"/>
      <c r="M3" s="1374"/>
    </row>
    <row r="4" spans="1:13" ht="14.25" customHeight="1" x14ac:dyDescent="0.2">
      <c r="B4" s="2489" t="str">
        <f>'Single Audit Cover'!A4</f>
        <v>Year Ending June 30, 2019</v>
      </c>
      <c r="C4" s="2489"/>
      <c r="D4" s="2489"/>
      <c r="E4" s="2489"/>
      <c r="F4" s="2489"/>
      <c r="G4" s="2489"/>
      <c r="H4" s="2489"/>
      <c r="I4" s="2489"/>
      <c r="J4" s="2489"/>
      <c r="K4" s="2489"/>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9" t="s">
        <v>1295</v>
      </c>
      <c r="C7" s="2489"/>
      <c r="D7" s="2490"/>
      <c r="E7" s="2490"/>
      <c r="F7" s="2490"/>
      <c r="G7" s="2490"/>
      <c r="H7" s="2490"/>
      <c r="I7" s="2490"/>
      <c r="J7" s="2490"/>
      <c r="K7" s="249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7"/>
      <c r="C14" s="2487"/>
      <c r="D14" s="2487"/>
      <c r="E14" s="2487"/>
      <c r="F14" s="2487"/>
      <c r="G14" s="2487"/>
      <c r="H14" s="2487"/>
      <c r="I14" s="2487"/>
      <c r="J14" s="2487"/>
      <c r="K14" s="248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87"/>
      <c r="C17" s="2487"/>
      <c r="D17" s="2487"/>
      <c r="E17" s="2487"/>
      <c r="F17" s="2487"/>
      <c r="G17" s="2487"/>
      <c r="H17" s="2487"/>
      <c r="I17" s="2487"/>
      <c r="J17" s="2487"/>
      <c r="K17" s="2487"/>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91"/>
      <c r="C20" s="2491"/>
      <c r="D20" s="2487"/>
      <c r="E20" s="2487"/>
      <c r="F20" s="2487"/>
      <c r="G20" s="2487"/>
      <c r="H20" s="2487"/>
      <c r="I20" s="2487"/>
      <c r="J20" s="2487"/>
      <c r="K20" s="2487"/>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7"/>
      <c r="C23" s="2487"/>
      <c r="D23" s="2487"/>
      <c r="E23" s="2487"/>
      <c r="F23" s="2487"/>
      <c r="G23" s="2487"/>
      <c r="H23" s="2487"/>
      <c r="I23" s="2487"/>
      <c r="J23" s="2487"/>
      <c r="K23" s="2487"/>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7"/>
      <c r="C26" s="2487"/>
      <c r="D26" s="2487"/>
      <c r="E26" s="2487"/>
      <c r="F26" s="2487"/>
      <c r="G26" s="2487"/>
      <c r="H26" s="2487"/>
      <c r="I26" s="2487"/>
      <c r="J26" s="2487"/>
      <c r="K26" s="2487"/>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6"/>
      <c r="C29" s="2486"/>
      <c r="D29" s="2487"/>
      <c r="E29" s="2487"/>
      <c r="F29" s="2487"/>
      <c r="G29" s="2487"/>
      <c r="H29" s="2487"/>
      <c r="I29" s="2487"/>
      <c r="J29" s="2487"/>
      <c r="K29" s="248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6"/>
      <c r="C32" s="2486"/>
      <c r="D32" s="2487"/>
      <c r="E32" s="2487"/>
      <c r="F32" s="2487"/>
      <c r="G32" s="2487"/>
      <c r="H32" s="2487"/>
      <c r="I32" s="2487"/>
      <c r="J32" s="2487"/>
      <c r="K32" s="248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Troy CCSD 30-C</v>
      </c>
      <c r="C1" s="2495"/>
      <c r="D1" s="2495"/>
      <c r="E1" s="2495"/>
      <c r="F1" s="2495"/>
      <c r="G1" s="2495"/>
      <c r="H1" s="2495"/>
      <c r="I1" s="2495"/>
      <c r="J1" s="2495"/>
      <c r="K1" s="2495"/>
      <c r="L1" s="1449"/>
    </row>
    <row r="2" spans="1:12" ht="12.75" customHeight="1" x14ac:dyDescent="0.2">
      <c r="B2" s="2496" t="str">
        <f>'Single Audit Cover'!E7</f>
        <v>56-099-030C-04</v>
      </c>
      <c r="C2" s="2496"/>
      <c r="D2" s="2496"/>
      <c r="E2" s="2496"/>
      <c r="F2" s="2496"/>
      <c r="G2" s="2496"/>
      <c r="H2" s="2496"/>
      <c r="I2" s="2496"/>
      <c r="J2" s="2496"/>
      <c r="K2" s="2496"/>
      <c r="L2" s="1450"/>
    </row>
    <row r="3" spans="1:12" ht="12.75" customHeight="1" x14ac:dyDescent="0.2">
      <c r="B3" s="2488" t="s">
        <v>1284</v>
      </c>
      <c r="C3" s="2488"/>
      <c r="D3" s="2488"/>
      <c r="E3" s="2488"/>
      <c r="F3" s="2488"/>
      <c r="G3" s="2488"/>
      <c r="H3" s="2488"/>
      <c r="I3" s="2488"/>
      <c r="J3" s="2488"/>
      <c r="K3" s="2488"/>
      <c r="L3" s="1374"/>
    </row>
    <row r="4" spans="1:12" ht="12.75" customHeight="1" x14ac:dyDescent="0.2">
      <c r="B4" s="2488" t="str">
        <f>'Single Audit Cover'!A4</f>
        <v>Year Ending June 30, 2019</v>
      </c>
      <c r="C4" s="2488"/>
      <c r="D4" s="2488"/>
      <c r="E4" s="2488"/>
      <c r="F4" s="2488"/>
      <c r="G4" s="2488"/>
      <c r="H4" s="2488"/>
      <c r="I4" s="2488"/>
      <c r="J4" s="2488"/>
      <c r="K4" s="2488"/>
      <c r="L4" s="1374"/>
    </row>
    <row r="5" spans="1:12" ht="5.25" customHeight="1" x14ac:dyDescent="0.2">
      <c r="B5" s="1257" t="s">
        <v>1168</v>
      </c>
      <c r="C5" s="1257"/>
      <c r="L5" s="322"/>
    </row>
    <row r="6" spans="1:12" ht="30.75" customHeight="1" x14ac:dyDescent="0.2">
      <c r="A6" s="322"/>
      <c r="B6" s="2497" t="s">
        <v>1307</v>
      </c>
      <c r="C6" s="2497"/>
      <c r="D6" s="2497"/>
      <c r="E6" s="2497"/>
      <c r="F6" s="2497"/>
      <c r="G6" s="2497"/>
      <c r="H6" s="2497"/>
      <c r="I6" s="2497"/>
      <c r="J6" s="2497"/>
      <c r="K6" s="2497"/>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9"/>
      <c r="G12" s="2479"/>
      <c r="H12" s="2479"/>
      <c r="I12" s="2479"/>
      <c r="J12" s="2479"/>
      <c r="K12" s="247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92"/>
      <c r="E14" s="2492"/>
      <c r="F14" s="2492"/>
      <c r="H14" s="1459" t="s">
        <v>1302</v>
      </c>
      <c r="I14" s="2493"/>
      <c r="J14" s="2493"/>
      <c r="K14" s="249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93"/>
      <c r="E16" s="2493"/>
      <c r="F16" s="2493"/>
      <c r="G16" s="2493"/>
      <c r="H16" s="2493"/>
      <c r="I16" s="2493"/>
      <c r="J16" s="2493"/>
      <c r="K16" s="2493"/>
      <c r="L16" s="322"/>
    </row>
    <row r="17" spans="2:12" ht="13.5" customHeight="1" x14ac:dyDescent="0.2">
      <c r="B17" s="1384" t="s">
        <v>1300</v>
      </c>
      <c r="C17" s="1384"/>
      <c r="D17" s="2494"/>
      <c r="E17" s="2494"/>
      <c r="F17" s="2494"/>
      <c r="G17" s="2494"/>
      <c r="H17" s="2494"/>
      <c r="I17" s="2494"/>
      <c r="J17" s="2494"/>
      <c r="K17" s="249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7"/>
      <c r="C20" s="2487"/>
      <c r="D20" s="2487"/>
      <c r="E20" s="2487"/>
      <c r="F20" s="2487"/>
      <c r="G20" s="2487"/>
      <c r="H20" s="2487"/>
      <c r="I20" s="2487"/>
      <c r="J20" s="2487"/>
      <c r="K20" s="248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2" t="str">
        <f>'Single Audit Cover'!A7</f>
        <v>Troy CCSD 30-C</v>
      </c>
      <c r="C1" s="2472"/>
      <c r="D1" s="2472"/>
      <c r="E1" s="1469"/>
    </row>
    <row r="2" spans="2:5" s="1279" customFormat="1" ht="12.75" customHeight="1" x14ac:dyDescent="0.2">
      <c r="B2" s="2474" t="str">
        <f>'Single Audit Cover'!E7</f>
        <v>56-099-030C-04</v>
      </c>
      <c r="C2" s="2474"/>
      <c r="D2" s="2474"/>
      <c r="E2" s="1470"/>
    </row>
    <row r="3" spans="2:5" ht="12.75" customHeight="1" x14ac:dyDescent="0.2">
      <c r="B3" s="2488" t="s">
        <v>1762</v>
      </c>
      <c r="C3" s="2488"/>
      <c r="D3" s="2488"/>
      <c r="E3" s="1271"/>
    </row>
    <row r="4" spans="2:5" s="1279" customFormat="1" ht="12.75" customHeight="1" x14ac:dyDescent="0.2">
      <c r="B4" s="2498" t="str">
        <f>'Single Audit Cover'!A4</f>
        <v>Year Ending June 30, 2019</v>
      </c>
      <c r="C4" s="2498"/>
      <c r="D4" s="2498"/>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2145</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 ds:uri="4d435f69-8686-490b-bd6d-b153bf22ab50"/>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2019-10-07T19:33:29Z</cp:lastPrinted>
  <dcterms:created xsi:type="dcterms:W3CDTF">2003-10-29T19:06:34Z</dcterms:created>
  <dcterms:modified xsi:type="dcterms:W3CDTF">2020-05-08T18:08:30Z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