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289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79" i="127"/>
  <c r="B80" i="127"/>
  <c r="E26" i="108"/>
  <c r="G26" i="108"/>
  <c r="D27" i="108"/>
  <c r="E27" i="108"/>
  <c r="F27" i="108"/>
  <c r="G27" i="108"/>
  <c r="F31" i="108"/>
  <c r="F36" i="108"/>
  <c r="G28"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F46" i="34" l="1"/>
  <c r="B6289" i="106"/>
  <c r="D6289" i="106" s="1"/>
  <c r="H365" i="29"/>
  <c r="B7242" i="106" s="1"/>
  <c r="D7242" i="106" s="1"/>
  <c r="H342" i="29"/>
  <c r="H28" i="118"/>
  <c r="C129" i="29"/>
  <c r="F42" i="34"/>
  <c r="F77" i="4"/>
  <c r="B3255" i="106" s="1"/>
  <c r="D3255" i="106" s="1"/>
  <c r="G30" i="108"/>
  <c r="F28" i="108"/>
  <c r="F65" i="34"/>
  <c r="G29" i="108"/>
  <c r="C342" i="29"/>
  <c r="B7216" i="106" s="1"/>
  <c r="D7216" i="106" s="1"/>
  <c r="J77" i="4"/>
  <c r="B6262" i="106" s="1"/>
  <c r="D6262" i="106" s="1"/>
  <c r="J41" i="3"/>
  <c r="B6216" i="106" s="1"/>
  <c r="D6216" i="106" s="1"/>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J151" i="29" l="1"/>
  <c r="B7052" i="106" s="1"/>
  <c r="D7052" i="106" s="1"/>
  <c r="D7251" i="106"/>
  <c r="J16" i="4"/>
  <c r="B6226" i="106" s="1"/>
  <c r="D6226" i="106" s="1"/>
  <c r="D51" i="36"/>
  <c r="D7254" i="106"/>
  <c r="D44" i="36"/>
  <c r="F41" i="108"/>
  <c r="G43" i="108" s="1"/>
  <c r="D7256" i="106"/>
  <c r="L16" i="11"/>
  <c r="B2061" i="106" s="1"/>
  <c r="D2061" i="106" s="1"/>
  <c r="C114" i="29"/>
  <c r="B757" i="106" s="1"/>
  <c r="D757" i="106" s="1"/>
  <c r="B1381" i="106"/>
  <c r="D1381" i="106" s="1"/>
  <c r="B5527" i="106"/>
  <c r="D5527" i="106" s="1"/>
  <c r="G170" i="5"/>
  <c r="B5778" i="106" s="1"/>
  <c r="D5778"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1145" i="106"/>
  <c r="D1145" i="106" s="1"/>
  <c r="G6" i="4"/>
  <c r="B2604" i="106" s="1"/>
  <c r="D2604" i="106" s="1"/>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J20" i="4" l="1"/>
  <c r="F8" i="4"/>
  <c r="F10" i="4" s="1"/>
  <c r="B4125" i="106" s="1"/>
  <c r="D41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<sst xmlns="http://schemas.openxmlformats.org/spreadsheetml/2006/main" count="5084" uniqueCount="2113">
  <si>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</si>
  <si>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</si>
  <si>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</si>
  <si>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</si>
  <si>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</si>
  <si>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</si>
  <si>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</si>
  <si>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</si>
  <si>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</si>
  <si>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</si>
  <si>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</si>
  <si>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</si>
  <si>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</si>
  <si>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</si>
  <si>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</si>
  <si>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</si>
  <si>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</si>
  <si>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</si>
  <si>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</si>
  <si>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</si>
  <si>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</si>
  <si>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</si>
  <si>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</si>
  <si>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</si>
  <si>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</si>
  <si>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</si>
  <si>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</si>
  <si>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</si>
  <si>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</si>
  <si>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</si>
  <si>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</si>
  <si>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</si>
  <si>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</si>
  <si>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</si>
  <si>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</si>
  <si>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</si>
  <si>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</si>
  <si>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</si>
  <si>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</si>
  <si>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</si>
  <si>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</si>
  <si>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</si>
  <si>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</si>
  <si>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</si>
  <si>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</si>
  <si>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</si>
  <si>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</si>
  <si>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</si>
  <si>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</si>
  <si>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</si>
  <si>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</si>
  <si>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</si>
  <si>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</si>
  <si>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</si>
  <si>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</si>
  <si>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</si>
  <si>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</si>
  <si>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</si>
  <si>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</si>
  <si>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</si>
  <si>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</si>
  <si>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</si>
  <si>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</si>
  <si>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</si>
  <si>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</si>
  <si>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</si>
  <si>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</si>
  <si>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</si>
  <si>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</si>
  <si>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</si>
  <si>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</si>
  <si>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</si>
  <si>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</si>
  <si>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</si>
  <si>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</si>
  <si>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</si>
  <si>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</si>
  <si>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</si>
  <si>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</si>
  <si>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</si>
  <si>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</si>
  <si>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</si>
  <si>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</si>
  <si>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</si>
  <si>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</si>
  <si>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</si>
  <si>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</si>
  <si>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</si>
  <si>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</si>
  <si>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</si>
  <si>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</si>
  <si>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</si>
  <si>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</si>
  <si>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</si>
  <si>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</si>
  <si>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</si>
  <si>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</si>
  <si>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</si>
  <si>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</si>
  <si>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</si>
  <si>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</si>
  <si>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</si>
  <si>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</si>
  <si>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</si>
  <si>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</si>
  <si>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</si>
  <si>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</si>
  <si>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</si>
  <si>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</si>
  <si>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</si>
  <si>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</si>
  <si>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</si>
  <si>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</si>
  <si>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</si>
  <si>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</si>
  <si>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</si>
  <si>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</si>
  <si>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</si>
  <si>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</si>
  <si>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</si>
  <si>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</si>
  <si>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</si>
  <si>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</si>
  <si>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</si>
  <si>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</si>
  <si>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</si>
  <si>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</si>
  <si>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</si>
  <si>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</si>
  <si>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</si>
  <si>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</si>
  <si>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</si>
  <si>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</si>
  <si>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</si>
  <si>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</si>
  <si>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</si>
  <si>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</si>
  <si>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</si>
  <si>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</si>
  <si>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</si>
  <si>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</si>
  <si>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</si>
  <si>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</si>
  <si>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</si>
  <si>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</si>
  <si>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</si>
  <si>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</si>
  <si>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</si>
  <si>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</si>
  <si>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</si>
  <si>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</si>
  <si>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</si>
  <si>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</si>
  <si>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</si>
  <si>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</si>
  <si>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</si>
  <si>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</si>
  <si>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</si>
  <si>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</si>
  <si>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</si>
  <si>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</si>
  <si>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</si>
  <si>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</si>
  <si>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</si>
  <si>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</si>
  <si>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</si>
  <si>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</si>
  <si>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</si>
  <si>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</si>
  <si>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</si>
  <si>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</si>
  <si>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</si>
  <si>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</si>
  <si>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</si>
  <si>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</si>
  <si>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</si>
  <si>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</si>
  <si>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</si>
  <si>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</si>
  <si>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</si>
  <si>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</si>
  <si>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</si>
  <si>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</si>
  <si>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</si>
  <si>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</si>
  <si>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</si>
  <si>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</si>
  <si>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</si>
  <si>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</si>
  <si>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</si>
  <si>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</si>
  <si>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</si>
  <si>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</si>
  <si>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</si>
  <si>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</si>
  <si>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</si>
  <si>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</si>
  <si>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</si>
  <si>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</si>
  <si>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</si>
  <si>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</si>
  <si>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</si>
  <si>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</si>
  <si>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</si>
  <si>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</si>
  <si>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</si>
  <si>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</si>
  <si>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</si>
  <si>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</si>
  <si>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</si>
  <si>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</si>
  <si>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</si>
  <si>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</si>
  <si>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</si>
  <si>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</si>
  <si>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</si>
  <si>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</si>
  <si>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</si>
  <si>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</si>
  <si>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</si>
  <si>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</si>
  <si>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</si>
  <si>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</si>
  <si>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</si>
  <si>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</si>
  <si>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</si>
  <si>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</si>
  <si>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</si>
  <si>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</si>
  <si>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</si>
  <si>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</si>
  <si>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</si>
  <si>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</si>
  <si>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</si>
  <si>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</si>
  <si>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</si>
  <si>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</si>
  <si>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</si>
  <si>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</si>
  <si>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</si>
  <si>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</si>
  <si>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</si>
  <si>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</si>
  <si>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</si>
  <si>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</si>
  <si>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</si>
  <si>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</si>
  <si>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</si>
  <si>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</si>
  <si>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</si>
  <si>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</si>
  <si>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</si>
  <si>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</si>
  <si>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</si>
  <si>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</si>
  <si>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</si>
  <si>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</si>
  <si>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</si>
  <si>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</si>
  <si>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</si>
  <si>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</si>
  <si>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</si>
  <si>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</si>
  <si>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</si>
  <si>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</si>
  <si>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</si>
  <si>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</si>
  <si>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</si>
  <si>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</si>
  <si>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</si>
  <si>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</si>
  <si>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</si>
  <si>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</si>
  <si>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</si>
  <si>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</si>
  <si>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</si>
  <si>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</si>
  <si>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</si>
  <si>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</si>
  <si>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</si>
  <si>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</si>
  <si>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</si>
  <si>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</si>
  <si>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</si>
  <si>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</si>
  <si>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</si>
  <si>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</si>
  <si>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</si>
  <si>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</si>
  <si>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</si>
  <si>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</si>
  <si>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</si>
  <si>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</si>
  <si>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</si>
  <si>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</si>
  <si>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</si>
  <si>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</si>
  <si>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</si>
  <si>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</si>
  <si>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</si>
  <si>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</si>
  <si>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</si>
  <si>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</si>
  <si>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</si>
  <si>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</si>
  <si>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</si>
  <si>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</si>
  <si>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</si>
  <si>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</si>
  <si>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</si>
  <si>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</si>
  <si>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</si>
  <si>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</si>
  <si>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</si>
  <si>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</si>
  <si>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</si>
  <si>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</si>
  <si>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</si>
  <si>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</si>
  <si>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</si>
  <si>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</si>
  <si>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</si>
  <si>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</si>
  <si>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</si>
  <si>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</si>
  <si>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</si>
  <si>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</si>
  <si>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</si>
  <si>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</si>
  <si>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</si>
  <si>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</si>
  <si>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</si>
  <si>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</si>
  <si>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</si>
  <si>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</si>
  <si>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</si>
  <si>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</si>
  <si>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</si>
  <si>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</si>
  <si>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</si>
  <si>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</si>
  <si>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</si>
  <si>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</si>
  <si>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</si>
  <si>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</si>
  <si>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</si>
  <si>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</si>
  <si>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</si>
  <si>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</si>
  <si>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</si>
  <si>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</si>
  <si>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</si>
  <si>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</si>
  <si>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</si>
  <si>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</si>
  <si>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</si>
  <si>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</si>
  <si>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</si>
  <si>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</si>
  <si>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</si>
  <si>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</si>
  <si>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</si>
  <si>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</si>
  <si>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</si>
  <si>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</si>
  <si>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</si>
  <si>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</si>
  <si>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</si>
  <si>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</si>
  <si>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</si>
  <si>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</si>
  <si>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</si>
  <si>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</si>
  <si>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</si>
  <si>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</si>
  <si>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</si>
  <si>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</si>
  <si>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</si>
  <si>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</si>
  <si>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</si>
  <si>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</si>
  <si>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</si>
  <si>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</si>
  <si>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</si>
  <si>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</si>
  <si>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</si>
  <si>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</si>
  <si>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</si>
  <si>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</si>
  <si>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</si>
  <si>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</si>
  <si>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</si>
  <si>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</si>
  <si>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</si>
  <si>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</si>
  <si>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</si>
  <si>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</si>
  <si>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</si>
  <si>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</si>
  <si>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</si>
  <si>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</si>
  <si>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</si>
  <si>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</si>
  <si>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</si>
  <si>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</si>
  <si>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</si>
  <si>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</si>
  <si>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</si>
  <si>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</si>
  <si>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</si>
  <si>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</si>
  <si>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</si>
  <si>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</si>
  <si>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</si>
  <si>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</si>
  <si>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</si>
  <si>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</si>
  <si>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</si>
  <si>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</si>
  <si>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</si>
  <si>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</si>
  <si>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</si>
  <si>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</si>
  <si>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</si>
  <si>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</si>
  <si>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</si>
  <si>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</si>
  <si>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</si>
  <si>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</si>
  <si>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</si>
  <si>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</si>
  <si>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</si>
  <si>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</si>
  <si>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</si>
  <si>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</si>
  <si>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</si>
  <si>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</si>
  <si>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</si>
  <si>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</si>
  <si>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</si>
  <si>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</si>
  <si>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</si>
  <si>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</si>
  <si>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</si>
  <si>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</si>
  <si>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</si>
  <si>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</si>
  <si>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</si>
  <si>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</si>
  <si>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</si>
  <si>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</si>
  <si>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</si>
  <si>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</si>
  <si>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</si>
  <si>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</si>
  <si>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</si>
  <si>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</si>
  <si>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</si>
  <si>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</si>
  <si>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</si>
  <si>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</si>
  <si>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</si>
  <si>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</si>
  <si>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</si>
  <si>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</si>
  <si>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</si>
  <si>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</si>
  <si>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</si>
  <si>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</si>
  <si>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</si>
  <si>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</si>
  <si>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</si>
  <si>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</si>
  <si>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</si>
  <si>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</si>
  <si>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</si>
  <si>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</si>
  <si>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</si>
  <si>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</si>
  <si>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</si>
  <si>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</si>
  <si>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</si>
  <si>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</si>
  <si>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</si>
  <si>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</si>
  <si>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</si>
  <si>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</si>
  <si>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</si>
  <si>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</si>
  <si>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</si>
  <si>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</si>
  <si>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</si>
  <si>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</si>
  <si>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</si>
  <si>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</si>
  <si>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</si>
  <si>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</si>
  <si>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</si>
  <si>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</si>
  <si>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</si>
  <si>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</si>
  <si>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</si>
  <si>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</si>
  <si>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</si>
  <si>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</si>
  <si>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</si>
  <si>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</si>
  <si>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</si>
  <si>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</si>
  <si>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</si>
  <si>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</si>
  <si>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</si>
  <si>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</si>
  <si>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</si>
  <si>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</si>
  <si>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</si>
  <si>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</si>
  <si>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</si>
  <si>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</si>
  <si>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</si>
  <si>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</si>
  <si>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</si>
  <si>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</si>
  <si>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</si>
  <si>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</si>
  <si>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</si>
  <si>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</si>
  <si>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</si>
  <si>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</si>
  <si>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</si>
  <si>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</si>
  <si>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</si>
  <si>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</si>
  <si>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</si>
  <si>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</si>
  <si>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</si>
  <si>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</si>
  <si>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</si>
  <si>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</si>
  <si>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</si>
  <si>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</si>
  <si>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</si>
  <si>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</si>
  <si>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</si>
  <si>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</si>
  <si>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</si>
  <si>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</si>
  <si>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</si>
  <si>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</si>
  <si>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</si>
  <si>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</si>
  <si>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</si>
  <si>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</si>
  <si>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</si>
  <si>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</si>
  <si>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</si>
  <si>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</si>
  <si>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</si>
  <si>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</si>
  <si>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</si>
  <si>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</si>
  <si>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</si>
  <si>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</si>
  <si>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</si>
  <si>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</si>
  <si>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</si>
  <si>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</si>
  <si>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</si>
  <si>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</si>
  <si>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</si>
  <si>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</si>
  <si>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</si>
  <si>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</si>
  <si>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</si>
  <si>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</si>
  <si>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</si>
  <si>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</si>
  <si>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</si>
  <si>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</si>
  <si>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</si>
  <si>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</si>
  <si>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</si>
  <si>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</si>
  <si>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</si>
  <si>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</si>
  <si>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</si>
  <si>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</si>
  <si>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</si>
  <si>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</si>
  <si>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</si>
  <si>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</si>
  <si>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</si>
  <si>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</si>
  <si>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</si>
  <si>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</si>
  <si>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</si>
  <si>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</si>
  <si>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</si>
  <si>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</si>
  <si>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</si>
  <si>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</si>
  <si>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</si>
  <si>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</si>
  <si>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</si>
  <si>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</si>
  <si>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</si>
  <si>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</si>
  <si>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</si>
  <si>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</si>
  <si>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</si>
  <si>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</si>
  <si>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</si>
  <si>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</si>
  <si>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</si>
  <si>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</si>
  <si>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</si>
  <si>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</si>
  <si>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</si>
  <si>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</si>
  <si>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</si>
  <si>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</si>
  <si>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</si>
  <si>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</si>
  <si>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</si>
  <si>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</si>
  <si>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</si>
  <si>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</si>
  <si>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</si>
  <si>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</si>
  <si>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</si>
  <si>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</si>
  <si>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</si>
  <si>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</si>
  <si>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</si>
  <si>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</si>
  <si>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</si>
  <si>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</si>
  <si>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</si>
  <si>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</si>
  <si>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</si>
  <si>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</si>
  <si>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</si>
  <si>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</si>
  <si>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</si>
  <si>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</si>
  <si>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</si>
  <si>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</si>
  <si>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</si>
  <si>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</si>
  <si>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</si>
  <si>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</si>
  <si>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</si>
  <si>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</si>
  <si>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</si>
  <si>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</si>
  <si>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</si>
  <si>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</si>
  <si>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</si>
  <si>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</si>
  <si>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</si>
  <si>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</si>
  <si>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</si>
  <si>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</si>
  <si>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</si>
  <si>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</si>
  <si>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</si>
  <si>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</si>
  <si>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</si>
  <si>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</si>
  <si>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</si>
  <si>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</si>
  <si>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</si>
  <si>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</si>
  <si>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</si>
  <si>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</si>
  <si>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</si>
  <si>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</si>
  <si>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</si>
  <si>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</si>
  <si>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</si>
  <si>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</si>
  <si>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</si>
  <si>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</si>
  <si>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</si>
  <si>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</si>
  <si>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</si>
  <si>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</si>
  <si>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</si>
  <si>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</si>
  <si>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</si>
  <si>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</si>
  <si>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</si>
  <si>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</si>
  <si>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</si>
  <si>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</si>
  <si>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</si>
  <si>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</si>
  <si>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</si>
  <si>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</si>
  <si>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</si>
  <si>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</si>
  <si>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</si>
  <si>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</si>
  <si>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</si>
  <si>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</si>
  <si>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</si>
  <si>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</si>
  <si>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</si>
  <si>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</si>
  <si>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</si>
  <si>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</si>
  <si>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</si>
  <si>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</si>
  <si>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</si>
  <si>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</si>
  <si>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</si>
  <si>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</si>
  <si>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</si>
  <si>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</si>
  <si>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</si>
  <si>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</si>
  <si>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</si>
  <si>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</si>
  <si>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</si>
  <si>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</si>
  <si>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</si>
  <si>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</si>
  <si>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</si>
  <si>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</si>
  <si>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</si>
  <si>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</si>
  <si>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</si>
  <si>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</si>
  <si>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</si>
  <si>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</si>
  <si>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</si>
  <si>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</si>
  <si>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</si>
  <si>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</si>
  <si>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</si>
  <si>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</si>
  <si>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</si>
  <si>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</si>
  <si>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</si>
  <si>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</si>
  <si>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</si>
  <si>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</si>
  <si>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</si>
  <si>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</si>
  <si>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</si>
  <si>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</si>
  <si>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</si>
  <si>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</si>
  <si>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</si>
  <si>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</si>
  <si>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</si>
  <si>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</si>
  <si>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</si>
  <si>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</si>
  <si>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</si>
  <si>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</si>
  <si>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</si>
  <si>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</si>
  <si>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</si>
  <si>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</si>
  <si>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</si>
  <si>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</si>
  <si>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</si>
  <si>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</si>
  <si>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</si>
  <si>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</si>
  <si>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</si>
  <si>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</si>
  <si>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</si>
  <si>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</si>
  <si>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</si>
  <si>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</si>
  <si>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</si>
  <si>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</si>
  <si>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</si>
  <si>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</si>
  <si>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</si>
  <si>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</si>
  <si>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</si>
  <si>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</si>
  <si>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</si>
  <si>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</si>
  <si>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</si>
  <si>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</si>
  <si>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</si>
  <si>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</si>
  <si>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</si>
  <si>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</si>
  <si>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</si>
  <si>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</si>
  <si>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</si>
  <si>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</si>
  <si>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</si>
  <si>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</si>
  <si>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</si>
  <si>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</si>
  <si>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</si>
  <si>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</si>
  <si>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</si>
  <si>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</si>
  <si>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</si>
  <si>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</si>
  <si>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</si>
  <si>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</si>
  <si>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</si>
  <si>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</si>
  <si>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</si>
  <si>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</si>
  <si>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</si>
  <si>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</si>
  <si>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</si>
  <si>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</si>
  <si>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</si>
  <si>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</si>
  <si>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</si>
  <si>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</si>
  <si>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</si>
  <si>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</si>
  <si>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</si>
  <si>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</si>
  <si>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</si>
  <si>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</si>
  <si>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</si>
  <si>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</si>
  <si>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</si>
  <si>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</si>
  <si>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</si>
  <si>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</si>
  <si>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</si>
  <si>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</si>
  <si>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</si>
  <si>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</si>
  <si>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</si>
  <si>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</si>
  <si>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</si>
  <si>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</si>
  <si>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</si>
  <si>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</si>
  <si>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</si>
  <si>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</si>
  <si>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</si>
  <si>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</si>
  <si>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</si>
  <si>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</si>
  <si>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</si>
  <si>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</si>
  <si>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</si>
  <si>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</si>
  <si>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</si>
  <si>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</si>
  <si>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</si>
  <si>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</si>
  <si>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</si>
  <si>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</si>
  <si>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</si>
  <si>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</si>
  <si>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</si>
  <si>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</si>
  <si>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</si>
  <si>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</si>
  <si>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</si>
  <si>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</si>
  <si>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</si>
  <si>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</si>
  <si>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</si>
  <si>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</si>
  <si>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</si>
  <si>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</si>
  <si>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</si>
  <si>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</si>
  <si>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</si>
  <si>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</si>
  <si>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</si>
  <si>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</si>
  <si>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</si>
  <si>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</si>
  <si>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</si>
  <si>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</si>
  <si>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</si>
  <si>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</si>
  <si>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</si>
  <si>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</si>
  <si>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</si>
  <si>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</si>
  <si>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</si>
  <si>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</si>
  <si>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</si>
  <si>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</si>
  <si>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</si>
  <si>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</si>
  <si>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</si>
  <si>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</si>
  <si>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</si>
  <si>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</si>
  <si>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</si>
  <si>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</si>
  <si>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</si>
  <si>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</si>
  <si>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</si>
  <si>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</si>
  <si>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</si>
  <si>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</si>
  <si>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</si>
  <si>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</si>
  <si>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</si>
  <si>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</si>
  <si>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</si>
  <si>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</si>
  <si>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</si>
  <si>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</si>
  <si>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</si>
  <si>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</si>
  <si>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</si>
  <si>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</si>
  <si>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</si>
  <si>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</si>
  <si>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</si>
  <si>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</si>
  <si>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</si>
  <si>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</si>
  <si>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</si>
  <si>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</si>
  <si>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</si>
  <si>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</si>
  <si>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</si>
  <si>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</si>
  <si>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</si>
  <si>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</si>
  <si>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</si>
  <si>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</si>
  <si>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</si>
  <si>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</si>
  <si>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</si>
  <si>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</si>
  <si>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</si>
  <si>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</si>
  <si>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</si>
  <si>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</si>
  <si>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</si>
  <si>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</si>
  <si>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</si>
  <si>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</si>
  <si>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</si>
  <si>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</si>
  <si>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</si>
  <si>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</si>
  <si>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</si>
  <si>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</si>
  <si>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</si>
  <si>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</si>
  <si>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</si>
  <si>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</si>
  <si>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</si>
  <si>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</si>
  <si>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</si>
  <si>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</si>
  <si>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</si>
  <si>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</si>
  <si>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</si>
  <si>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</si>
  <si>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</si>
  <si>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</si>
  <si>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</si>
  <si>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</si>
  <si>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</si>
  <si>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</si>
  <si>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</si>
  <si>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</si>
  <si>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</si>
  <si>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</si>
  <si>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</si>
  <si>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</si>
  <si>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</si>
  <si>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</si>
  <si>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</si>
  <si>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</si>
  <si>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</si>
  <si>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</si>
  <si>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</si>
  <si>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</si>
  <si>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</si>
  <si>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</si>
  <si>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</si>
  <si>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</si>
  <si>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</si>
  <si>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</si>
  <si>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</si>
  <si>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</si>
  <si>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</si>
  <si>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</si>
  <si>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</si>
  <si>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</si>
  <si>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</si>
  <si>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</si>
  <si>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</si>
  <si>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</si>
  <si>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</si>
  <si>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</si>
  <si>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</si>
  <si>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</si>
  <si>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</si>
  <si>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</si>
  <si>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</si>
  <si>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</si>
  <si>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</si>
  <si>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</si>
  <si>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</si>
  <si>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</si>
  <si>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</si>
  <si>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</si>
  <si>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</si>
  <si>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</si>
  <si>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</si>
  <si>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</si>
  <si>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</si>
  <si>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</si>
  <si>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</si>
  <si>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</si>
  <si>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</si>
  <si>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</si>
  <si>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</si>
  <si>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</si>
  <si>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</si>
  <si>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</si>
  <si>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</si>
  <si>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</si>
  <si>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</si>
  <si>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</si>
  <si>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</si>
  <si>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</si>
  <si>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</si>
  <si>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</si>
  <si>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</si>
  <si>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</si>
  <si>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</si>
  <si>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</si>
  <si>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</si>
  <si>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</si>
  <si>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</si>
  <si>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</si>
  <si>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</si>
  <si>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</si>
  <si>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</si>
  <si>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</si>
  <si>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</si>
  <si>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</si>
  <si>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</si>
  <si>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</si>
  <si>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</si>
  <si>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</si>
  <si>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</si>
  <si>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</si>
  <si>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</si>
  <si>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</si>
  <si>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</si>
  <si>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</si>
  <si>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</si>
  <si>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</si>
  <si>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</si>
  <si>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</si>
  <si>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</si>
  <si>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</si>
  <si>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</si>
  <si>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</si>
  <si>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</si>
  <si>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</si>
  <si>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</si>
  <si>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</si>
  <si>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</si>
  <si>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</si>
  <si>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</si>
  <si>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</si>
  <si>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</si>
  <si>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</si>
  <si>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</si>
  <si>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</si>
  <si>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</si>
  <si>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</si>
  <si>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</si>
  <si>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</si>
  <si>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</si>
  <si>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</si>
  <si>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</si>
  <si>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</si>
  <si>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</si>
  <si>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</si>
  <si>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</si>
  <si>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</si>
  <si>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</si>
  <si>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</si>
  <si>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</si>
  <si>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</si>
  <si>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</si>
  <si>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</si>
  <si>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</si>
  <si>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</si>
  <si>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</si>
  <si>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</si>
  <si>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</si>
  <si>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</si>
  <si>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</si>
  <si>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</si>
  <si>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</si>
  <si>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</si>
  <si>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</si>
  <si>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</si>
  <si>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</si>
  <si>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</si>
  <si>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</si>
  <si>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</si>
  <si>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</si>
  <si>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</si>
  <si>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</si>
  <si>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</si>
  <si>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</si>
  <si>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</si>
  <si>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</si>
  <si>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</si>
  <si>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</si>
  <si>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</si>
  <si>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</si>
  <si>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</si>
  <si>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</si>
  <si>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</si>
  <si>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</si>
  <si>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</si>
  <si>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</si>
  <si>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</si>
  <si>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</si>
  <si>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</si>
  <si>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</si>
  <si>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</si>
  <si>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</si>
  <si>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</si>
  <si>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</si>
  <si>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</si>
  <si>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</si>
  <si>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</si>
  <si>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</si>
  <si>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</si>
  <si>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</si>
  <si>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</si>
  <si>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</si>
  <si>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</si>
  <si>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</si>
  <si>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</si>
  <si>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</si>
  <si>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</si>
  <si>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</si>
  <si>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</si>
  <si>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</si>
  <si>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</si>
  <si>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</si>
  <si>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</si>
  <si>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</si>
  <si>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</si>
  <si>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</si>
  <si>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</si>
  <si>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</si>
  <si>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</si>
  <si>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</si>
  <si>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</si>
  <si>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</si>
  <si>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</si>
  <si>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</si>
  <si>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</si>
  <si>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</si>
  <si>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</si>
  <si>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</si>
  <si>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</si>
  <si>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</si>
  <si>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</si>
  <si>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</si>
  <si>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</si>
  <si>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</si>
  <si>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</si>
  <si>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</si>
  <si>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</si>
  <si>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</si>
  <si>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</si>
  <si>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</si>
  <si>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</si>
  <si>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</si>
  <si>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</si>
  <si>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</si>
  <si>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</si>
  <si>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</si>
  <si>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</si>
  <si>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</si>
  <si>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</si>
  <si>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</si>
  <si>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</si>
  <si>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</si>
  <si>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</si>
  <si>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</si>
  <si>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</si>
  <si>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</si>
  <si>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</si>
  <si>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</si>
  <si>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</si>
  <si>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</si>
  <si>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</si>
  <si>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</si>
  <si>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</si>
  <si>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</si>
  <si>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</si>
  <si>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</si>
  <si>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</si>
  <si>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</si>
  <si>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</si>
  <si>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</si>
  <si>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</si>
  <si>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</si>
  <si>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</si>
  <si>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</si>
  <si>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</si>
  <si>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</si>
  <si>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</si>
  <si>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</si>
  <si>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</si>
  <si>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</si>
  <si>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</si>
  <si>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</si>
  <si>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</si>
  <si>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</si>
  <si>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</si>
  <si>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</si>
  <si>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</si>
  <si>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</si>
  <si>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</si>
  <si>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</si>
  <si>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</si>
  <si>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</si>
  <si>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</si>
  <si>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</si>
  <si>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</si>
  <si>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</si>
  <si>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</si>
  <si>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</si>
  <si>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</si>
  <si>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</si>
  <si>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</si>
  <si>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</si>
  <si>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</si>
  <si>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</si>
  <si>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</si>
  <si>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</si>
  <si>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</si>
  <si>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</si>
  <si>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</si>
  <si>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</si>
  <si>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</si>
  <si>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</si>
  <si>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</si>
  <si>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</si>
  <si>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</si>
  <si>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</si>
  <si>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</si>
  <si>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</si>
  <si>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</si>
  <si>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</si>
  <si>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</si>
  <si>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</si>
  <si>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</si>
  <si>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</si>
  <si>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</si>
  <si>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</si>
  <si>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</si>
  <si>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</si>
  <si>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</si>
  <si>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</si>
  <si>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</si>
  <si>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</si>
  <si>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</si>
  <si>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</si>
  <si>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</si>
  <si>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</si>
  <si>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</si>
  <si>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</si>
  <si>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</si>
  <si>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</si>
  <si>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</si>
  <si>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</si>
  <si>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</si>
  <si>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</si>
  <si>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</si>
  <si>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</si>
  <si>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</si>
  <si>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</si>
  <si>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</si>
  <si>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</si>
  <si>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</si>
  <si>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</si>
  <si>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</si>
  <si>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</si>
  <si>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</si>
  <si>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</si>
  <si>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</si>
  <si>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</si>
  <si>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</si>
  <si>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</si>
  <si>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</si>
  <si>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</si>
  <si>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</si>
  <si>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</si>
  <si>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</si>
  <si>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</si>
  <si>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</si>
  <si>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</si>
  <si>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</si>
  <si>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</si>
  <si>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</si>
  <si>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</si>
  <si>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</si>
  <si>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</si>
  <si>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</si>
  <si>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</si>
  <si>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</si>
  <si>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</si>
  <si>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</si>
  <si>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</si>
  <si>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</si>
  <si>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</si>
  <si>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</si>
  <si>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</si>
  <si>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</si>
  <si>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</si>
  <si>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</si>
  <si>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</si>
  <si>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</si>
  <si>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</si>
  <si>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</si>
  <si>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</si>
  <si>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</si>
  <si>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</si>
  <si>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</si>
  <si>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</si>
  <si>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</si>
  <si>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</si>
  <si>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</si>
  <si>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</si>
  <si>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</si>
  <si>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</si>
  <si>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</si>
  <si>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</si>
  <si>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</si>
  <si>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</si>
  <si>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</si>
  <si>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</si>
  <si>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</si>
  <si>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</si>
  <si>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</si>
  <si>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</si>
  <si>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</si>
  <si>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</si>
  <si>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</si>
  <si>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</si>
  <si>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</si>
  <si>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</si>
  <si>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</si>
  <si>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</si>
  <si>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</si>
  <si>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</si>
  <si>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</si>
  <si>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</si>
  <si>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</si>
  <si>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</si>
  <si>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</si>
  <si>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</si>
  <si>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</si>
  <si>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</si>
  <si>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</si>
  <si>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</si>
  <si>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</si>
  <si>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</si>
  <si>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</si>
  <si>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</si>
  <si>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</si>
  <si>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</si>
  <si>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</si>
  <si>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</si>
  <si>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</si>
  <si>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</si>
  <si>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</si>
  <si>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</si>
  <si>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</si>
  <si>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</si>
  <si>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</si>
  <si>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</si>
  <si>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</si>
  <si>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</si>
  <si>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</si>
  <si>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</si>
  <si>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</si>
  <si>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</si>
  <si>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</si>
  <si>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</si>
  <si>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</si>
  <si>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</si>
  <si>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</si>
  <si>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</si>
  <si>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</si>
  <si>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</si>
  <si>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</si>
  <si>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</si>
  <si>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</si>
  <si>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</si>
  <si>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</si>
  <si>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</si>
  <si>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</si>
  <si>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</si>
  <si>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</si>
  <si>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</si>
  <si>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</si>
  <si>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</si>
  <si>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</si>
  <si>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</si>
  <si>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</si>
  <si>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</si>
  <si>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</si>
  <si>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</si>
  <si>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</si>
  <si>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</si>
  <si>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</si>
  <si>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</si>
  <si>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</si>
  <si>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</si>
  <si>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</si>
  <si>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</si>
  <si>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</si>
  <si>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</si>
  <si>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</si>
  <si>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</si>
  <si>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</si>
  <si>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</si>
  <si>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</si>
  <si>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</si>
  <si>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</si>
  <si>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</si>
  <si>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</si>
  <si>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</si>
  <si>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</si>
  <si>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</si>
  <si>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</si>
  <si>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</si>
  <si>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</si>
  <si>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</si>
  <si>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</si>
  <si>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</si>
  <si>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</si>
  <si>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</si>
  <si>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</si>
  <si>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</si>
  <si>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</si>
  <si>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</si>
  <si>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</si>
  <si>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</si>
  <si>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</si>
  <si>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</si>
  <si>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</si>
  <si>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</si>
  <si>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</si>
  <si>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</si>
  <si>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</si>
  <si>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</si>
  <si>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</si>
  <si>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</si>
  <si>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</si>
  <si>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</si>
  <si>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</si>
  <si>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</si>
  <si>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</si>
  <si>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</si>
  <si>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</si>
  <si>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</si>
  <si>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</si>
  <si>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</si>
  <si>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</si>
  <si>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</si>
  <si>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</si>
  <si>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</si>
  <si>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</si>
  <si>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</si>
  <si>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</si>
  <si>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</si>
  <si>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</si>
  <si>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</si>
  <si>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</si>
  <si>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</si>
  <si>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</si>
  <si>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</si>
  <si>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</si>
  <si>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</si>
  <si>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</si>
  <si>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</si>
  <si>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</si>
  <si>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</si>
  <si>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</si>
  <si>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</si>
  <si>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</si>
  <si>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</si>
  <si>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</si>
  <si>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</si>
  <si>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</si>
  <si>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</si>
  <si>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</si>
  <si>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</si>
  <si>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</si>
  <si>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</si>
  <si>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</si>
  <si>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</si>
  <si>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</si>
  <si>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</si>
  <si>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</si>
  <si>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</si>
  <si>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</si>
  <si>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</si>
  <si>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</si>
  <si>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</si>
  <si>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</si>
  <si>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</si>
  <si>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</si>
  <si>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</si>
  <si>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</si>
  <si>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</si>
  <si>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</si>
  <si>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</si>
  <si>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</si>
  <si>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</si>
  <si>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</si>
  <si>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</si>
  <si>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</si>
  <si>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</si>
  <si>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</si>
  <si>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</si>
  <si>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</si>
  <si>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</si>
  <si>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</si>
  <si>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</si>
  <si>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</si>
  <si>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</si>
  <si>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</si>
  <si>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</si>
  <si>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</si>
  <si>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</si>
  <si>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</si>
  <si>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</si>
  <si>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</si>
  <si>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</si>
  <si>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</si>
  <si>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</si>
  <si>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</si>
  <si>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</si>
  <si>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</si>
  <si>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</si>
  <si>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</si>
  <si>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</si>
  <si>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</si>
  <si>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</si>
  <si>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</si>
  <si>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</si>
  <si>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</si>
  <si>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</si>
  <si>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</si>
  <si>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</si>
  <si>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</si>
  <si>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</si>
  <si>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</si>
  <si>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</si>
  <si>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</si>
  <si>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</si>
  <si>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</si>
  <si>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</si>
  <si>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</si>
  <si>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</si>
  <si>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</si>
  <si>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</si>
  <si>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</si>
  <si>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</si>
  <si>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</si>
  <si>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</si>
  <si>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</si>
  <si>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</si>
  <si>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</si>
  <si>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</si>
  <si>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</si>
  <si>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</si>
  <si>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</si>
  <si>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</si>
  <si>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</si>
  <si>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</si>
  <si>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</si>
  <si>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</si>
  <si>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</si>
  <si>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</si>
  <si>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</si>
  <si>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</si>
  <si>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</si>
  <si>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</si>
  <si>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</si>
  <si>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</si>
  <si>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</si>
  <si>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</si>
  <si>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</si>
  <si>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</si>
  <si>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</si>
  <si>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</si>
  <si>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</si>
  <si>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</si>
  <si>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</si>
  <si>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</si>
  <si>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</si>
  <si>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</si>
  <si>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</si>
  <si>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</si>
  <si>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</si>
  <si>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</si>
  <si>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</si>
  <si>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</si>
  <si>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</si>
  <si>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</si>
  <si>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</si>
  <si>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</si>
  <si>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</si>
  <si>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</si>
  <si>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</si>
  <si>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</si>
  <si>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</si>
  <si>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</si>
  <si>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</si>
  <si>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</si>
  <si>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</si>
  <si>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</si>
  <si>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</si>
  <si>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</si>
  <si>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</si>
  <si>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</si>
  <si>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</si>
  <si>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</si>
  <si>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</si>
  <si>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</si>
  <si>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</si>
  <si>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</si>
  <si>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</si>
  <si>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</si>
  <si>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</si>
  <si>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</si>
  <si>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</si>
  <si>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</si>
  <si>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</si>
  <si>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</si>
  <si>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</si>
  <si>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</si>
  <si>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</si>
  <si>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</si>
  <si>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</si>
  <si>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</si>
  <si>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</si>
  <si>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</si>
  <si>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</si>
  <si>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</si>
  <si>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</si>
  <si>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</si>
  <si>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</si>
  <si>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</si>
  <si>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</si>
  <si>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</si>
  <si>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</si>
  <si>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</si>
  <si>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</si>
  <si>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</si>
  <si>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</si>
  <si>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</si>
  <si>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</si>
  <si>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</si>
  <si>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</si>
  <si>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</si>
  <si>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</si>
  <si>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</si>
  <si>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</si>
  <si>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</si>
  <si>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</si>
  <si>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</si>
  <si>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</si>
  <si>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</si>
  <si>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</si>
  <si>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</si>
  <si>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</si>
  <si>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</si>
  <si>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</si>
  <si>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</si>
  <si>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</si>
  <si>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</si>
  <si>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</si>
  <si>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</si>
  <si>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</si>
  <si>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</si>
  <si>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</si>
  <si>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</si>
  <si>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</si>
  <si>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</si>
  <si>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</si>
  <si>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</si>
  <si>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</si>
  <si>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</si>
  <si>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</si>
  <si>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</si>
  <si>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</si>
  <si>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</si>
  <si>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</si>
  <si>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</si>
  <si>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</si>
  <si>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</si>
  <si>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</si>
  <si>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</si>
  <si>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</si>
  <si>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</si>
  <si>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</si>
  <si>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</si>
  <si>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</si>
  <si>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</si>
  <si>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</si>
  <si>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</si>
  <si>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</si>
  <si>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</si>
  <si>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</si>
  <si>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</si>
  <si>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</si>
  <si>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</si>
  <si>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</si>
  <si>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</si>
  <si>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</si>
  <si>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</si>
  <si>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</si>
  <si>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</si>
  <si>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</si>
  <si>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</si>
  <si>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</si>
  <si>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</si>
  <si>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</si>
  <si>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</si>
  <si>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</si>
  <si>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</si>
  <si>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</si>
  <si>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</si>
  <si>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</si>
  <si>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</si>
  <si>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</si>
  <si>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</si>
  <si>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</si>
  <si>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</si>
  <si>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</si>
  <si>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</si>
  <si>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</si>
  <si>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</si>
  <si>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</si>
  <si>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</si>
  <si>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</si>
  <si>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</si>
  <si>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</si>
  <si>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</si>
  <si>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</si>
  <si>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</si>
  <si>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</si>
  <si>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</si>
  <si>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</si>
  <si>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</si>
  <si>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</si>
  <si>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</si>
  <si>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</si>
  <si>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</si>
  <si>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</si>
  <si>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</si>
  <si>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</si>
  <si>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</si>
  <si>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</si>
  <si>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</si>
  <si>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</si>
  <si>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</si>
  <si>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</si>
  <si>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</si>
  <si>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</si>
  <si>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</si>
  <si>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</si>
  <si>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</si>
  <si>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</si>
  <si>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</si>
  <si>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</si>
  <si>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</si>
  <si>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</si>
  <si>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</si>
  <si>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</si>
  <si>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</si>
  <si>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</si>
  <si>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</si>
  <si>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</si>
  <si>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</si>
  <si>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</si>
  <si>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</si>
  <si>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</si>
  <si>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</si>
  <si>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</si>
  <si>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</si>
  <si>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</si>
  <si>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</si>
  <si>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</si>
  <si>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</si>
  <si>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</si>
  <si>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</si>
  <si>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</si>
  <si>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</si>
  <si>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</si>
  <si>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</si>
  <si>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</si>
  <si>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</si>
  <si>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</si>
  <si>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</si>
  <si>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</si>
  <si>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</si>
  <si>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</si>
  <si>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</si>
  <si>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</si>
  <si>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</si>
  <si>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</si>
  <si>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</si>
  <si>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</si>
  <si>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</si>
  <si>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</si>
  <si>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</si>
  <si>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</si>
  <si>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</si>
  <si>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</si>
  <si>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</si>
  <si>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</si>
  <si>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</si>
  <si>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</si>
  <si>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</si>
  <si>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</si>
  <si>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</si>
  <si>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</si>
  <si>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</si>
  <si>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</si>
  <si>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</si>
  <si>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</si>
  <si>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</si>
  <si>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</si>
  <si>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</si>
  <si>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</si>
  <si>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</si>
  <si>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</si>
  <si>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</si>
  <si>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</si>
  <si>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</si>
  <si>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</si>
  <si>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</si>
  <si>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</si>
  <si>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</si>
  <si>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</si>
  <si>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</si>
  <si>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</si>
  <si>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</si>
  <si>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</si>
  <si>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</si>
  <si>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</si>
  <si>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</si>
  <si>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</si>
  <si>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</si>
  <si>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</si>
  <si>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</si>
  <si>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</si>
  <si>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</si>
  <si>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</si>
  <si>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</si>
  <si>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</si>
  <si>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</si>
  <si>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</si>
  <si>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</si>
  <si>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</si>
  <si>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</si>
  <si>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</si>
  <si>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</si>
  <si>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</si>
  <si>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</si>
  <si>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</si>
  <si>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</si>
  <si>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</si>
  <si>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</si>
  <si>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</si>
  <si>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</si>
  <si>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</si>
  <si>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</si>
  <si>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</si>
  <si>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</si>
  <si>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</si>
  <si>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</si>
  <si>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</si>
  <si>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</si>
  <si>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</si>
  <si>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</si>
  <si>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</si>
  <si>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</si>
  <si>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</si>
  <si>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</si>
  <si>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</si>
  <si>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</si>
  <si>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</si>
  <si>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</si>
  <si>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</si>
  <si>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</si>
  <si>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</si>
  <si>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</si>
  <si>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</si>
  <si>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</si>
  <si>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</si>
  <si>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</si>
  <si>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</si>
  <si>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</si>
  <si>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</si>
  <si>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</si>
  <si>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</si>
  <si>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</si>
  <si>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</si>
  <si>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</si>
  <si>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</si>
  <si>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</si>
  <si>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</si>
  <si>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</si>
  <si>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</si>
  <si>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</si>
  <si>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</si>
  <si>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</si>
  <si>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</si>
  <si>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</si>
  <si>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</si>
  <si>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</si>
  <si>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</si>
  <si>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</si>
  <si>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</si>
  <si>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</si>
  <si>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</si>
  <si>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</si>
  <si>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</si>
  <si>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</si>
  <si>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</si>
  <si>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</si>
  <si>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</si>
  <si>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</si>
  <si>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</si>
  <si>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</si>
  <si>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</si>
  <si>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</si>
  <si>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</si>
  <si>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</si>
  <si>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</si>
  <si>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</si>
  <si>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</si>
  <si>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</si>
  <si>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</si>
  <si>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</si>
  <si>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</si>
  <si>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</si>
  <si>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</si>
  <si>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</si>
  <si>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</si>
  <si>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</si>
  <si>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</si>
  <si>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</si>
  <si>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</si>
  <si>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</si>
  <si>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</si>
  <si>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</si>
  <si>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</si>
  <si>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</si>
  <si>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</si>
  <si>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</si>
  <si>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</si>
  <si>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</si>
  <si>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</si>
  <si>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</si>
  <si>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</si>
  <si>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</si>
  <si>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</si>
  <si>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</si>
  <si>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</si>
  <si>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</si>
  <si>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</si>
  <si>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</si>
  <si>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</si>
  <si>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</si>
  <si>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</si>
  <si>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</si>
  <si>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</si>
  <si>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</si>
  <si>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</si>
  <si>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</si>
  <si>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</si>
  <si>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</si>
  <si>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</si>
  <si>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</si>
  <si>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</si>
  <si>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</si>
  <si>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</si>
  <si>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</si>
  <si>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</si>
  <si>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</si>
  <si>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</si>
  <si>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</si>
  <si>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</si>
  <si>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</si>
  <si>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</si>
  <si>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</si>
  <si>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</si>
  <si>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</si>
  <si>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</si>
  <si>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</si>
  <si>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</si>
  <si>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</si>
  <si>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</si>
  <si>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</si>
  <si>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</si>
  <si>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</si>
  <si>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</si>
  <si>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</si>
  <si>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</si>
  <si>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</si>
  <si>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</si>
  <si>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</si>
  <si>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</si>
  <si>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</si>
  <si>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</si>
  <si>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</si>
  <si>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</si>
  <si>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</si>
  <si>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</si>
  <si>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</si>
  <si>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</si>
  <si>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</si>
  <si>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</si>
  <si>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</si>
  <si>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</si>
  <si>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</si>
  <si>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</si>
  <si>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</si>
  <si>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</si>
  <si>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</si>
  <si>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</si>
  <si>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</si>
  <si>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</si>
  <si>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</si>
  <si>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</si>
  <si>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</si>
  <si>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</si>
  <si>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</si>
  <si>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</si>
  <si>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</si>
  <si>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</si>
  <si>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</si>
  <si>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</si>
  <si>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</si>
  <si>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</si>
  <si>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</si>
  <si>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</si>
  <si>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</si>
  <si>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</si>
  <si>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</si>
  <si>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</si>
  <si>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</si>
  <si>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</si>
  <si>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</si>
  <si>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</si>
  <si>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</si>
  <si>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VERMILION</t>
  </si>
  <si>
    <t>7087 N 600 E RD</t>
  </si>
  <si>
    <t>SIDELL</t>
  </si>
  <si>
    <t>PHILLIP COX</t>
  </si>
  <si>
    <t>coxp@saltfork.k12.il.us</t>
  </si>
  <si>
    <t>217.427.2116</t>
  </si>
  <si>
    <t>2011 WORKING CASH BONDS</t>
  </si>
  <si>
    <t>No applicable contracts</t>
  </si>
  <si>
    <t>Vermilion Area Special Education</t>
  </si>
  <si>
    <t>Page 2 - Auditor's Questionnaire</t>
  </si>
  <si>
    <t>Part C - Box 20 - Other Issues</t>
  </si>
  <si>
    <t>Did not record property taxes received in books</t>
  </si>
  <si>
    <t>Excessive Tort Levy</t>
  </si>
  <si>
    <t>Transferred Working Cash Interest to Life Safety Fund</t>
  </si>
  <si>
    <t>Activity Fund did not balance</t>
  </si>
  <si>
    <t>Page 10 - Acct 1719 - Admissions - Other</t>
  </si>
  <si>
    <t>Col 10 - Educational</t>
  </si>
  <si>
    <t>Other Fees - $288</t>
  </si>
  <si>
    <t>Page 11 - Acct 1999 - Other Local Revenues</t>
  </si>
  <si>
    <t>Refunds &amp; Reimbursements - $5,321</t>
  </si>
  <si>
    <t>Col 20 - Operations &amp; Maintenance</t>
  </si>
  <si>
    <t>Refunds &amp; Reimbursements - $131,288</t>
  </si>
  <si>
    <t>Col 40 - Transportation</t>
  </si>
  <si>
    <t>Col 80 - Tort</t>
  </si>
  <si>
    <t>Refunds &amp; Reimbursements - $1,376</t>
  </si>
  <si>
    <t>Refunds &amp; Reimbursements - $73</t>
  </si>
  <si>
    <t>Page 12 - Acct 4399 - Title I - Other</t>
  </si>
  <si>
    <t>School Improvement Grant - $2,100</t>
  </si>
  <si>
    <t>Pages 15 &amp; 19 - Acct 2190 - Other Support Services - Pupils</t>
  </si>
  <si>
    <t>Extra duty salaries and benefits</t>
  </si>
  <si>
    <t>Page 18 - Funct 5400 - Debt Services - Other</t>
  </si>
  <si>
    <t>Bond Fees - $500</t>
  </si>
  <si>
    <t>Page 25 - Restricted Tax Levies</t>
  </si>
  <si>
    <t>Other Receipts - $1,049</t>
  </si>
  <si>
    <t>Prior Year Sales Tax not applied to Restricted balance</t>
  </si>
  <si>
    <t>Did not budget On-Behalf Payments</t>
  </si>
  <si>
    <t>Salt Fork CUSD 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</si>
</sst>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75" fillId="0" borderId="0" xfId="0" applyFont="1"/>
    <xf numFmtId="0" fontId="66" fillId="0" borderId="0" xfId="0"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4E0B530B-5C67-400A-B442-326B3C6331C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6" t="s">
        <v>405</v>
      </c>
      <c r="J1" s="1987"/>
      <c r="K1" s="1987"/>
      <c r="L1" s="1987"/>
      <c r="M1" s="1987"/>
      <c r="N1" s="1987"/>
      <c r="O1" s="1987"/>
      <c r="P1" s="1987"/>
      <c r="Q1" s="1987"/>
      <c r="R1" s="1987"/>
      <c r="S1" s="1987"/>
    </row>
    <row r="2" spans="1:28" ht="12" customHeight="1" x14ac:dyDescent="0.2">
      <c r="A2" s="47" t="s">
        <v>1991</v>
      </c>
      <c r="D2" s="48"/>
      <c r="I2" s="1988" t="s">
        <v>979</v>
      </c>
      <c r="J2" s="1987"/>
      <c r="K2" s="1987"/>
      <c r="L2" s="1987"/>
      <c r="M2" s="1987"/>
      <c r="N2" s="1987"/>
      <c r="O2" s="1987"/>
      <c r="P2" s="1987"/>
      <c r="Q2" s="1987"/>
      <c r="R2" s="1987"/>
      <c r="S2" s="1987"/>
    </row>
    <row r="3" spans="1:28" ht="12" customHeight="1" x14ac:dyDescent="0.2">
      <c r="A3" s="155" t="s">
        <v>1943</v>
      </c>
      <c r="B3" s="156"/>
      <c r="C3" s="156"/>
      <c r="D3" s="157"/>
      <c r="I3" s="1988" t="s">
        <v>52</v>
      </c>
      <c r="J3" s="1987"/>
      <c r="K3" s="1987"/>
      <c r="L3" s="1987"/>
      <c r="M3" s="1987"/>
      <c r="N3" s="1987"/>
      <c r="O3" s="1987"/>
      <c r="P3" s="1987"/>
      <c r="Q3" s="1987"/>
      <c r="R3" s="1987"/>
      <c r="S3" s="1987"/>
    </row>
    <row r="4" spans="1:28" ht="12" customHeight="1" x14ac:dyDescent="0.2">
      <c r="A4" s="37"/>
      <c r="I4" s="1988" t="s">
        <v>524</v>
      </c>
      <c r="J4" s="1987"/>
      <c r="K4" s="1987"/>
      <c r="L4" s="1987"/>
      <c r="M4" s="1987"/>
      <c r="N4" s="1987"/>
      <c r="O4" s="1987"/>
      <c r="P4" s="1987"/>
      <c r="Q4" s="1987"/>
      <c r="R4" s="1987"/>
      <c r="S4" s="1987"/>
    </row>
    <row r="5" spans="1:28" ht="14.1" customHeight="1" x14ac:dyDescent="0.2">
      <c r="B5" s="104" t="s">
        <v>2073</v>
      </c>
      <c r="C5" s="26" t="s">
        <v>910</v>
      </c>
      <c r="D5" s="84"/>
      <c r="E5" s="84"/>
      <c r="H5" s="38"/>
      <c r="I5" s="1996" t="s">
        <v>680</v>
      </c>
      <c r="J5" s="1995"/>
      <c r="K5" s="1995"/>
      <c r="L5" s="1995"/>
      <c r="M5" s="1995"/>
      <c r="N5" s="1995"/>
      <c r="O5" s="1995"/>
      <c r="P5" s="1995"/>
      <c r="Q5" s="1995"/>
      <c r="R5" s="1995"/>
      <c r="S5" s="1995"/>
    </row>
    <row r="6" spans="1:28" ht="14.1" customHeight="1" x14ac:dyDescent="0.2">
      <c r="B6" s="104"/>
      <c r="C6" s="26" t="s">
        <v>911</v>
      </c>
      <c r="D6" s="84"/>
      <c r="E6" s="84"/>
      <c r="I6" s="1994" t="s">
        <v>883</v>
      </c>
      <c r="J6" s="1995"/>
      <c r="K6" s="1995"/>
      <c r="L6" s="1995"/>
      <c r="M6" s="1995"/>
      <c r="N6" s="1995"/>
      <c r="O6" s="1995"/>
      <c r="P6" s="1995"/>
      <c r="Q6" s="1995"/>
      <c r="R6" s="1995"/>
      <c r="S6" s="1995"/>
    </row>
    <row r="7" spans="1:28" ht="12.2" customHeight="1" x14ac:dyDescent="0.2">
      <c r="I7" s="1989">
        <v>43646</v>
      </c>
      <c r="J7" s="1990"/>
      <c r="K7" s="1990"/>
      <c r="L7" s="1990"/>
      <c r="M7" s="1990"/>
      <c r="N7" s="1990"/>
      <c r="O7" s="1990"/>
      <c r="P7" s="1990"/>
      <c r="Q7" s="1990"/>
      <c r="R7" s="1990"/>
      <c r="S7" s="199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1" t="s">
        <v>674</v>
      </c>
      <c r="J9" s="1992"/>
      <c r="K9" s="1992"/>
      <c r="L9" s="1992"/>
      <c r="M9" s="1992"/>
      <c r="N9" s="1992"/>
      <c r="O9" s="1992"/>
      <c r="P9" s="1992"/>
      <c r="Q9" s="1992"/>
      <c r="R9" s="1992"/>
      <c r="S9" s="1993"/>
      <c r="T9" s="2007" t="s">
        <v>533</v>
      </c>
      <c r="U9" s="2008"/>
      <c r="V9" s="2008"/>
      <c r="W9" s="2008"/>
      <c r="X9" s="2008"/>
      <c r="Y9" s="2008"/>
      <c r="Z9" s="2008"/>
      <c r="AA9" s="2009"/>
    </row>
    <row r="10" spans="1:28" ht="13.5" customHeight="1" x14ac:dyDescent="0.2">
      <c r="A10" s="2014" t="s">
        <v>675</v>
      </c>
      <c r="B10" s="2015"/>
      <c r="C10" s="2015"/>
      <c r="D10" s="2015"/>
      <c r="E10" s="2015"/>
      <c r="F10" s="2015"/>
      <c r="G10" s="2015"/>
      <c r="H10" s="2016"/>
      <c r="I10" s="29"/>
      <c r="J10" s="30"/>
      <c r="K10" s="28"/>
      <c r="R10" s="30"/>
      <c r="S10" s="30"/>
      <c r="T10" s="2010"/>
      <c r="U10" s="1995"/>
      <c r="V10" s="1995"/>
      <c r="W10" s="1995"/>
      <c r="X10" s="1995"/>
      <c r="Y10" s="1995"/>
      <c r="Z10" s="1995"/>
      <c r="AA10" s="2001"/>
    </row>
    <row r="11" spans="1:28" ht="14.25" customHeight="1" x14ac:dyDescent="0.2">
      <c r="A11" s="2017" t="s">
        <v>955</v>
      </c>
      <c r="B11" s="2018"/>
      <c r="C11" s="2018"/>
      <c r="D11" s="2018"/>
      <c r="E11" s="2018"/>
      <c r="F11" s="2018"/>
      <c r="G11" s="2018"/>
      <c r="H11" s="2019"/>
      <c r="I11" s="27"/>
      <c r="J11" s="74"/>
      <c r="K11" s="27"/>
      <c r="O11" s="148" t="s">
        <v>2073</v>
      </c>
      <c r="P11" s="100" t="s">
        <v>201</v>
      </c>
      <c r="Q11" s="30"/>
      <c r="R11" s="28"/>
      <c r="S11" s="27"/>
      <c r="T11" s="2011"/>
      <c r="U11" s="2012"/>
      <c r="V11" s="2012"/>
      <c r="W11" s="2012"/>
      <c r="X11" s="2012"/>
      <c r="Y11" s="2012"/>
      <c r="Z11" s="2012"/>
      <c r="AA11" s="201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1">
        <v>54092512026</v>
      </c>
      <c r="B13" s="2022"/>
      <c r="C13" s="2022"/>
      <c r="D13" s="2022"/>
      <c r="E13" s="2022"/>
      <c r="F13" s="2022"/>
      <c r="G13" s="2022"/>
      <c r="H13" s="2023"/>
      <c r="I13" s="31"/>
      <c r="J13" s="30"/>
      <c r="K13" s="28"/>
      <c r="L13" s="30"/>
      <c r="M13" s="30"/>
      <c r="N13" s="30"/>
      <c r="O13" s="30"/>
      <c r="P13" s="30"/>
      <c r="Q13" s="30"/>
      <c r="R13" s="30"/>
      <c r="S13" s="30"/>
      <c r="T13" s="2026" t="s">
        <v>2065</v>
      </c>
      <c r="U13" s="2027"/>
      <c r="V13" s="2027"/>
      <c r="W13" s="2027"/>
      <c r="X13" s="2027"/>
      <c r="Y13" s="2028"/>
      <c r="Z13" s="2028"/>
      <c r="AA13" s="202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0" t="s">
        <v>2076</v>
      </c>
      <c r="B15" s="2024"/>
      <c r="C15" s="2024"/>
      <c r="D15" s="2024"/>
      <c r="E15" s="2024"/>
      <c r="F15" s="2024"/>
      <c r="G15" s="2024"/>
      <c r="H15" s="2025"/>
      <c r="T15" s="2030" t="s">
        <v>2066</v>
      </c>
      <c r="U15" s="1974"/>
      <c r="V15" s="1974"/>
      <c r="W15" s="1974"/>
      <c r="X15" s="1974"/>
      <c r="Y15" s="2031"/>
      <c r="Z15" s="2031"/>
      <c r="AA15" s="203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0" t="s">
        <v>2112</v>
      </c>
      <c r="B17" s="1981"/>
      <c r="C17" s="1981"/>
      <c r="D17" s="1981"/>
      <c r="E17" s="1981"/>
      <c r="F17" s="1981"/>
      <c r="G17" s="1981"/>
      <c r="H17" s="2006"/>
      <c r="T17" s="2037" t="s">
        <v>2067</v>
      </c>
      <c r="U17" s="2038"/>
      <c r="V17" s="2038"/>
      <c r="W17" s="2038"/>
      <c r="X17" s="2038"/>
      <c r="Y17" s="2038"/>
      <c r="Z17" s="2038"/>
      <c r="AA17" s="2039"/>
    </row>
    <row r="18" spans="1:27" ht="13.5" customHeight="1" x14ac:dyDescent="0.2">
      <c r="A18" s="85" t="s">
        <v>530</v>
      </c>
      <c r="B18" s="76"/>
      <c r="C18" s="72"/>
      <c r="D18" s="76"/>
      <c r="E18" s="76"/>
      <c r="F18" s="76"/>
      <c r="G18" s="76"/>
      <c r="H18" s="56"/>
      <c r="I18" s="2005" t="s">
        <v>676</v>
      </c>
      <c r="J18" s="1956"/>
      <c r="K18" s="1956"/>
      <c r="L18" s="1956"/>
      <c r="M18" s="1956"/>
      <c r="N18" s="1956"/>
      <c r="O18" s="1956"/>
      <c r="P18" s="1956"/>
      <c r="Q18" s="1956"/>
      <c r="R18" s="1956"/>
      <c r="S18" s="1957"/>
      <c r="T18" s="85" t="s">
        <v>711</v>
      </c>
      <c r="U18" s="51"/>
      <c r="V18" s="72"/>
      <c r="W18" s="50"/>
      <c r="X18" s="85" t="s">
        <v>266</v>
      </c>
      <c r="Y18" s="81"/>
      <c r="Z18" s="159" t="s">
        <v>677</v>
      </c>
      <c r="AA18" s="46"/>
    </row>
    <row r="19" spans="1:27" ht="13.5" customHeight="1" x14ac:dyDescent="0.2">
      <c r="A19" s="2020" t="s">
        <v>2077</v>
      </c>
      <c r="B19" s="1966"/>
      <c r="C19" s="1966"/>
      <c r="D19" s="1966"/>
      <c r="E19" s="1966"/>
      <c r="F19" s="1966"/>
      <c r="G19" s="1966"/>
      <c r="H19" s="1946"/>
      <c r="I19" s="30"/>
      <c r="J19" s="99"/>
      <c r="K19" s="40"/>
      <c r="L19" s="38"/>
      <c r="M19" s="112" t="s">
        <v>315</v>
      </c>
      <c r="P19" s="27"/>
      <c r="Q19" s="27"/>
      <c r="R19" s="27"/>
      <c r="S19" s="31"/>
      <c r="T19" s="2020" t="s">
        <v>2068</v>
      </c>
      <c r="U19" s="1945"/>
      <c r="V19" s="1945"/>
      <c r="W19" s="1946"/>
      <c r="X19" s="2035" t="s">
        <v>2069</v>
      </c>
      <c r="Y19" s="2036"/>
      <c r="Z19" s="2033">
        <v>60942</v>
      </c>
      <c r="AA19" s="203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4" t="s">
        <v>2078</v>
      </c>
      <c r="B21" s="1945"/>
      <c r="C21" s="1945"/>
      <c r="D21" s="1945"/>
      <c r="E21" s="1945"/>
      <c r="F21" s="1945"/>
      <c r="G21" s="1945"/>
      <c r="H21" s="1946"/>
      <c r="I21" s="2000" t="s">
        <v>678</v>
      </c>
      <c r="J21" s="1995"/>
      <c r="K21" s="1995"/>
      <c r="L21" s="1995"/>
      <c r="M21" s="1995"/>
      <c r="N21" s="1995"/>
      <c r="O21" s="1995"/>
      <c r="P21" s="1995"/>
      <c r="Q21" s="1995"/>
      <c r="R21" s="1995"/>
      <c r="S21" s="2001"/>
      <c r="T21" s="2045" t="s">
        <v>2070</v>
      </c>
      <c r="U21" s="2046"/>
      <c r="V21" s="2046"/>
      <c r="W21" s="2046"/>
      <c r="X21" s="2051" t="s">
        <v>2071</v>
      </c>
      <c r="Y21" s="2052"/>
      <c r="Z21" s="2052"/>
      <c r="AA21" s="2053"/>
    </row>
    <row r="22" spans="1:27" ht="13.5" customHeight="1" x14ac:dyDescent="0.2">
      <c r="A22" s="87" t="s">
        <v>531</v>
      </c>
      <c r="B22" s="59"/>
      <c r="C22" s="59"/>
      <c r="D22" s="59"/>
      <c r="E22" s="59"/>
      <c r="F22" s="59"/>
      <c r="G22" s="59"/>
      <c r="H22" s="60"/>
      <c r="I22" s="2002" t="s">
        <v>1429</v>
      </c>
      <c r="J22" s="2003"/>
      <c r="K22" s="2003"/>
      <c r="L22" s="2003"/>
      <c r="M22" s="2003"/>
      <c r="N22" s="2003"/>
      <c r="O22" s="2003"/>
      <c r="P22" s="2003"/>
      <c r="Q22" s="2003"/>
      <c r="R22" s="2003"/>
      <c r="S22" s="2004"/>
      <c r="T22" s="85" t="s">
        <v>1516</v>
      </c>
      <c r="U22" s="51"/>
      <c r="V22" s="72"/>
      <c r="W22" s="51"/>
      <c r="X22" s="160" t="s">
        <v>1318</v>
      </c>
      <c r="Z22" s="45"/>
      <c r="AA22" s="46"/>
    </row>
    <row r="23" spans="1:27" ht="13.5" customHeight="1" x14ac:dyDescent="0.2">
      <c r="A23" s="1997"/>
      <c r="B23" s="1998"/>
      <c r="C23" s="1998"/>
      <c r="D23" s="1998"/>
      <c r="E23" s="1998"/>
      <c r="F23" s="1998"/>
      <c r="G23" s="1998"/>
      <c r="H23" s="1999"/>
      <c r="T23" s="2043" t="s">
        <v>2074</v>
      </c>
      <c r="U23" s="2044"/>
      <c r="V23" s="2044"/>
      <c r="W23" s="2044"/>
      <c r="X23" s="2048">
        <v>44469</v>
      </c>
      <c r="Y23" s="2049"/>
      <c r="Z23" s="2049"/>
      <c r="AA23" s="2050"/>
    </row>
    <row r="24" spans="1:27" ht="14.1" customHeight="1" x14ac:dyDescent="0.2">
      <c r="A24" s="88" t="s">
        <v>677</v>
      </c>
      <c r="B24" s="49"/>
      <c r="C24" s="49"/>
      <c r="D24" s="49"/>
      <c r="E24" s="49"/>
      <c r="F24" s="49"/>
      <c r="G24" s="49"/>
      <c r="H24" s="61"/>
      <c r="J24" s="1967">
        <f>IF(B5="x",IF(AUDITCHECK!D29="AFR form Incomplete.","",IF(AUDITCHECK!D29="Deficit reduction plan is required.","School District must complete a deficit reduction plan in the 2019-2020 Budget",)),"")</f>
        <v>0</v>
      </c>
      <c r="K24" s="1967"/>
      <c r="L24" s="1967"/>
      <c r="M24" s="1967"/>
      <c r="N24" s="1967"/>
      <c r="O24" s="1967"/>
      <c r="P24" s="1967"/>
      <c r="Q24" s="1967"/>
      <c r="R24" s="1967"/>
      <c r="S24" s="1968"/>
      <c r="T24" s="105" t="s">
        <v>531</v>
      </c>
      <c r="U24" s="106"/>
      <c r="V24" s="106"/>
      <c r="W24" s="106"/>
      <c r="X24" s="107"/>
      <c r="Y24" s="107"/>
      <c r="Z24" s="107"/>
      <c r="AA24" s="108"/>
    </row>
    <row r="25" spans="1:27" ht="14.1" customHeight="1" x14ac:dyDescent="0.2">
      <c r="A25" s="1944">
        <v>61876</v>
      </c>
      <c r="B25" s="1945"/>
      <c r="C25" s="1945"/>
      <c r="D25" s="1945"/>
      <c r="E25" s="1945"/>
      <c r="F25" s="1945"/>
      <c r="G25" s="1945"/>
      <c r="H25" s="1946"/>
      <c r="I25" s="113"/>
      <c r="J25" s="1969"/>
      <c r="K25" s="1969"/>
      <c r="L25" s="1969"/>
      <c r="M25" s="1969"/>
      <c r="N25" s="1969"/>
      <c r="O25" s="1969"/>
      <c r="P25" s="1969"/>
      <c r="Q25" s="1969"/>
      <c r="R25" s="1969"/>
      <c r="S25" s="1970"/>
      <c r="T25" s="2040" t="s">
        <v>2072</v>
      </c>
      <c r="U25" s="2041"/>
      <c r="V25" s="2041"/>
      <c r="W25" s="2041"/>
      <c r="X25" s="2041"/>
      <c r="Y25" s="2041"/>
      <c r="Z25" s="2041"/>
      <c r="AA25" s="20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5" t="s">
        <v>1511</v>
      </c>
      <c r="J27" s="1956"/>
      <c r="K27" s="1956"/>
      <c r="L27" s="1956"/>
      <c r="M27" s="1956"/>
      <c r="N27" s="1956"/>
      <c r="O27" s="1956"/>
      <c r="P27" s="1956"/>
      <c r="Q27" s="1956"/>
      <c r="R27" s="1956"/>
      <c r="S27" s="195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6"/>
      <c r="Q35" s="1945"/>
      <c r="R35" s="194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0" t="s">
        <v>2079</v>
      </c>
      <c r="B38" s="1981"/>
      <c r="C38" s="1981"/>
      <c r="D38" s="1981"/>
      <c r="E38" s="1981"/>
      <c r="F38" s="1945"/>
      <c r="G38" s="1945"/>
      <c r="H38" s="1946"/>
      <c r="I38" s="1973"/>
      <c r="J38" s="1974"/>
      <c r="K38" s="1974"/>
      <c r="L38" s="1974"/>
      <c r="M38" s="1974"/>
      <c r="N38" s="1974"/>
      <c r="O38" s="1974"/>
      <c r="P38" s="1975"/>
      <c r="Q38" s="1975"/>
      <c r="R38" s="1975"/>
      <c r="S38" s="1976"/>
      <c r="T38" s="2030"/>
      <c r="U38" s="1974"/>
      <c r="V38" s="1974"/>
      <c r="W38" s="1974"/>
      <c r="X38" s="1975"/>
      <c r="Y38" s="1975"/>
      <c r="Z38" s="1975"/>
      <c r="AA38" s="1976"/>
    </row>
    <row r="39" spans="1:27" ht="12" customHeight="1" x14ac:dyDescent="0.2">
      <c r="A39" s="1950" t="s">
        <v>531</v>
      </c>
      <c r="B39" s="1951"/>
      <c r="C39" s="72"/>
      <c r="D39" s="69"/>
      <c r="E39" s="69"/>
      <c r="F39" s="79"/>
      <c r="G39" s="69"/>
      <c r="H39" s="56"/>
      <c r="I39" s="1950" t="s">
        <v>531</v>
      </c>
      <c r="J39" s="1951"/>
      <c r="K39" s="1951"/>
      <c r="L39" s="1951"/>
      <c r="M39" s="1951"/>
      <c r="N39" s="67"/>
      <c r="O39" s="72"/>
      <c r="P39" s="72"/>
      <c r="Q39" s="78"/>
      <c r="R39" s="72"/>
      <c r="S39" s="56"/>
      <c r="T39" s="72" t="s">
        <v>531</v>
      </c>
      <c r="U39" s="51"/>
      <c r="V39" s="72"/>
      <c r="W39" s="50"/>
      <c r="X39" s="78"/>
      <c r="Y39" s="45"/>
      <c r="Z39" s="45"/>
      <c r="AA39" s="46"/>
    </row>
    <row r="40" spans="1:27" ht="13.5" customHeight="1" x14ac:dyDescent="0.2">
      <c r="A40" s="1958" t="s">
        <v>2080</v>
      </c>
      <c r="B40" s="1959"/>
      <c r="C40" s="1960"/>
      <c r="D40" s="1960"/>
      <c r="E40" s="1960"/>
      <c r="F40" s="1961"/>
      <c r="G40" s="1961"/>
      <c r="H40" s="1962"/>
      <c r="I40" s="1983"/>
      <c r="J40" s="1984"/>
      <c r="K40" s="1984"/>
      <c r="L40" s="1984"/>
      <c r="M40" s="1984"/>
      <c r="N40" s="1984"/>
      <c r="O40" s="1984"/>
      <c r="P40" s="1984"/>
      <c r="Q40" s="1984"/>
      <c r="R40" s="1984"/>
      <c r="S40" s="1985"/>
      <c r="T40" s="1983"/>
      <c r="U40" s="2047"/>
      <c r="V40" s="1984"/>
      <c r="W40" s="1984"/>
      <c r="X40" s="1984"/>
      <c r="Y40" s="1984"/>
      <c r="Z40" s="1984"/>
      <c r="AA40" s="198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2" t="s">
        <v>2081</v>
      </c>
      <c r="B42" s="1964"/>
      <c r="C42" s="1965"/>
      <c r="D42" s="1963"/>
      <c r="E42" s="1964"/>
      <c r="F42" s="1964"/>
      <c r="G42" s="1964"/>
      <c r="H42" s="1965"/>
      <c r="I42" s="1947"/>
      <c r="J42" s="1948"/>
      <c r="K42" s="1948"/>
      <c r="L42" s="1948"/>
      <c r="M42" s="1948"/>
      <c r="N42" s="1948"/>
      <c r="O42" s="1949"/>
      <c r="P42" s="1982"/>
      <c r="Q42" s="1948"/>
      <c r="R42" s="1948"/>
      <c r="S42" s="1949"/>
      <c r="T42" s="1947"/>
      <c r="U42" s="1948"/>
      <c r="V42" s="1948"/>
      <c r="W42" s="1949"/>
      <c r="X42" s="1982"/>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7"/>
      <c r="B44" s="1978"/>
      <c r="C44" s="1978"/>
      <c r="D44" s="1978"/>
      <c r="E44" s="1978"/>
      <c r="F44" s="1978"/>
      <c r="G44" s="1978"/>
      <c r="H44" s="1979"/>
      <c r="I44" s="1952"/>
      <c r="J44" s="1953"/>
      <c r="K44" s="1953"/>
      <c r="L44" s="1953"/>
      <c r="M44" s="1953"/>
      <c r="N44" s="1953"/>
      <c r="O44" s="1953"/>
      <c r="P44" s="1953"/>
      <c r="Q44" s="1953"/>
      <c r="R44" s="1953"/>
      <c r="S44" s="1954"/>
      <c r="T44" s="1952"/>
      <c r="U44" s="1971"/>
      <c r="V44" s="1971"/>
      <c r="W44" s="1971"/>
      <c r="X44" s="1971"/>
      <c r="Y44" s="1971"/>
      <c r="Z44" s="1953"/>
      <c r="AA44" s="195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5"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2075</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109948924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3.11629E-2</v>
      </c>
      <c r="E10" s="356" t="s">
        <v>1005</v>
      </c>
      <c r="F10" s="355">
        <v>7.4197999999999998E-3</v>
      </c>
      <c r="G10" s="356" t="s">
        <v>1005</v>
      </c>
      <c r="H10" s="355">
        <v>2.1765E-3</v>
      </c>
      <c r="I10" s="356" t="s">
        <v>1006</v>
      </c>
      <c r="J10" s="1732">
        <f>ROUND(D10+F10+H10,5)</f>
        <v>4.0759999999999998E-2</v>
      </c>
      <c r="K10" s="222"/>
      <c r="L10" s="355">
        <v>4.9470000000000004E-4</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11848739</v>
      </c>
      <c r="E16" s="356"/>
      <c r="F16" s="1733">
        <f>SUM('Acct Summary 7-8'!C17,'Acct Summary 7-8'!D17,'Acct Summary 7-8'!F17)</f>
        <v>8891987</v>
      </c>
      <c r="G16" s="356"/>
      <c r="H16" s="1733">
        <f>SUM(D16-F16)</f>
        <v>2956752</v>
      </c>
      <c r="I16" s="222"/>
      <c r="J16" s="1733">
        <f>SUM('Acct Summary 7-8'!C81,'Acct Summary 7-8'!D81,'Acct Summary 7-8'!F81,'Acct Summary 7-8'!I81)</f>
        <v>5967138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15172951.512000002</v>
      </c>
      <c r="I31" s="368"/>
      <c r="J31" s="222"/>
      <c r="K31" s="222"/>
      <c r="L31" s="222"/>
      <c r="M31" s="222"/>
    </row>
    <row r="32" spans="1:13" ht="13.35" customHeight="1" x14ac:dyDescent="0.2">
      <c r="B32" s="369" t="s">
        <v>2073</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655000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Salt Fork CUSD 512</v>
      </c>
      <c r="E7" s="391"/>
      <c r="G7" s="252"/>
      <c r="H7" s="387"/>
      <c r="I7" s="387"/>
      <c r="J7" s="387"/>
      <c r="K7" s="387"/>
      <c r="L7" s="329"/>
      <c r="M7" s="329"/>
      <c r="N7" s="329"/>
      <c r="O7" s="329"/>
      <c r="P7" s="329"/>
    </row>
    <row r="8" spans="1:18" ht="12.75" x14ac:dyDescent="0.2">
      <c r="A8" s="329"/>
      <c r="B8" s="329"/>
      <c r="C8" s="389" t="s">
        <v>1125</v>
      </c>
      <c r="D8" s="392">
        <f>COVER!A13</f>
        <v>54092512026</v>
      </c>
      <c r="E8" s="393"/>
      <c r="G8" s="329"/>
      <c r="H8" s="329"/>
      <c r="I8" s="329"/>
      <c r="J8" s="329"/>
      <c r="K8" s="329"/>
      <c r="L8" s="329"/>
      <c r="M8" s="329"/>
      <c r="N8" s="329"/>
      <c r="O8" s="329"/>
      <c r="P8" s="329"/>
    </row>
    <row r="9" spans="1:18" ht="12.75" x14ac:dyDescent="0.2">
      <c r="A9" s="329"/>
      <c r="B9" s="329"/>
      <c r="C9" s="389" t="s">
        <v>713</v>
      </c>
      <c r="D9" s="394" t="str">
        <f>COVER!A15</f>
        <v>VERMILION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5967138</v>
      </c>
      <c r="I12" s="404"/>
      <c r="J12" s="404"/>
      <c r="K12" s="405">
        <f>TRUNC((H12/H13*100000),5)/100000</f>
        <v>0.50360954019999993</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11848739</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8891987</v>
      </c>
      <c r="I17" s="404"/>
      <c r="J17" s="416"/>
      <c r="K17" s="405">
        <f>TRUNC((H17/H18*100000),5)/100000</f>
        <v>0.75045850869999997</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11848739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5967138</v>
      </c>
      <c r="I24" s="422"/>
      <c r="J24" s="422"/>
      <c r="K24" s="423">
        <f>TRUNC(((H24/H25*100000)/100000),2)</f>
        <v>241.58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24699.963889999999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3809290.4208999998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655000</v>
      </c>
      <c r="I32" s="420"/>
      <c r="J32" s="420"/>
      <c r="K32" s="423">
        <f>TRUNC(100-((((H32/H33*100))*100)/100),2)</f>
        <v>95.68</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15172951.512000002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5" activePane="bottomLeft" state="frozen"/>
      <selection pane="bottomLeft" activeCell="L34" activeCellId="1" sqref="N23 L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9"/>
      <c r="D3" s="1560"/>
      <c r="E3" s="1560"/>
      <c r="F3" s="1560"/>
      <c r="G3" s="1560"/>
      <c r="H3" s="1560"/>
      <c r="I3" s="1560"/>
      <c r="J3" s="1560"/>
      <c r="K3" s="1560"/>
      <c r="L3" s="1560"/>
      <c r="M3" s="1561"/>
      <c r="N3" s="1562"/>
    </row>
    <row r="4" spans="1:14" ht="13.5" customHeight="1" x14ac:dyDescent="0.2">
      <c r="A4" s="463" t="s">
        <v>1651</v>
      </c>
      <c r="B4" s="464"/>
      <c r="C4" s="465">
        <v>4850402</v>
      </c>
      <c r="D4" s="466">
        <v>640404</v>
      </c>
      <c r="E4" s="466">
        <v>60500</v>
      </c>
      <c r="F4" s="466">
        <v>326579</v>
      </c>
      <c r="G4" s="466">
        <v>374440</v>
      </c>
      <c r="H4" s="466">
        <v>2531</v>
      </c>
      <c r="I4" s="466">
        <v>139753</v>
      </c>
      <c r="J4" s="467">
        <v>649725</v>
      </c>
      <c r="K4" s="466">
        <v>92692</v>
      </c>
      <c r="L4" s="466">
        <v>199647</v>
      </c>
      <c r="M4" s="468"/>
      <c r="N4" s="469"/>
    </row>
    <row r="5" spans="1:14" x14ac:dyDescent="0.2">
      <c r="A5" s="463" t="s">
        <v>992</v>
      </c>
      <c r="B5" s="470">
        <v>120</v>
      </c>
      <c r="C5" s="465"/>
      <c r="D5" s="466">
        <v>10000</v>
      </c>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4850402</v>
      </c>
      <c r="D13" s="1737">
        <f t="shared" ref="D13:L13" si="0">SUM(D4:D12)</f>
        <v>650404</v>
      </c>
      <c r="E13" s="1737">
        <f t="shared" si="0"/>
        <v>60500</v>
      </c>
      <c r="F13" s="1737">
        <f t="shared" si="0"/>
        <v>326579</v>
      </c>
      <c r="G13" s="1737">
        <f t="shared" si="0"/>
        <v>374440</v>
      </c>
      <c r="H13" s="1737">
        <f t="shared" si="0"/>
        <v>2531</v>
      </c>
      <c r="I13" s="1737">
        <f t="shared" si="0"/>
        <v>139753</v>
      </c>
      <c r="J13" s="1737">
        <f t="shared" si="0"/>
        <v>649725</v>
      </c>
      <c r="K13" s="1737">
        <f t="shared" si="0"/>
        <v>92692</v>
      </c>
      <c r="L13" s="1737">
        <f t="shared" si="0"/>
        <v>199647</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58655</v>
      </c>
      <c r="N16" s="484"/>
    </row>
    <row r="17" spans="1:14" s="485" customFormat="1" ht="12.75" customHeight="1" x14ac:dyDescent="0.2">
      <c r="A17" s="482" t="s">
        <v>1403</v>
      </c>
      <c r="B17" s="483">
        <v>230</v>
      </c>
      <c r="C17" s="477"/>
      <c r="D17" s="477"/>
      <c r="E17" s="477"/>
      <c r="F17" s="477"/>
      <c r="G17" s="477"/>
      <c r="H17" s="477"/>
      <c r="I17" s="477"/>
      <c r="J17" s="477"/>
      <c r="K17" s="477"/>
      <c r="L17" s="477"/>
      <c r="M17" s="467">
        <v>7424737</v>
      </c>
      <c r="N17" s="484"/>
    </row>
    <row r="18" spans="1:14" s="485" customFormat="1" ht="12.75" customHeight="1" x14ac:dyDescent="0.2">
      <c r="A18" s="482" t="s">
        <v>1404</v>
      </c>
      <c r="B18" s="483">
        <v>240</v>
      </c>
      <c r="C18" s="477"/>
      <c r="D18" s="477"/>
      <c r="E18" s="477"/>
      <c r="F18" s="477"/>
      <c r="G18" s="477"/>
      <c r="H18" s="477"/>
      <c r="I18" s="477"/>
      <c r="J18" s="477"/>
      <c r="K18" s="477"/>
      <c r="L18" s="477"/>
      <c r="M18" s="467">
        <v>675430</v>
      </c>
      <c r="N18" s="484"/>
    </row>
    <row r="19" spans="1:14" s="485" customFormat="1" ht="12.75" customHeight="1" x14ac:dyDescent="0.2">
      <c r="A19" s="482" t="s">
        <v>1405</v>
      </c>
      <c r="B19" s="483">
        <v>250</v>
      </c>
      <c r="C19" s="477"/>
      <c r="D19" s="477"/>
      <c r="E19" s="477"/>
      <c r="F19" s="477"/>
      <c r="G19" s="477"/>
      <c r="H19" s="477"/>
      <c r="I19" s="477"/>
      <c r="J19" s="477"/>
      <c r="K19" s="477"/>
      <c r="L19" s="477"/>
      <c r="M19" s="467">
        <v>4465132</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60500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594500</v>
      </c>
    </row>
    <row r="23" spans="1:14" ht="13.5" customHeight="1" thickBot="1" x14ac:dyDescent="0.25">
      <c r="A23" s="1736" t="s">
        <v>643</v>
      </c>
      <c r="B23" s="1741"/>
      <c r="C23" s="468"/>
      <c r="D23" s="468"/>
      <c r="E23" s="468"/>
      <c r="F23" s="468"/>
      <c r="G23" s="468"/>
      <c r="H23" s="468"/>
      <c r="I23" s="468"/>
      <c r="J23" s="468"/>
      <c r="K23" s="468"/>
      <c r="L23" s="468"/>
      <c r="M23" s="1688">
        <f>SUM(M15:M22)</f>
        <v>12623954</v>
      </c>
      <c r="N23" s="1688">
        <f>SUM(N21:N22)</f>
        <v>655000</v>
      </c>
    </row>
    <row r="24" spans="1:14" ht="18" customHeight="1" thickTop="1" x14ac:dyDescent="0.2">
      <c r="A24" s="2116" t="s">
        <v>598</v>
      </c>
      <c r="B24" s="211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199647</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199647</v>
      </c>
      <c r="M34" s="468"/>
      <c r="N34" s="480"/>
    </row>
    <row r="35" spans="1:14" ht="18" customHeight="1" thickTop="1" x14ac:dyDescent="0.2">
      <c r="A35" s="2118" t="s">
        <v>529</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655000</v>
      </c>
    </row>
    <row r="37" spans="1:14" ht="13.5" thickBot="1" x14ac:dyDescent="0.25">
      <c r="A37" s="1736" t="s">
        <v>653</v>
      </c>
      <c r="B37" s="1741"/>
      <c r="C37" s="477"/>
      <c r="D37" s="477"/>
      <c r="E37" s="477"/>
      <c r="F37" s="477"/>
      <c r="G37" s="477"/>
      <c r="H37" s="477"/>
      <c r="I37" s="477"/>
      <c r="J37" s="477"/>
      <c r="K37" s="477"/>
      <c r="L37" s="480"/>
      <c r="M37" s="468"/>
      <c r="N37" s="1688">
        <f>SUM(N36:N36)</f>
        <v>655000</v>
      </c>
    </row>
    <row r="38" spans="1:14" s="329" customFormat="1" ht="13.5" customHeight="1" thickTop="1" x14ac:dyDescent="0.2">
      <c r="A38" s="496" t="s">
        <v>420</v>
      </c>
      <c r="B38" s="483">
        <v>714</v>
      </c>
      <c r="C38" s="466"/>
      <c r="D38" s="466"/>
      <c r="E38" s="466"/>
      <c r="F38" s="466"/>
      <c r="G38" s="466">
        <v>374440</v>
      </c>
      <c r="H38" s="466">
        <v>2531</v>
      </c>
      <c r="I38" s="466"/>
      <c r="J38" s="467"/>
      <c r="K38" s="466"/>
      <c r="L38" s="481"/>
      <c r="M38" s="497"/>
      <c r="N38" s="497"/>
    </row>
    <row r="39" spans="1:14" s="329" customFormat="1" ht="13.5" customHeight="1" x14ac:dyDescent="0.2">
      <c r="A39" s="496" t="s">
        <v>342</v>
      </c>
      <c r="B39" s="483">
        <v>730</v>
      </c>
      <c r="C39" s="466">
        <v>4850402</v>
      </c>
      <c r="D39" s="466">
        <v>650404</v>
      </c>
      <c r="E39" s="466">
        <v>60500</v>
      </c>
      <c r="F39" s="466">
        <v>326579</v>
      </c>
      <c r="G39" s="466"/>
      <c r="H39" s="466"/>
      <c r="I39" s="466">
        <v>139753</v>
      </c>
      <c r="J39" s="467">
        <v>649725</v>
      </c>
      <c r="K39" s="466">
        <v>92692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12623954</v>
      </c>
      <c r="N40" s="497"/>
    </row>
    <row r="41" spans="1:14" ht="13.5" customHeight="1" thickBot="1" x14ac:dyDescent="0.25">
      <c r="A41" s="1736" t="s">
        <v>655</v>
      </c>
      <c r="B41" s="1706"/>
      <c r="C41" s="1688">
        <f>(SUM(C34,C37,C38,C39))</f>
        <v>4850402</v>
      </c>
      <c r="D41" s="1688">
        <f t="shared" ref="D41:L41" si="2">SUM(D34,D37,D38:D39)</f>
        <v>650404</v>
      </c>
      <c r="E41" s="1688">
        <f t="shared" si="2"/>
        <v>60500</v>
      </c>
      <c r="F41" s="1688">
        <f t="shared" si="2"/>
        <v>326579</v>
      </c>
      <c r="G41" s="1688">
        <f t="shared" si="2"/>
        <v>374440</v>
      </c>
      <c r="H41" s="1688">
        <f t="shared" si="2"/>
        <v>2531</v>
      </c>
      <c r="I41" s="1688">
        <f t="shared" si="2"/>
        <v>139753</v>
      </c>
      <c r="J41" s="1688">
        <f t="shared" si="2"/>
        <v>649725</v>
      </c>
      <c r="K41" s="1688">
        <f t="shared" si="2"/>
        <v>92692</v>
      </c>
      <c r="L41" s="1688">
        <f t="shared" si="2"/>
        <v>199647</v>
      </c>
      <c r="M41" s="1688">
        <f>SUM(M40)</f>
        <v>12623954</v>
      </c>
      <c r="N41" s="1688">
        <f>SUM(N37)</f>
        <v>655000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15" activePane="bottomLeft" state="frozen"/>
      <selection pane="bottomLeft" activeCell="J32" sqref="J3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3"/>
      <c r="D3" s="1574"/>
      <c r="E3" s="1574"/>
      <c r="F3" s="1574"/>
      <c r="G3" s="1574"/>
      <c r="H3" s="1574"/>
      <c r="I3" s="1574"/>
      <c r="J3" s="1574"/>
      <c r="K3" s="1575"/>
      <c r="L3" s="506"/>
    </row>
    <row r="4" spans="1:13" ht="15.75" customHeight="1" x14ac:dyDescent="0.2">
      <c r="A4" s="1928" t="s">
        <v>1499</v>
      </c>
      <c r="B4" s="1929">
        <v>1000</v>
      </c>
      <c r="C4" s="1742">
        <f>'Revenues 9-14'!C109</f>
        <v>5927950</v>
      </c>
      <c r="D4" s="1742">
        <f>'Revenues 9-14'!D109</f>
        <v>1406579</v>
      </c>
      <c r="E4" s="1742">
        <f>'Revenues 9-14'!E109</f>
        <v>143653</v>
      </c>
      <c r="F4" s="1742">
        <f>'Revenues 9-14'!F109</f>
        <v>374163</v>
      </c>
      <c r="G4" s="1742">
        <f>'Revenues 9-14'!G109</f>
        <v>533648</v>
      </c>
      <c r="H4" s="1742">
        <f>'Revenues 9-14'!H109</f>
        <v>1482</v>
      </c>
      <c r="I4" s="1742">
        <f>'Revenues 9-14'!I109</f>
        <v>85024</v>
      </c>
      <c r="J4" s="1742">
        <f>'Revenues 9-14'!J109</f>
        <v>851652</v>
      </c>
      <c r="K4" s="1742">
        <f>'Revenues 9-14'!K109</f>
        <v>85024</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2867819</v>
      </c>
      <c r="D6" s="1743">
        <f>'Revenues 9-14'!D170</f>
        <v>475818</v>
      </c>
      <c r="E6" s="1743">
        <f>'Revenues 9-14'!E170</f>
        <v>0</v>
      </c>
      <c r="F6" s="1743">
        <f>'Revenues 9-14'!F170</f>
        <v>330687</v>
      </c>
      <c r="G6" s="1743">
        <f>'Revenues 9-14'!G170</f>
        <v>1564</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380699</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9176468</v>
      </c>
      <c r="D8" s="1688">
        <f t="shared" ref="D8:K8" si="0">SUM(D4:D7)</f>
        <v>1882397</v>
      </c>
      <c r="E8" s="1688">
        <f t="shared" si="0"/>
        <v>143653</v>
      </c>
      <c r="F8" s="1688">
        <f t="shared" si="0"/>
        <v>704850</v>
      </c>
      <c r="G8" s="1688">
        <f t="shared" si="0"/>
        <v>535212</v>
      </c>
      <c r="H8" s="1688">
        <f t="shared" si="0"/>
        <v>1482</v>
      </c>
      <c r="I8" s="1688">
        <f t="shared" si="0"/>
        <v>85024</v>
      </c>
      <c r="J8" s="1688">
        <f t="shared" si="0"/>
        <v>851652</v>
      </c>
      <c r="K8" s="1688">
        <f t="shared" si="0"/>
        <v>85024</v>
      </c>
      <c r="L8" s="347"/>
    </row>
    <row r="9" spans="1:13" ht="15.75" thickTop="1" x14ac:dyDescent="0.2">
      <c r="A9" s="514" t="s">
        <v>1653</v>
      </c>
      <c r="B9" s="515">
        <v>3998</v>
      </c>
      <c r="C9" s="481">
        <v>2715587</v>
      </c>
      <c r="D9" s="516"/>
      <c r="E9" s="481"/>
      <c r="F9" s="481"/>
      <c r="G9" s="517"/>
      <c r="H9" s="481"/>
      <c r="I9" s="509" t="s">
        <v>1169</v>
      </c>
      <c r="J9" s="478"/>
      <c r="K9" s="481"/>
      <c r="L9" s="347"/>
    </row>
    <row r="10" spans="1:13" s="519" customFormat="1" ht="13.5" thickBot="1" x14ac:dyDescent="0.25">
      <c r="A10" s="1736" t="s">
        <v>1173</v>
      </c>
      <c r="B10" s="1709"/>
      <c r="C10" s="1688">
        <f>SUM(C8:C9)</f>
        <v>11892055</v>
      </c>
      <c r="D10" s="1688">
        <f t="shared" ref="D10:K10" si="1">SUM(D8:D9)</f>
        <v>1882397</v>
      </c>
      <c r="E10" s="1688">
        <f t="shared" si="1"/>
        <v>143653</v>
      </c>
      <c r="F10" s="1688">
        <f t="shared" si="1"/>
        <v>704850</v>
      </c>
      <c r="G10" s="1688">
        <f t="shared" si="1"/>
        <v>535212</v>
      </c>
      <c r="H10" s="1688">
        <f t="shared" si="1"/>
        <v>1482</v>
      </c>
      <c r="I10" s="1688">
        <f t="shared" si="1"/>
        <v>85024</v>
      </c>
      <c r="J10" s="1688">
        <f t="shared" si="1"/>
        <v>851652</v>
      </c>
      <c r="K10" s="1688">
        <f t="shared" si="1"/>
        <v>85024</v>
      </c>
      <c r="L10" s="518"/>
    </row>
    <row r="11" spans="1:13" s="519" customFormat="1" ht="16.7" customHeight="1" thickTop="1" x14ac:dyDescent="0.2">
      <c r="A11" s="2114" t="s">
        <v>1176</v>
      </c>
      <c r="B11" s="2115"/>
      <c r="C11" s="1570"/>
      <c r="D11" s="1571"/>
      <c r="E11" s="1571"/>
      <c r="F11" s="1571"/>
      <c r="G11" s="1571"/>
      <c r="H11" s="1571"/>
      <c r="I11" s="1571"/>
      <c r="J11" s="1571"/>
      <c r="K11" s="1572"/>
      <c r="L11" s="518"/>
    </row>
    <row r="12" spans="1:13" ht="15.75" customHeight="1" x14ac:dyDescent="0.2">
      <c r="A12" s="1576" t="s">
        <v>456</v>
      </c>
      <c r="B12" s="1578">
        <v>1000</v>
      </c>
      <c r="C12" s="1742">
        <f>'Expenditures 15-22'!K33</f>
        <v>4825755</v>
      </c>
      <c r="D12" s="520" t="s">
        <v>1169</v>
      </c>
      <c r="E12" s="468" t="s">
        <v>1169</v>
      </c>
      <c r="F12" s="468" t="s">
        <v>1169</v>
      </c>
      <c r="G12" s="1742">
        <f>'Expenditures 15-22'!K229</f>
        <v>135598</v>
      </c>
      <c r="H12" s="521"/>
      <c r="I12" s="468" t="s">
        <v>1169</v>
      </c>
      <c r="J12" s="468" t="s">
        <v>1169</v>
      </c>
      <c r="K12" s="521" t="s">
        <v>1169</v>
      </c>
      <c r="L12" s="347"/>
    </row>
    <row r="13" spans="1:13" ht="15.75" customHeight="1" x14ac:dyDescent="0.2">
      <c r="A13" s="1576" t="s">
        <v>457</v>
      </c>
      <c r="B13" s="1578">
        <v>2000</v>
      </c>
      <c r="C13" s="1743">
        <f>'Expenditures 15-22'!K74</f>
        <v>1702505</v>
      </c>
      <c r="D13" s="1743">
        <f>'Expenditures 15-22'!K129</f>
        <v>1361483</v>
      </c>
      <c r="E13" s="469" t="s">
        <v>1169</v>
      </c>
      <c r="F13" s="1743">
        <f>'Expenditures 15-22'!K184</f>
        <v>571503</v>
      </c>
      <c r="G13" s="1743">
        <f>'Expenditures 15-22'!K279</f>
        <v>192459</v>
      </c>
      <c r="H13" s="1743">
        <f>'Expenditures 15-22'!K303</f>
        <v>0</v>
      </c>
      <c r="I13" s="468" t="s">
        <v>1169</v>
      </c>
      <c r="J13" s="1743">
        <f>'Expenditures 15-22'!K330</f>
        <v>534925</v>
      </c>
      <c r="K13" s="1747">
        <f>'Expenditures 15-22'!K352</f>
        <v>684932</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430741</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87152</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6959001</v>
      </c>
      <c r="D17" s="1688">
        <f t="shared" si="2"/>
        <v>1361483</v>
      </c>
      <c r="E17" s="1688">
        <f t="shared" si="2"/>
        <v>87152</v>
      </c>
      <c r="F17" s="1688">
        <f t="shared" si="2"/>
        <v>571503</v>
      </c>
      <c r="G17" s="1688">
        <f t="shared" si="2"/>
        <v>328057</v>
      </c>
      <c r="H17" s="1688">
        <f t="shared" si="2"/>
        <v>0</v>
      </c>
      <c r="I17" s="468"/>
      <c r="J17" s="1688">
        <f>SUM(J12:J16)</f>
        <v>534925</v>
      </c>
      <c r="K17" s="1688">
        <f>SUM(K12:K16)</f>
        <v>684932</v>
      </c>
      <c r="L17" s="347"/>
    </row>
    <row r="18" spans="1:12" ht="15" customHeight="1" thickTop="1" x14ac:dyDescent="0.2">
      <c r="A18" s="1744" t="s">
        <v>1654</v>
      </c>
      <c r="B18" s="1745">
        <v>4180</v>
      </c>
      <c r="C18" s="1742">
        <f t="shared" ref="C18:H18" si="3">C9</f>
        <v>2715587</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9674588</v>
      </c>
      <c r="D19" s="1688">
        <f t="shared" si="4"/>
        <v>1361483</v>
      </c>
      <c r="E19" s="1688">
        <f t="shared" si="4"/>
        <v>87152</v>
      </c>
      <c r="F19" s="1688">
        <f t="shared" si="4"/>
        <v>571503</v>
      </c>
      <c r="G19" s="1688">
        <f t="shared" si="4"/>
        <v>328057</v>
      </c>
      <c r="H19" s="1688">
        <f t="shared" si="4"/>
        <v>0</v>
      </c>
      <c r="I19" s="468"/>
      <c r="J19" s="1688">
        <f>SUM(J17:J18)</f>
        <v>534925</v>
      </c>
      <c r="K19" s="1688">
        <f>SUM(K17:K18)</f>
        <v>684932</v>
      </c>
      <c r="L19" s="347"/>
    </row>
    <row r="20" spans="1:12" ht="16.5" thickTop="1" thickBot="1" x14ac:dyDescent="0.25">
      <c r="A20" s="2130" t="s">
        <v>1655</v>
      </c>
      <c r="B20" s="2131"/>
      <c r="C20" s="1746">
        <f>C8-C17</f>
        <v>2217467</v>
      </c>
      <c r="D20" s="1746">
        <f t="shared" ref="D20:K20" si="5">D8-D17</f>
        <v>520914</v>
      </c>
      <c r="E20" s="1746">
        <f t="shared" si="5"/>
        <v>56501</v>
      </c>
      <c r="F20" s="1746">
        <f t="shared" si="5"/>
        <v>133347</v>
      </c>
      <c r="G20" s="1746">
        <f t="shared" si="5"/>
        <v>207155</v>
      </c>
      <c r="H20" s="1746">
        <f t="shared" si="5"/>
        <v>1482</v>
      </c>
      <c r="I20" s="1746">
        <f t="shared" si="5"/>
        <v>85024</v>
      </c>
      <c r="J20" s="1746">
        <f t="shared" si="5"/>
        <v>316727</v>
      </c>
      <c r="K20" s="1746">
        <f t="shared" si="5"/>
        <v>-599908</v>
      </c>
      <c r="L20" s="347"/>
    </row>
    <row r="21" spans="1:12" ht="16.7" customHeight="1" thickTop="1" x14ac:dyDescent="0.2">
      <c r="A21" s="2142" t="s">
        <v>595</v>
      </c>
      <c r="B21" s="2143"/>
      <c r="C21" s="1570"/>
      <c r="D21" s="1571"/>
      <c r="E21" s="1571"/>
      <c r="F21" s="1571"/>
      <c r="G21" s="1571"/>
      <c r="H21" s="1571"/>
      <c r="I21" s="1571"/>
      <c r="J21" s="1571"/>
      <c r="K21" s="1572"/>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v>350000</v>
      </c>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4" t="s">
        <v>374</v>
      </c>
      <c r="B44" s="2145"/>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350000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350000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0" t="s">
        <v>440</v>
      </c>
      <c r="B76" s="2121"/>
      <c r="C76" s="1703">
        <f t="shared" ref="C76:K76" si="7">SUM(C47:C75)</f>
        <v>0</v>
      </c>
      <c r="D76" s="1703">
        <f t="shared" si="7"/>
        <v>0</v>
      </c>
      <c r="E76" s="1703">
        <f t="shared" si="7"/>
        <v>0</v>
      </c>
      <c r="F76" s="1703">
        <f t="shared" si="7"/>
        <v>0</v>
      </c>
      <c r="G76" s="1703">
        <f t="shared" si="7"/>
        <v>0</v>
      </c>
      <c r="H76" s="1703">
        <f t="shared" si="7"/>
        <v>0</v>
      </c>
      <c r="I76" s="1703">
        <f t="shared" si="7"/>
        <v>350000</v>
      </c>
      <c r="J76" s="1703">
        <f t="shared" si="7"/>
        <v>0</v>
      </c>
      <c r="K76" s="1703">
        <f t="shared" si="7"/>
        <v>0</v>
      </c>
      <c r="L76" s="524"/>
    </row>
    <row r="77" spans="1:12" ht="14.25" thickTop="1" thickBot="1" x14ac:dyDescent="0.25">
      <c r="A77" s="2122" t="s">
        <v>1177</v>
      </c>
      <c r="B77" s="2123"/>
      <c r="C77" s="1703">
        <f t="shared" ref="C77:K77" si="8">C44-C76</f>
        <v>0</v>
      </c>
      <c r="D77" s="1703">
        <f t="shared" si="8"/>
        <v>0</v>
      </c>
      <c r="E77" s="1703">
        <f t="shared" si="8"/>
        <v>0</v>
      </c>
      <c r="F77" s="1703">
        <f t="shared" si="8"/>
        <v>0</v>
      </c>
      <c r="G77" s="1703">
        <f t="shared" si="8"/>
        <v>0</v>
      </c>
      <c r="H77" s="1703">
        <f t="shared" si="8"/>
        <v>0</v>
      </c>
      <c r="I77" s="1703">
        <f t="shared" si="8"/>
        <v>-350000</v>
      </c>
      <c r="J77" s="1703">
        <f t="shared" si="8"/>
        <v>0</v>
      </c>
      <c r="K77" s="1703">
        <f t="shared" si="8"/>
        <v>350000</v>
      </c>
      <c r="L77" s="347"/>
    </row>
    <row r="78" spans="1:12" ht="21.75" customHeight="1" thickTop="1" thickBot="1" x14ac:dyDescent="0.25">
      <c r="A78" s="2126" t="s">
        <v>597</v>
      </c>
      <c r="B78" s="2127"/>
      <c r="C78" s="1702">
        <f t="shared" ref="C78:K78" si="9">C20+C77</f>
        <v>2217467</v>
      </c>
      <c r="D78" s="1702">
        <f t="shared" si="9"/>
        <v>520914</v>
      </c>
      <c r="E78" s="1702">
        <f t="shared" si="9"/>
        <v>56501</v>
      </c>
      <c r="F78" s="1702">
        <f t="shared" si="9"/>
        <v>133347</v>
      </c>
      <c r="G78" s="1702">
        <f t="shared" si="9"/>
        <v>207155</v>
      </c>
      <c r="H78" s="1702">
        <f t="shared" si="9"/>
        <v>1482</v>
      </c>
      <c r="I78" s="1702">
        <f t="shared" si="9"/>
        <v>-264976</v>
      </c>
      <c r="J78" s="1702">
        <f t="shared" si="9"/>
        <v>316727</v>
      </c>
      <c r="K78" s="1702">
        <f t="shared" si="9"/>
        <v>-249908</v>
      </c>
      <c r="L78" s="533"/>
    </row>
    <row r="79" spans="1:12" ht="13.5" thickTop="1" x14ac:dyDescent="0.2">
      <c r="A79" s="1494" t="s">
        <v>1947</v>
      </c>
      <c r="B79" s="534"/>
      <c r="C79" s="478">
        <v>2632935</v>
      </c>
      <c r="D79" s="535">
        <v>129490</v>
      </c>
      <c r="E79" s="535">
        <v>3999</v>
      </c>
      <c r="F79" s="535">
        <v>193232</v>
      </c>
      <c r="G79" s="535">
        <v>167285</v>
      </c>
      <c r="H79" s="535">
        <v>1049</v>
      </c>
      <c r="I79" s="535">
        <v>404729</v>
      </c>
      <c r="J79" s="535">
        <v>332998</v>
      </c>
      <c r="K79" s="535">
        <v>342600</v>
      </c>
      <c r="L79" s="347"/>
    </row>
    <row r="80" spans="1:12" x14ac:dyDescent="0.2">
      <c r="A80" s="2132" t="s">
        <v>1795</v>
      </c>
      <c r="B80" s="2133"/>
      <c r="C80" s="467"/>
      <c r="D80" s="467"/>
      <c r="E80" s="467"/>
      <c r="F80" s="467"/>
      <c r="G80" s="467"/>
      <c r="H80" s="467"/>
      <c r="I80" s="467"/>
      <c r="J80" s="467"/>
      <c r="K80" s="467"/>
      <c r="L80" s="347"/>
    </row>
    <row r="81" spans="1:12" ht="13.5" thickBot="1" x14ac:dyDescent="0.25">
      <c r="A81" s="2124" t="s">
        <v>1948</v>
      </c>
      <c r="B81" s="2125"/>
      <c r="C81" s="1688">
        <f>(SUM(C78:C80))</f>
        <v>4850402</v>
      </c>
      <c r="D81" s="1688">
        <f>SUM(D78:D80)</f>
        <v>650404</v>
      </c>
      <c r="E81" s="1688">
        <f t="shared" ref="E81:K81" si="10">SUM(E78:E80)</f>
        <v>60500</v>
      </c>
      <c r="F81" s="1688">
        <f t="shared" si="10"/>
        <v>326579</v>
      </c>
      <c r="G81" s="1688">
        <f t="shared" si="10"/>
        <v>374440</v>
      </c>
      <c r="H81" s="1688">
        <f t="shared" si="10"/>
        <v>2531</v>
      </c>
      <c r="I81" s="1688">
        <f t="shared" si="10"/>
        <v>139753</v>
      </c>
      <c r="J81" s="1688">
        <f t="shared" si="10"/>
        <v>649725</v>
      </c>
      <c r="K81" s="1688">
        <f t="shared" si="10"/>
        <v>92692</v>
      </c>
      <c r="L81" s="347"/>
    </row>
    <row r="82" spans="1:12" ht="0.75" customHeight="1" thickTop="1" thickBot="1" x14ac:dyDescent="0.25">
      <c r="A82" s="536" t="s">
        <v>343</v>
      </c>
      <c r="B82" s="537"/>
      <c r="C82" s="538">
        <f>(C81-C79)</f>
        <v>2217467</v>
      </c>
      <c r="D82" s="538">
        <f t="shared" ref="D82:K82" si="11">(D81-D79)</f>
        <v>520914</v>
      </c>
      <c r="E82" s="538">
        <f t="shared" si="11"/>
        <v>56501</v>
      </c>
      <c r="F82" s="538">
        <f t="shared" si="11"/>
        <v>133347</v>
      </c>
      <c r="G82" s="538">
        <f t="shared" si="11"/>
        <v>207155</v>
      </c>
      <c r="H82" s="538">
        <f t="shared" si="11"/>
        <v>1482</v>
      </c>
      <c r="I82" s="538">
        <f t="shared" si="11"/>
        <v>-264976</v>
      </c>
      <c r="J82" s="538">
        <f t="shared" si="11"/>
        <v>316727</v>
      </c>
      <c r="K82" s="538">
        <f t="shared" si="11"/>
        <v>-249908</v>
      </c>
    </row>
    <row r="83" spans="1:12" ht="14.25" hidden="1" thickTop="1" thickBot="1" x14ac:dyDescent="0.25">
      <c r="A83" s="539" t="s">
        <v>344</v>
      </c>
      <c r="B83" s="464"/>
      <c r="C83" s="540">
        <f>C82/C81</f>
        <v>0.45717179730669749</v>
      </c>
      <c r="D83" s="540">
        <f t="shared" ref="D83:K83" si="12">D82/D81</f>
        <v>0.80090835849718023</v>
      </c>
      <c r="E83" s="540">
        <f t="shared" si="12"/>
        <v>0.93390082644628103</v>
      </c>
      <c r="F83" s="540">
        <f t="shared" si="12"/>
        <v>0.40831468036830293</v>
      </c>
      <c r="G83" s="540">
        <f t="shared" si="12"/>
        <v>0.55323950432646085</v>
      </c>
      <c r="H83" s="540">
        <f t="shared" si="12"/>
        <v>0.58553931252469382</v>
      </c>
      <c r="I83" s="540">
        <f t="shared" si="12"/>
        <v>-1.8960308544360407</v>
      </c>
      <c r="J83" s="540">
        <f t="shared" si="12"/>
        <v>0.48747854861672246</v>
      </c>
      <c r="K83" s="540">
        <f t="shared" si="12"/>
        <v>-2.6961118543132092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pane="bottomLeft" activeCell="C7" sqref="C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1802</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5355657</v>
      </c>
      <c r="D5" s="481">
        <v>1275159</v>
      </c>
      <c r="E5" s="466">
        <v>143638</v>
      </c>
      <c r="F5" s="548">
        <v>374051</v>
      </c>
      <c r="G5" s="466">
        <v>261822</v>
      </c>
      <c r="H5" s="466"/>
      <c r="I5" s="466">
        <v>85015</v>
      </c>
      <c r="J5" s="467">
        <v>850186</v>
      </c>
      <c r="K5" s="466">
        <v>85015</v>
      </c>
    </row>
    <row r="6" spans="1:12" ht="15" x14ac:dyDescent="0.2">
      <c r="A6" s="463" t="s">
        <v>1662</v>
      </c>
      <c r="B6" s="470">
        <v>1130</v>
      </c>
      <c r="C6" s="466">
        <v>85015</v>
      </c>
      <c r="D6" s="466"/>
      <c r="E6" s="475"/>
      <c r="F6" s="475"/>
      <c r="G6" s="468"/>
      <c r="H6" s="468"/>
      <c r="I6" s="468"/>
      <c r="J6" s="468"/>
      <c r="K6" s="468"/>
    </row>
    <row r="7" spans="1:12" x14ac:dyDescent="0.2">
      <c r="A7" s="463" t="s">
        <v>110</v>
      </c>
      <c r="B7" s="549">
        <v>1140</v>
      </c>
      <c r="C7" s="466">
        <v>85015</v>
      </c>
      <c r="D7" s="466"/>
      <c r="E7" s="468"/>
      <c r="F7" s="467"/>
      <c r="G7" s="467"/>
      <c r="H7" s="467"/>
      <c r="I7" s="468"/>
      <c r="J7" s="468"/>
      <c r="K7" s="468"/>
    </row>
    <row r="8" spans="1:12" x14ac:dyDescent="0.2">
      <c r="A8" s="463" t="s">
        <v>413</v>
      </c>
      <c r="B8" s="470">
        <v>1150</v>
      </c>
      <c r="C8" s="475"/>
      <c r="D8" s="475"/>
      <c r="E8" s="477"/>
      <c r="F8" s="477"/>
      <c r="G8" s="481">
        <v>261822</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5525687</v>
      </c>
      <c r="D12" s="1707">
        <f t="shared" si="0"/>
        <v>1275159</v>
      </c>
      <c r="E12" s="1707">
        <f t="shared" si="0"/>
        <v>143638</v>
      </c>
      <c r="F12" s="1707">
        <f t="shared" si="0"/>
        <v>374051</v>
      </c>
      <c r="G12" s="1707">
        <f t="shared" si="0"/>
        <v>523644</v>
      </c>
      <c r="H12" s="1707">
        <f t="shared" si="0"/>
        <v>0</v>
      </c>
      <c r="I12" s="1707">
        <f t="shared" si="0"/>
        <v>85015</v>
      </c>
      <c r="J12" s="1707">
        <f t="shared" si="0"/>
        <v>850186</v>
      </c>
      <c r="K12" s="1688">
        <f t="shared" si="0"/>
        <v>85015</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189032</v>
      </c>
      <c r="D16" s="466"/>
      <c r="E16" s="466"/>
      <c r="F16" s="466"/>
      <c r="G16" s="466">
        <v>9950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189032</v>
      </c>
      <c r="D18" s="1710">
        <f t="shared" ref="D18:K18" si="1">SUM(D14:D17)</f>
        <v>0</v>
      </c>
      <c r="E18" s="1710">
        <f t="shared" si="1"/>
        <v>0</v>
      </c>
      <c r="F18" s="1710">
        <f t="shared" si="1"/>
        <v>0</v>
      </c>
      <c r="G18" s="1710">
        <f t="shared" si="1"/>
        <v>9950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575</v>
      </c>
      <c r="D65" s="466">
        <v>132</v>
      </c>
      <c r="E65" s="466">
        <v>15</v>
      </c>
      <c r="F65" s="467">
        <v>39</v>
      </c>
      <c r="G65" s="466">
        <v>54</v>
      </c>
      <c r="H65" s="466"/>
      <c r="I65" s="466">
        <v>9</v>
      </c>
      <c r="J65" s="467">
        <v>90</v>
      </c>
      <c r="K65" s="466">
        <v>9</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575</v>
      </c>
      <c r="D67" s="1688">
        <f t="shared" ref="D67:K67" si="2">SUM(D65:D66)</f>
        <v>132</v>
      </c>
      <c r="E67" s="1688">
        <f t="shared" si="2"/>
        <v>15</v>
      </c>
      <c r="F67" s="1688">
        <f t="shared" si="2"/>
        <v>39</v>
      </c>
      <c r="G67" s="1688">
        <f t="shared" si="2"/>
        <v>54</v>
      </c>
      <c r="H67" s="1688">
        <f t="shared" si="2"/>
        <v>0</v>
      </c>
      <c r="I67" s="1688">
        <f t="shared" si="2"/>
        <v>9</v>
      </c>
      <c r="J67" s="1688">
        <f t="shared" si="2"/>
        <v>90</v>
      </c>
      <c r="K67" s="1688">
        <f t="shared" si="2"/>
        <v>9</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139140</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5815</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144955</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15134</v>
      </c>
      <c r="D77" s="466"/>
      <c r="E77" s="468"/>
      <c r="F77" s="468"/>
      <c r="G77" s="468"/>
      <c r="H77" s="468"/>
      <c r="I77" s="468"/>
      <c r="J77" s="468"/>
      <c r="K77" s="468"/>
    </row>
    <row r="78" spans="1:11" ht="12.75" customHeight="1" x14ac:dyDescent="0.2">
      <c r="A78" s="463" t="s">
        <v>76</v>
      </c>
      <c r="B78" s="470">
        <v>1719</v>
      </c>
      <c r="C78" s="551">
        <v>288</v>
      </c>
      <c r="D78" s="466"/>
      <c r="E78" s="468"/>
      <c r="F78" s="468"/>
      <c r="G78" s="468"/>
      <c r="H78" s="468"/>
      <c r="I78" s="468"/>
      <c r="J78" s="468"/>
      <c r="K78" s="468"/>
    </row>
    <row r="79" spans="1:11" ht="12.75" customHeight="1" x14ac:dyDescent="0.2">
      <c r="A79" s="463" t="s">
        <v>550</v>
      </c>
      <c r="B79" s="470">
        <v>1720</v>
      </c>
      <c r="C79" s="551">
        <v>12198</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27620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34460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34460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v>300</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1482</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5321</v>
      </c>
      <c r="D107" s="466">
        <v>131288</v>
      </c>
      <c r="E107" s="466"/>
      <c r="F107" s="466">
        <v>73</v>
      </c>
      <c r="G107" s="466"/>
      <c r="H107" s="466"/>
      <c r="I107" s="466"/>
      <c r="J107" s="467">
        <v>1376</v>
      </c>
      <c r="K107" s="466"/>
    </row>
    <row r="108" spans="1:12" ht="12.75" customHeight="1" thickBot="1" x14ac:dyDescent="0.25">
      <c r="A108" s="1708" t="s">
        <v>487</v>
      </c>
      <c r="B108" s="1712"/>
      <c r="C108" s="1707">
        <f>SUM(C95:C107)</f>
        <v>5621</v>
      </c>
      <c r="D108" s="1707">
        <f t="shared" ref="D108:K108" si="3">SUM(D95:D107)</f>
        <v>131288</v>
      </c>
      <c r="E108" s="1707">
        <f t="shared" si="3"/>
        <v>0</v>
      </c>
      <c r="F108" s="1707">
        <f t="shared" si="3"/>
        <v>73</v>
      </c>
      <c r="G108" s="1707">
        <f t="shared" si="3"/>
        <v>0</v>
      </c>
      <c r="H108" s="1707">
        <f t="shared" si="3"/>
        <v>1482</v>
      </c>
      <c r="I108" s="1707">
        <f t="shared" si="3"/>
        <v>0</v>
      </c>
      <c r="J108" s="1707">
        <f t="shared" si="3"/>
        <v>1376</v>
      </c>
      <c r="K108" s="1688">
        <f t="shared" si="3"/>
        <v>0</v>
      </c>
    </row>
    <row r="109" spans="1:12" ht="14.25" thickTop="1" thickBot="1" x14ac:dyDescent="0.25">
      <c r="A109" s="1713" t="s">
        <v>248</v>
      </c>
      <c r="B109" s="1714" t="s">
        <v>570</v>
      </c>
      <c r="C109" s="1715">
        <f t="shared" ref="C109:K109" si="4">SUM(C12,C18,C40,C63,C67,C75,C82,C93,C108,)</f>
        <v>5927950</v>
      </c>
      <c r="D109" s="1715">
        <f t="shared" si="4"/>
        <v>1406579</v>
      </c>
      <c r="E109" s="1715">
        <f t="shared" si="4"/>
        <v>143653</v>
      </c>
      <c r="F109" s="1715">
        <f t="shared" si="4"/>
        <v>374163</v>
      </c>
      <c r="G109" s="1715">
        <f t="shared" si="4"/>
        <v>533648</v>
      </c>
      <c r="H109" s="1715">
        <f t="shared" si="4"/>
        <v>1482</v>
      </c>
      <c r="I109" s="1715">
        <f t="shared" si="4"/>
        <v>85024</v>
      </c>
      <c r="J109" s="1715">
        <f t="shared" si="4"/>
        <v>851652</v>
      </c>
      <c r="K109" s="1702">
        <f t="shared" si="4"/>
        <v>85024</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2141182</v>
      </c>
      <c r="D117" s="481">
        <v>475818</v>
      </c>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v>588767</v>
      </c>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2729949</v>
      </c>
      <c r="D122" s="1707">
        <f t="shared" si="5"/>
        <v>475818</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29152</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29152</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4346</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4346</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2713</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9321</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232902</v>
      </c>
      <c r="G152" s="467"/>
      <c r="H152" s="468"/>
      <c r="I152" s="468"/>
      <c r="J152" s="468"/>
      <c r="K152" s="468"/>
    </row>
    <row r="153" spans="1:11" ht="12.75" customHeight="1" x14ac:dyDescent="0.2">
      <c r="A153" s="463" t="s">
        <v>1057</v>
      </c>
      <c r="B153" s="562">
        <v>3510</v>
      </c>
      <c r="C153" s="551"/>
      <c r="D153" s="466"/>
      <c r="E153" s="561"/>
      <c r="F153" s="466">
        <v>81813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314715</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91588</v>
      </c>
      <c r="D159" s="578"/>
      <c r="E159" s="561"/>
      <c r="F159" s="576">
        <v>15972</v>
      </c>
      <c r="G159" s="576">
        <v>1564</v>
      </c>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v>750</v>
      </c>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8" t="s">
        <v>398</v>
      </c>
      <c r="B169" s="2149"/>
      <c r="C169" s="1722">
        <f t="shared" ref="C169:K169" si="6">SUM(C132,C141,C145,C146:C150,C155,C156:C167,C168)</f>
        <v>137870</v>
      </c>
      <c r="D169" s="1722">
        <f t="shared" si="6"/>
        <v>0</v>
      </c>
      <c r="E169" s="1722">
        <f t="shared" si="6"/>
        <v>0</v>
      </c>
      <c r="F169" s="1722">
        <f t="shared" si="6"/>
        <v>330687</v>
      </c>
      <c r="G169" s="1722">
        <f t="shared" si="6"/>
        <v>1564</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2867819</v>
      </c>
      <c r="D170" s="1715">
        <f t="shared" si="7"/>
        <v>475818</v>
      </c>
      <c r="E170" s="1715">
        <f t="shared" si="7"/>
        <v>0</v>
      </c>
      <c r="F170" s="1715">
        <f t="shared" si="7"/>
        <v>330687</v>
      </c>
      <c r="G170" s="1715">
        <f t="shared" si="7"/>
        <v>1564</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4" t="s">
        <v>1665</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6" t="s">
        <v>785</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1803</v>
      </c>
      <c r="B182" s="215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151298</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40103</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191401</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79205</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2100</v>
      </c>
      <c r="D203" s="466"/>
      <c r="E203" s="468"/>
      <c r="F203" s="466"/>
      <c r="G203" s="466"/>
      <c r="H203" s="468"/>
      <c r="I203" s="468"/>
      <c r="J203" s="468"/>
      <c r="K203" s="468"/>
    </row>
    <row r="204" spans="1:11" ht="12.75" customHeight="1" thickBot="1" x14ac:dyDescent="0.25">
      <c r="A204" s="1708" t="s">
        <v>400</v>
      </c>
      <c r="B204" s="1709"/>
      <c r="C204" s="1707">
        <f>SUM(C200:C203)</f>
        <v>81305</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v>30567</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30567</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18289</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v>59137</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380699</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380699</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9176468</v>
      </c>
      <c r="D268" s="1715">
        <f t="shared" si="12"/>
        <v>1882397</v>
      </c>
      <c r="E268" s="1715">
        <f t="shared" si="12"/>
        <v>143653</v>
      </c>
      <c r="F268" s="1715">
        <f t="shared" si="12"/>
        <v>704850</v>
      </c>
      <c r="G268" s="1715">
        <f t="shared" si="12"/>
        <v>535212</v>
      </c>
      <c r="H268" s="1715">
        <f t="shared" si="12"/>
        <v>1482</v>
      </c>
      <c r="I268" s="1715">
        <f t="shared" si="12"/>
        <v>85024</v>
      </c>
      <c r="J268" s="1715">
        <f t="shared" si="12"/>
        <v>851652</v>
      </c>
      <c r="K268" s="1702">
        <f t="shared" si="12"/>
        <v>85024</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8" t="s">
        <v>297</v>
      </c>
      <c r="B3" s="2169"/>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2732581</v>
      </c>
      <c r="D5" s="466">
        <v>751281</v>
      </c>
      <c r="E5" s="466">
        <v>55221</v>
      </c>
      <c r="F5" s="466"/>
      <c r="G5" s="466">
        <v>9339</v>
      </c>
      <c r="H5" s="466"/>
      <c r="I5" s="467"/>
      <c r="J5" s="467"/>
      <c r="K5" s="1671">
        <f>SUM(C5:J5)</f>
        <v>3548422</v>
      </c>
      <c r="L5" s="466">
        <v>3440317</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73063</v>
      </c>
      <c r="D7" s="467">
        <v>23500</v>
      </c>
      <c r="E7" s="467">
        <v>103</v>
      </c>
      <c r="F7" s="467">
        <v>12707</v>
      </c>
      <c r="G7" s="467"/>
      <c r="H7" s="467"/>
      <c r="I7" s="467"/>
      <c r="J7" s="467"/>
      <c r="K7" s="1671">
        <f t="shared" ref="K7:K32" si="0">SUM(C7:J7)</f>
        <v>109373</v>
      </c>
      <c r="L7" s="466">
        <v>114662</v>
      </c>
    </row>
    <row r="8" spans="1:14" x14ac:dyDescent="0.2">
      <c r="A8" s="1504" t="s">
        <v>164</v>
      </c>
      <c r="B8" s="614">
        <v>1200</v>
      </c>
      <c r="C8" s="466">
        <v>681278</v>
      </c>
      <c r="D8" s="466">
        <v>200131</v>
      </c>
      <c r="E8" s="466"/>
      <c r="F8" s="466">
        <v>545</v>
      </c>
      <c r="G8" s="466"/>
      <c r="H8" s="466">
        <v>852</v>
      </c>
      <c r="I8" s="467"/>
      <c r="J8" s="467"/>
      <c r="K8" s="1671">
        <f t="shared" si="0"/>
        <v>882806</v>
      </c>
      <c r="L8" s="466">
        <v>912705</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78629</v>
      </c>
      <c r="D10" s="466">
        <v>25143</v>
      </c>
      <c r="E10" s="466">
        <v>11079</v>
      </c>
      <c r="F10" s="466">
        <v>9787</v>
      </c>
      <c r="G10" s="466"/>
      <c r="H10" s="466"/>
      <c r="I10" s="467"/>
      <c r="J10" s="467"/>
      <c r="K10" s="1671">
        <f t="shared" si="0"/>
        <v>124638</v>
      </c>
      <c r="L10" s="466">
        <v>93461</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60002</v>
      </c>
      <c r="D14" s="466">
        <v>4432</v>
      </c>
      <c r="E14" s="466">
        <v>32122</v>
      </c>
      <c r="F14" s="466">
        <v>34725</v>
      </c>
      <c r="G14" s="466">
        <v>3643</v>
      </c>
      <c r="H14" s="466">
        <v>11731</v>
      </c>
      <c r="I14" s="467"/>
      <c r="J14" s="467"/>
      <c r="K14" s="1671">
        <f t="shared" si="0"/>
        <v>146655</v>
      </c>
      <c r="L14" s="466">
        <v>191275</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v>13861</v>
      </c>
      <c r="H17" s="467"/>
      <c r="I17" s="467"/>
      <c r="J17" s="467"/>
      <c r="K17" s="1671">
        <f t="shared" si="0"/>
        <v>13861</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3625553</v>
      </c>
      <c r="D33" s="1670">
        <f t="shared" ref="D33:L33" si="1">SUM(D5:D32)</f>
        <v>1004487</v>
      </c>
      <c r="E33" s="1670">
        <f t="shared" si="1"/>
        <v>98525</v>
      </c>
      <c r="F33" s="1670">
        <f t="shared" si="1"/>
        <v>57764</v>
      </c>
      <c r="G33" s="1670">
        <f t="shared" si="1"/>
        <v>26843</v>
      </c>
      <c r="H33" s="1670">
        <f t="shared" si="1"/>
        <v>12583</v>
      </c>
      <c r="I33" s="1670">
        <f t="shared" si="1"/>
        <v>0</v>
      </c>
      <c r="J33" s="1670">
        <f t="shared" si="1"/>
        <v>0</v>
      </c>
      <c r="K33" s="1670">
        <f t="shared" si="1"/>
        <v>4825755</v>
      </c>
      <c r="L33" s="1670">
        <f t="shared" si="1"/>
        <v>4752420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61191</v>
      </c>
      <c r="D37" s="466">
        <v>7303</v>
      </c>
      <c r="E37" s="466"/>
      <c r="F37" s="466"/>
      <c r="G37" s="466"/>
      <c r="H37" s="466"/>
      <c r="I37" s="467"/>
      <c r="J37" s="467"/>
      <c r="K37" s="1671">
        <f t="shared" si="2"/>
        <v>68494</v>
      </c>
      <c r="L37" s="466">
        <v>63776</v>
      </c>
    </row>
    <row r="38" spans="1:14" x14ac:dyDescent="0.2">
      <c r="A38" s="1504" t="s">
        <v>198</v>
      </c>
      <c r="B38" s="614">
        <v>2130</v>
      </c>
      <c r="C38" s="466">
        <v>255</v>
      </c>
      <c r="D38" s="466"/>
      <c r="E38" s="466"/>
      <c r="F38" s="466">
        <v>1069</v>
      </c>
      <c r="G38" s="466">
        <v>75</v>
      </c>
      <c r="H38" s="466"/>
      <c r="I38" s="467"/>
      <c r="J38" s="467"/>
      <c r="K38" s="1671">
        <f t="shared" si="2"/>
        <v>1399</v>
      </c>
      <c r="L38" s="466">
        <v>3000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v>65223</v>
      </c>
      <c r="D41" s="466">
        <v>6173</v>
      </c>
      <c r="E41" s="466"/>
      <c r="F41" s="466"/>
      <c r="G41" s="466"/>
      <c r="H41" s="466"/>
      <c r="I41" s="467"/>
      <c r="J41" s="467"/>
      <c r="K41" s="1671">
        <f t="shared" si="2"/>
        <v>71396</v>
      </c>
      <c r="L41" s="466">
        <v>57611</v>
      </c>
    </row>
    <row r="42" spans="1:14" ht="12.75" customHeight="1" thickBot="1" x14ac:dyDescent="0.25">
      <c r="A42" s="1668" t="s">
        <v>560</v>
      </c>
      <c r="B42" s="1669" t="s">
        <v>716</v>
      </c>
      <c r="C42" s="1670">
        <f>SUM(C36:C41)</f>
        <v>126669</v>
      </c>
      <c r="D42" s="1670">
        <f t="shared" ref="D42:L42" si="3">SUM(D36:D41)</f>
        <v>13476</v>
      </c>
      <c r="E42" s="1670">
        <f t="shared" si="3"/>
        <v>0</v>
      </c>
      <c r="F42" s="1670">
        <f t="shared" si="3"/>
        <v>1069</v>
      </c>
      <c r="G42" s="1670">
        <f t="shared" si="3"/>
        <v>75</v>
      </c>
      <c r="H42" s="1670">
        <f t="shared" si="3"/>
        <v>0</v>
      </c>
      <c r="I42" s="1670">
        <f t="shared" si="3"/>
        <v>0</v>
      </c>
      <c r="J42" s="1670">
        <f t="shared" si="3"/>
        <v>0</v>
      </c>
      <c r="K42" s="1670">
        <f t="shared" si="3"/>
        <v>141289</v>
      </c>
      <c r="L42" s="1670">
        <f t="shared" si="3"/>
        <v>124387</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11655</v>
      </c>
      <c r="D44" s="481">
        <v>4200</v>
      </c>
      <c r="E44" s="481">
        <v>23077</v>
      </c>
      <c r="F44" s="481"/>
      <c r="G44" s="481"/>
      <c r="H44" s="481"/>
      <c r="I44" s="467"/>
      <c r="J44" s="467"/>
      <c r="K44" s="1672">
        <f>SUM(C44:J44)</f>
        <v>38932</v>
      </c>
      <c r="L44" s="481">
        <v>42764</v>
      </c>
    </row>
    <row r="45" spans="1:14" x14ac:dyDescent="0.2">
      <c r="A45" s="1504" t="s">
        <v>815</v>
      </c>
      <c r="B45" s="614">
        <v>2220</v>
      </c>
      <c r="C45" s="466">
        <v>72519</v>
      </c>
      <c r="D45" s="466">
        <v>18609</v>
      </c>
      <c r="E45" s="466">
        <v>2900</v>
      </c>
      <c r="F45" s="466">
        <v>1099</v>
      </c>
      <c r="G45" s="466"/>
      <c r="H45" s="466">
        <v>2060</v>
      </c>
      <c r="I45" s="467"/>
      <c r="J45" s="467"/>
      <c r="K45" s="1672">
        <f>SUM(C45:J45)</f>
        <v>97187</v>
      </c>
      <c r="L45" s="466">
        <v>102101</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84174</v>
      </c>
      <c r="D47" s="1670">
        <f t="shared" ref="D47:K47" si="4">SUM(D44:D46)</f>
        <v>22809</v>
      </c>
      <c r="E47" s="1670">
        <f t="shared" si="4"/>
        <v>25977</v>
      </c>
      <c r="F47" s="1670">
        <f t="shared" si="4"/>
        <v>1099</v>
      </c>
      <c r="G47" s="1670">
        <f t="shared" si="4"/>
        <v>0</v>
      </c>
      <c r="H47" s="1670">
        <f t="shared" si="4"/>
        <v>2060</v>
      </c>
      <c r="I47" s="1670">
        <f t="shared" si="4"/>
        <v>0</v>
      </c>
      <c r="J47" s="1670">
        <f t="shared" si="4"/>
        <v>0</v>
      </c>
      <c r="K47" s="1670">
        <f t="shared" si="4"/>
        <v>136119</v>
      </c>
      <c r="L47" s="1670">
        <f>SUM(L44:L46)</f>
        <v>144865</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5683</v>
      </c>
      <c r="D49" s="481">
        <v>2736</v>
      </c>
      <c r="E49" s="481">
        <v>25156</v>
      </c>
      <c r="F49" s="481">
        <v>299</v>
      </c>
      <c r="G49" s="481"/>
      <c r="H49" s="481">
        <v>6361</v>
      </c>
      <c r="I49" s="467"/>
      <c r="J49" s="467"/>
      <c r="K49" s="1672">
        <f>SUM(C49:J49)</f>
        <v>40235</v>
      </c>
      <c r="L49" s="481">
        <v>49195</v>
      </c>
    </row>
    <row r="50" spans="1:14" x14ac:dyDescent="0.2">
      <c r="A50" s="1504" t="s">
        <v>818</v>
      </c>
      <c r="B50" s="614">
        <v>2320</v>
      </c>
      <c r="C50" s="466">
        <v>101529</v>
      </c>
      <c r="D50" s="466">
        <v>34751</v>
      </c>
      <c r="E50" s="466">
        <v>3252</v>
      </c>
      <c r="F50" s="466">
        <v>5523</v>
      </c>
      <c r="G50" s="466"/>
      <c r="H50" s="466">
        <v>4336</v>
      </c>
      <c r="I50" s="467"/>
      <c r="J50" s="467"/>
      <c r="K50" s="1672">
        <f>SUM(C50:J50)</f>
        <v>149391</v>
      </c>
      <c r="L50" s="466">
        <v>141875</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107212</v>
      </c>
      <c r="D53" s="1670">
        <f t="shared" ref="D53:L53" si="5">SUM(D49:D52)</f>
        <v>37487</v>
      </c>
      <c r="E53" s="1670">
        <f t="shared" si="5"/>
        <v>28408</v>
      </c>
      <c r="F53" s="1670">
        <f t="shared" si="5"/>
        <v>5822</v>
      </c>
      <c r="G53" s="1670">
        <f t="shared" si="5"/>
        <v>0</v>
      </c>
      <c r="H53" s="1670">
        <f t="shared" si="5"/>
        <v>10697</v>
      </c>
      <c r="I53" s="1670">
        <f t="shared" si="5"/>
        <v>0</v>
      </c>
      <c r="J53" s="1670">
        <f t="shared" si="5"/>
        <v>0</v>
      </c>
      <c r="K53" s="1670">
        <f t="shared" si="5"/>
        <v>189626</v>
      </c>
      <c r="L53" s="1670">
        <f t="shared" si="5"/>
        <v>191070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286814</v>
      </c>
      <c r="D55" s="481">
        <v>67326</v>
      </c>
      <c r="E55" s="481">
        <v>30785</v>
      </c>
      <c r="F55" s="481">
        <v>402812</v>
      </c>
      <c r="G55" s="481"/>
      <c r="H55" s="481">
        <v>4248</v>
      </c>
      <c r="I55" s="467"/>
      <c r="J55" s="467"/>
      <c r="K55" s="1672">
        <f>SUM(C55:J55)</f>
        <v>791985</v>
      </c>
      <c r="L55" s="481">
        <v>756990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286814</v>
      </c>
      <c r="D57" s="1674">
        <f t="shared" ref="D57:K57" si="6">SUM(D55:D56)</f>
        <v>67326</v>
      </c>
      <c r="E57" s="1674">
        <f t="shared" si="6"/>
        <v>30785</v>
      </c>
      <c r="F57" s="1674">
        <f t="shared" si="6"/>
        <v>402812</v>
      </c>
      <c r="G57" s="1674">
        <f t="shared" si="6"/>
        <v>0</v>
      </c>
      <c r="H57" s="1674">
        <f t="shared" si="6"/>
        <v>4248</v>
      </c>
      <c r="I57" s="1674">
        <f t="shared" si="6"/>
        <v>0</v>
      </c>
      <c r="J57" s="1674">
        <f t="shared" si="6"/>
        <v>0</v>
      </c>
      <c r="K57" s="1674">
        <f t="shared" si="6"/>
        <v>791985</v>
      </c>
      <c r="L57" s="1670">
        <f>SUM(L55:L56)</f>
        <v>756990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c r="D60" s="466"/>
      <c r="E60" s="466">
        <v>3161</v>
      </c>
      <c r="F60" s="466">
        <v>307</v>
      </c>
      <c r="G60" s="466"/>
      <c r="H60" s="466"/>
      <c r="I60" s="467"/>
      <c r="J60" s="467"/>
      <c r="K60" s="1672">
        <f t="shared" si="7"/>
        <v>3468</v>
      </c>
      <c r="L60" s="466">
        <v>4000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103996</v>
      </c>
      <c r="D63" s="466">
        <v>17997</v>
      </c>
      <c r="E63" s="466">
        <v>29118</v>
      </c>
      <c r="F63" s="466">
        <v>227887</v>
      </c>
      <c r="G63" s="466">
        <v>50</v>
      </c>
      <c r="H63" s="466">
        <v>2042</v>
      </c>
      <c r="I63" s="467"/>
      <c r="J63" s="467"/>
      <c r="K63" s="1672">
        <f t="shared" si="7"/>
        <v>381090</v>
      </c>
      <c r="L63" s="466">
        <v>399658</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103996</v>
      </c>
      <c r="D65" s="1670">
        <f t="shared" ref="D65:L65" si="8">SUM(D59:D64)</f>
        <v>17997</v>
      </c>
      <c r="E65" s="1670">
        <f t="shared" si="8"/>
        <v>32279</v>
      </c>
      <c r="F65" s="1670">
        <f t="shared" si="8"/>
        <v>228194</v>
      </c>
      <c r="G65" s="1670">
        <f t="shared" si="8"/>
        <v>50</v>
      </c>
      <c r="H65" s="1670">
        <f t="shared" si="8"/>
        <v>2042</v>
      </c>
      <c r="I65" s="1670">
        <f t="shared" si="8"/>
        <v>0</v>
      </c>
      <c r="J65" s="1670">
        <f t="shared" si="8"/>
        <v>0</v>
      </c>
      <c r="K65" s="1670">
        <f t="shared" si="8"/>
        <v>384558</v>
      </c>
      <c r="L65" s="1670">
        <f t="shared" si="8"/>
        <v>403658</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v>46954</v>
      </c>
      <c r="D69" s="466">
        <v>11974</v>
      </c>
      <c r="E69" s="466"/>
      <c r="F69" s="466"/>
      <c r="G69" s="466"/>
      <c r="H69" s="466"/>
      <c r="I69" s="467"/>
      <c r="J69" s="467"/>
      <c r="K69" s="1672">
        <f>SUM(C69:J69)</f>
        <v>58928</v>
      </c>
      <c r="L69" s="466">
        <v>50978</v>
      </c>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46954</v>
      </c>
      <c r="D72" s="1670">
        <f t="shared" ref="D72:K72" si="9">SUM(D67:D71)</f>
        <v>11974</v>
      </c>
      <c r="E72" s="1670">
        <f t="shared" si="9"/>
        <v>0</v>
      </c>
      <c r="F72" s="1670">
        <f t="shared" si="9"/>
        <v>0</v>
      </c>
      <c r="G72" s="1670">
        <f t="shared" si="9"/>
        <v>0</v>
      </c>
      <c r="H72" s="1670">
        <f t="shared" si="9"/>
        <v>0</v>
      </c>
      <c r="I72" s="1670">
        <f t="shared" si="9"/>
        <v>0</v>
      </c>
      <c r="J72" s="1670">
        <f t="shared" si="9"/>
        <v>0</v>
      </c>
      <c r="K72" s="1670">
        <f t="shared" si="9"/>
        <v>58928</v>
      </c>
      <c r="L72" s="1670">
        <f>SUM(L67:L71)</f>
        <v>50978</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755819</v>
      </c>
      <c r="D74" s="1677">
        <f t="shared" ref="D74:K74" si="10">SUM(D42,D47,D53,D57,D65,D72,D73)</f>
        <v>171069</v>
      </c>
      <c r="E74" s="1677">
        <f t="shared" si="10"/>
        <v>117449</v>
      </c>
      <c r="F74" s="1677">
        <f t="shared" si="10"/>
        <v>638996</v>
      </c>
      <c r="G74" s="1677">
        <f t="shared" si="10"/>
        <v>125</v>
      </c>
      <c r="H74" s="1677">
        <f t="shared" si="10"/>
        <v>19047</v>
      </c>
      <c r="I74" s="1677">
        <f t="shared" si="10"/>
        <v>0</v>
      </c>
      <c r="J74" s="1677">
        <f t="shared" si="10"/>
        <v>0</v>
      </c>
      <c r="K74" s="1677">
        <f t="shared" si="10"/>
        <v>1702505</v>
      </c>
      <c r="L74" s="1677">
        <f>SUM(L42,L47,L53,L57,L65,L72,L73)</f>
        <v>1671948</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398118</v>
      </c>
      <c r="F79" s="616"/>
      <c r="G79" s="616"/>
      <c r="H79" s="466"/>
      <c r="I79" s="477"/>
      <c r="J79" s="477"/>
      <c r="K79" s="1671">
        <f t="shared" si="11"/>
        <v>398118</v>
      </c>
      <c r="L79" s="466">
        <v>489761</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v>32623</v>
      </c>
      <c r="F81" s="616"/>
      <c r="G81" s="616"/>
      <c r="H81" s="466"/>
      <c r="I81" s="477"/>
      <c r="J81" s="477"/>
      <c r="K81" s="1671">
        <f t="shared" si="11"/>
        <v>32623</v>
      </c>
      <c r="L81" s="466">
        <v>35485</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430741</v>
      </c>
      <c r="F84" s="616"/>
      <c r="G84" s="616"/>
      <c r="H84" s="1670">
        <f>SUM(H78:H83)</f>
        <v>0</v>
      </c>
      <c r="I84" s="477"/>
      <c r="J84" s="477"/>
      <c r="K84" s="1670">
        <f>SUM(K78:K83)</f>
        <v>430741</v>
      </c>
      <c r="L84" s="1670">
        <f>SUM(L78:L83)</f>
        <v>525246</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430741</v>
      </c>
      <c r="F102" s="616"/>
      <c r="G102" s="616"/>
      <c r="H102" s="1677">
        <f>SUM(H84,H92,H100,H101)</f>
        <v>0</v>
      </c>
      <c r="I102" s="477"/>
      <c r="J102" s="477"/>
      <c r="K102" s="1677">
        <f>SUM(K84,K92,K100,K101)</f>
        <v>430741</v>
      </c>
      <c r="L102" s="1677">
        <f>SUM(L84,L92,L100,L101)</f>
        <v>525246</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4381372</v>
      </c>
      <c r="D114" s="1670">
        <f t="shared" ref="D114:K114" si="13">SUM(D33,D74,D75,D102,D112,D113)</f>
        <v>1175556</v>
      </c>
      <c r="E114" s="1670">
        <f t="shared" si="13"/>
        <v>646715</v>
      </c>
      <c r="F114" s="1670">
        <f t="shared" si="13"/>
        <v>696760</v>
      </c>
      <c r="G114" s="1670">
        <f t="shared" si="13"/>
        <v>26968</v>
      </c>
      <c r="H114" s="1670">
        <f>SUM(H33,H74,H75,H102,H112,H113)</f>
        <v>31630</v>
      </c>
      <c r="I114" s="1670">
        <f t="shared" si="13"/>
        <v>0</v>
      </c>
      <c r="J114" s="1670">
        <f t="shared" si="13"/>
        <v>0</v>
      </c>
      <c r="K114" s="1670">
        <f t="shared" si="13"/>
        <v>6959001</v>
      </c>
      <c r="L114" s="1670">
        <f>SUM(L33,L74,L75,L102,L112,L113)</f>
        <v>6949614</v>
      </c>
    </row>
    <row r="115" spans="1:14" ht="13.5" thickTop="1" x14ac:dyDescent="0.2">
      <c r="A115" s="2160" t="s">
        <v>996</v>
      </c>
      <c r="B115" s="2161"/>
      <c r="C115" s="618"/>
      <c r="D115" s="618"/>
      <c r="E115" s="618"/>
      <c r="F115" s="618"/>
      <c r="G115" s="618"/>
      <c r="H115" s="618"/>
      <c r="I115" s="618"/>
      <c r="J115" s="618"/>
      <c r="K115" s="1684">
        <f>'Revenues 9-14'!C268-'Expenditures 15-22'!K114</f>
        <v>2217467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5" t="s">
        <v>296</v>
      </c>
      <c r="B117" s="2166"/>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v>28775</v>
      </c>
      <c r="F123" s="466"/>
      <c r="G123" s="466"/>
      <c r="H123" s="466"/>
      <c r="I123" s="467"/>
      <c r="J123" s="467"/>
      <c r="K123" s="1670">
        <f>SUM(C123:J123)</f>
        <v>28775</v>
      </c>
      <c r="L123" s="466">
        <v>15000</v>
      </c>
    </row>
    <row r="124" spans="1:14" ht="14.25" thickTop="1" thickBot="1" x14ac:dyDescent="0.25">
      <c r="A124" s="1504" t="s">
        <v>197</v>
      </c>
      <c r="B124" s="614">
        <v>2540</v>
      </c>
      <c r="C124" s="466">
        <v>241054</v>
      </c>
      <c r="D124" s="466">
        <v>72366</v>
      </c>
      <c r="E124" s="466">
        <v>223089</v>
      </c>
      <c r="F124" s="466">
        <v>246288</v>
      </c>
      <c r="G124" s="466">
        <v>549431</v>
      </c>
      <c r="H124" s="466">
        <v>480</v>
      </c>
      <c r="I124" s="467"/>
      <c r="J124" s="467"/>
      <c r="K124" s="1670">
        <f>SUM(C124:J124)</f>
        <v>1332708</v>
      </c>
      <c r="L124" s="466">
        <v>1234596</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241054</v>
      </c>
      <c r="D127" s="1670">
        <f t="shared" ref="D127:L127" si="14">SUM(D122:D126)</f>
        <v>72366</v>
      </c>
      <c r="E127" s="1670">
        <f t="shared" si="14"/>
        <v>251864</v>
      </c>
      <c r="F127" s="1670">
        <f t="shared" si="14"/>
        <v>246288</v>
      </c>
      <c r="G127" s="1670">
        <f t="shared" si="14"/>
        <v>549431</v>
      </c>
      <c r="H127" s="1670">
        <f t="shared" si="14"/>
        <v>480</v>
      </c>
      <c r="I127" s="1670">
        <f t="shared" si="14"/>
        <v>0</v>
      </c>
      <c r="J127" s="1670">
        <f t="shared" si="14"/>
        <v>0</v>
      </c>
      <c r="K127" s="1670">
        <f t="shared" si="14"/>
        <v>1361483</v>
      </c>
      <c r="L127" s="1670">
        <f t="shared" si="14"/>
        <v>1249596</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241054</v>
      </c>
      <c r="D129" s="1677">
        <f t="shared" ref="D129:L129" si="15">SUM(D120,D127,D128)</f>
        <v>72366</v>
      </c>
      <c r="E129" s="1677">
        <f t="shared" si="15"/>
        <v>251864</v>
      </c>
      <c r="F129" s="1677">
        <f t="shared" si="15"/>
        <v>246288</v>
      </c>
      <c r="G129" s="1677">
        <f t="shared" si="15"/>
        <v>549431</v>
      </c>
      <c r="H129" s="1677">
        <f t="shared" si="15"/>
        <v>480</v>
      </c>
      <c r="I129" s="1677">
        <f t="shared" si="15"/>
        <v>0</v>
      </c>
      <c r="J129" s="1677">
        <f t="shared" si="15"/>
        <v>0</v>
      </c>
      <c r="K129" s="1677">
        <f t="shared" si="15"/>
        <v>1361483</v>
      </c>
      <c r="L129" s="1677">
        <f t="shared" si="15"/>
        <v>1249596</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7" t="s">
        <v>620</v>
      </c>
      <c r="B151" s="2157"/>
      <c r="C151" s="1670">
        <f>SUM(C129,C130,C139,C149,C150)</f>
        <v>241054</v>
      </c>
      <c r="D151" s="1670">
        <f t="shared" ref="D151:K151" si="16">SUM(D129,D130,D139,D149,D150)</f>
        <v>72366</v>
      </c>
      <c r="E151" s="1670">
        <f t="shared" si="16"/>
        <v>251864</v>
      </c>
      <c r="F151" s="1670">
        <f t="shared" si="16"/>
        <v>246288</v>
      </c>
      <c r="G151" s="1670">
        <f t="shared" si="16"/>
        <v>549431</v>
      </c>
      <c r="H151" s="1670">
        <f t="shared" si="16"/>
        <v>480</v>
      </c>
      <c r="I151" s="1670">
        <f t="shared" si="16"/>
        <v>0</v>
      </c>
      <c r="J151" s="1670">
        <f t="shared" si="16"/>
        <v>0</v>
      </c>
      <c r="K151" s="1670">
        <f t="shared" si="16"/>
        <v>1361483</v>
      </c>
      <c r="L151" s="1670">
        <f>SUM(L129,L130,L139,L149,L150)</f>
        <v>1249596</v>
      </c>
    </row>
    <row r="152" spans="1:14" ht="12.75" customHeight="1" thickTop="1" x14ac:dyDescent="0.2">
      <c r="A152" s="2180" t="s">
        <v>1178</v>
      </c>
      <c r="B152" s="2181"/>
      <c r="C152" s="618"/>
      <c r="D152" s="618"/>
      <c r="E152" s="618"/>
      <c r="F152" s="618"/>
      <c r="G152" s="618"/>
      <c r="H152" s="618"/>
      <c r="I152" s="618"/>
      <c r="J152" s="616"/>
      <c r="K152" s="1684">
        <f>'Revenues 9-14'!D268-'Expenditures 15-22'!K151</f>
        <v>520914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5" t="s">
        <v>621</v>
      </c>
      <c r="B154" s="2167"/>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v>86652</v>
      </c>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86652</v>
      </c>
    </row>
    <row r="169" spans="1:14" ht="15.75" customHeight="1" thickTop="1" x14ac:dyDescent="0.2">
      <c r="A169" s="669" t="s">
        <v>83</v>
      </c>
      <c r="B169" s="670" t="s">
        <v>38</v>
      </c>
      <c r="C169" s="616"/>
      <c r="D169" s="616"/>
      <c r="E169" s="616"/>
      <c r="F169" s="616"/>
      <c r="G169" s="616"/>
      <c r="H169" s="656">
        <v>26652</v>
      </c>
      <c r="I169" s="616"/>
      <c r="J169" s="616"/>
      <c r="K169" s="1671">
        <f>SUM(C169:H169)</f>
        <v>26652</v>
      </c>
      <c r="L169" s="656"/>
    </row>
    <row r="170" spans="1:14" ht="33.75" customHeight="1" x14ac:dyDescent="0.2">
      <c r="A170" s="669" t="s">
        <v>1670</v>
      </c>
      <c r="B170" s="671" t="s">
        <v>31</v>
      </c>
      <c r="C170" s="616"/>
      <c r="D170" s="616"/>
      <c r="E170" s="616"/>
      <c r="F170" s="616"/>
      <c r="G170" s="616"/>
      <c r="H170" s="569">
        <v>60000</v>
      </c>
      <c r="I170" s="616"/>
      <c r="J170" s="616"/>
      <c r="K170" s="1671">
        <f>SUM(C170:J170)</f>
        <v>60000</v>
      </c>
      <c r="L170" s="569"/>
    </row>
    <row r="171" spans="1:14" ht="15.75" customHeight="1" x14ac:dyDescent="0.2">
      <c r="A171" s="621" t="s">
        <v>766</v>
      </c>
      <c r="B171" s="672" t="s">
        <v>84</v>
      </c>
      <c r="C171" s="616"/>
      <c r="D171" s="616"/>
      <c r="E171" s="466"/>
      <c r="F171" s="616"/>
      <c r="G171" s="616"/>
      <c r="H171" s="569">
        <v>500</v>
      </c>
      <c r="I171" s="477"/>
      <c r="J171" s="616"/>
      <c r="K171" s="1671">
        <f>SUM(C171:J171)</f>
        <v>500</v>
      </c>
      <c r="L171" s="569"/>
    </row>
    <row r="172" spans="1:14" ht="12.75" customHeight="1" thickBot="1" x14ac:dyDescent="0.25">
      <c r="A172" s="1668" t="s">
        <v>638</v>
      </c>
      <c r="B172" s="1669" t="s">
        <v>492</v>
      </c>
      <c r="C172" s="616"/>
      <c r="D172" s="616"/>
      <c r="E172" s="1677">
        <f>SUM(E168,E169,E170,E171)</f>
        <v>0</v>
      </c>
      <c r="F172" s="616"/>
      <c r="G172" s="616"/>
      <c r="H172" s="1677">
        <f>SUM(H168,H169,H170,H171)</f>
        <v>87152</v>
      </c>
      <c r="I172" s="638"/>
      <c r="J172" s="616"/>
      <c r="K172" s="1677">
        <f>SUM(K168,K169,K170,K171)</f>
        <v>87152</v>
      </c>
      <c r="L172" s="1677">
        <f>SUM(L168,L169,L170,L171)</f>
        <v>86652</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87152</v>
      </c>
      <c r="I174" s="638"/>
      <c r="J174" s="616"/>
      <c r="K174" s="1677">
        <f>SUM(K160,K172,K173)</f>
        <v>87152</v>
      </c>
      <c r="L174" s="1677">
        <f>SUM(L160,L172,L173)</f>
        <v>86652</v>
      </c>
    </row>
    <row r="175" spans="1:14" ht="13.5" thickTop="1" x14ac:dyDescent="0.2">
      <c r="A175" s="2160" t="s">
        <v>996</v>
      </c>
      <c r="B175" s="2161"/>
      <c r="C175" s="616"/>
      <c r="D175" s="616"/>
      <c r="E175" s="616"/>
      <c r="F175" s="616"/>
      <c r="G175" s="616"/>
      <c r="H175" s="618"/>
      <c r="I175" s="616"/>
      <c r="J175" s="616"/>
      <c r="K175" s="1684">
        <f>'Revenues 9-14'!E268-'Expenditures 15-22'!K174</f>
        <v>56501</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191483</v>
      </c>
      <c r="D182" s="466">
        <v>32157</v>
      </c>
      <c r="E182" s="466">
        <v>65285</v>
      </c>
      <c r="F182" s="466">
        <v>67526</v>
      </c>
      <c r="G182" s="466">
        <v>211850</v>
      </c>
      <c r="H182" s="466">
        <v>3202</v>
      </c>
      <c r="I182" s="467"/>
      <c r="J182" s="467"/>
      <c r="K182" s="1671">
        <f>SUM(C182:J182)</f>
        <v>571503</v>
      </c>
      <c r="L182" s="466">
        <v>583055</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191483</v>
      </c>
      <c r="D184" s="1677">
        <f t="shared" ref="D184:J184" si="17">SUM(D180,D182,D183)</f>
        <v>32157</v>
      </c>
      <c r="E184" s="1677">
        <f t="shared" si="17"/>
        <v>65285</v>
      </c>
      <c r="F184" s="1677">
        <f t="shared" si="17"/>
        <v>67526</v>
      </c>
      <c r="G184" s="1677">
        <f t="shared" si="17"/>
        <v>211850</v>
      </c>
      <c r="H184" s="1677">
        <f t="shared" si="17"/>
        <v>3202</v>
      </c>
      <c r="I184" s="1677">
        <f t="shared" si="17"/>
        <v>0</v>
      </c>
      <c r="J184" s="1677">
        <f t="shared" si="17"/>
        <v>0</v>
      </c>
      <c r="K184" s="1677">
        <f>SUM(K180,K182,K183)</f>
        <v>571503</v>
      </c>
      <c r="L184" s="1677">
        <f>SUM(L180, L182:L183)</f>
        <v>583055</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191483</v>
      </c>
      <c r="D210" s="1670">
        <f>SUM(D184,D185)</f>
        <v>32157</v>
      </c>
      <c r="E210" s="1670">
        <f>SUM(E184,E185,E196)</f>
        <v>65285</v>
      </c>
      <c r="F210" s="1670">
        <f>SUM(F184,F185)</f>
        <v>67526</v>
      </c>
      <c r="G210" s="1670">
        <f>SUM(G184,G185)</f>
        <v>211850</v>
      </c>
      <c r="H210" s="1670">
        <f>SUM(H184,H185,H196,H208,H209)</f>
        <v>3202</v>
      </c>
      <c r="I210" s="1670">
        <f>SUM(I184,I185)</f>
        <v>0</v>
      </c>
      <c r="J210" s="1670">
        <f>SUM(J184,J185)</f>
        <v>0</v>
      </c>
      <c r="K210" s="1671">
        <f>SUM(K184,K185,K196,K208,K209)</f>
        <v>571503</v>
      </c>
      <c r="L210" s="1670">
        <f>SUM(L184,L185,L196,L208,L209)</f>
        <v>583055</v>
      </c>
    </row>
    <row r="211" spans="1:14" ht="13.5" thickTop="1" x14ac:dyDescent="0.2">
      <c r="A211" s="2160" t="s">
        <v>996</v>
      </c>
      <c r="B211" s="2161"/>
      <c r="C211" s="618"/>
      <c r="D211" s="618"/>
      <c r="E211" s="618"/>
      <c r="F211" s="618"/>
      <c r="G211" s="618"/>
      <c r="H211" s="618"/>
      <c r="I211" s="616"/>
      <c r="J211" s="616"/>
      <c r="K211" s="1684">
        <f>'Revenues 9-14'!F268-'Expenditures 15-22'!K210</f>
        <v>133347</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2" t="s">
        <v>965</v>
      </c>
      <c r="B213" s="2183"/>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38231</v>
      </c>
      <c r="E215" s="616"/>
      <c r="F215" s="616"/>
      <c r="G215" s="616"/>
      <c r="H215" s="616"/>
      <c r="I215" s="616"/>
      <c r="J215" s="616"/>
      <c r="K215" s="1671">
        <f>D215</f>
        <v>38231</v>
      </c>
      <c r="L215" s="466">
        <v>37923</v>
      </c>
    </row>
    <row r="216" spans="1:14" x14ac:dyDescent="0.2">
      <c r="A216" s="1504" t="s">
        <v>163</v>
      </c>
      <c r="B216" s="614" t="s">
        <v>967</v>
      </c>
      <c r="C216" s="616"/>
      <c r="D216" s="467">
        <v>5821</v>
      </c>
      <c r="E216" s="616"/>
      <c r="F216" s="616"/>
      <c r="G216" s="616"/>
      <c r="H216" s="616"/>
      <c r="I216" s="616"/>
      <c r="J216" s="616"/>
      <c r="K216" s="1671">
        <f t="shared" ref="K216:K228" si="19">D216</f>
        <v>5821</v>
      </c>
      <c r="L216" s="466">
        <v>5877</v>
      </c>
    </row>
    <row r="217" spans="1:14" x14ac:dyDescent="0.2">
      <c r="A217" s="1504" t="s">
        <v>164</v>
      </c>
      <c r="B217" s="614">
        <v>1200</v>
      </c>
      <c r="C217" s="616"/>
      <c r="D217" s="466">
        <v>88037</v>
      </c>
      <c r="E217" s="616"/>
      <c r="F217" s="616"/>
      <c r="G217" s="616"/>
      <c r="H217" s="616"/>
      <c r="I217" s="616"/>
      <c r="J217" s="616"/>
      <c r="K217" s="1671">
        <f t="shared" si="19"/>
        <v>88037</v>
      </c>
      <c r="L217" s="466">
        <v>96038</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809</v>
      </c>
      <c r="E219" s="616"/>
      <c r="F219" s="616"/>
      <c r="G219" s="616"/>
      <c r="H219" s="616"/>
      <c r="I219" s="616"/>
      <c r="J219" s="616"/>
      <c r="K219" s="1671">
        <f t="shared" si="19"/>
        <v>809</v>
      </c>
      <c r="L219" s="466">
        <v>979</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2700</v>
      </c>
      <c r="E223" s="616"/>
      <c r="F223" s="616"/>
      <c r="G223" s="616"/>
      <c r="H223" s="616"/>
      <c r="I223" s="616"/>
      <c r="J223" s="616"/>
      <c r="K223" s="1671">
        <f t="shared" si="19"/>
        <v>2700</v>
      </c>
      <c r="L223" s="466">
        <v>3120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135598</v>
      </c>
      <c r="E229" s="616"/>
      <c r="F229" s="616"/>
      <c r="G229" s="616"/>
      <c r="H229" s="616"/>
      <c r="I229" s="616"/>
      <c r="J229" s="616"/>
      <c r="K229" s="1670">
        <f>SUM(K215:K228)</f>
        <v>135598</v>
      </c>
      <c r="L229" s="1670">
        <f>SUM(L215:L228)</f>
        <v>143937</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887</v>
      </c>
      <c r="E233" s="616"/>
      <c r="F233" s="616"/>
      <c r="G233" s="616"/>
      <c r="H233" s="616"/>
      <c r="I233" s="616"/>
      <c r="J233" s="616"/>
      <c r="K233" s="1671">
        <f t="shared" si="20"/>
        <v>887</v>
      </c>
      <c r="L233" s="466">
        <v>849</v>
      </c>
    </row>
    <row r="234" spans="1:12" x14ac:dyDescent="0.2">
      <c r="A234" s="1504" t="s">
        <v>198</v>
      </c>
      <c r="B234" s="614">
        <v>2130</v>
      </c>
      <c r="C234" s="616"/>
      <c r="D234" s="466">
        <v>19</v>
      </c>
      <c r="E234" s="616"/>
      <c r="F234" s="616"/>
      <c r="G234" s="616"/>
      <c r="H234" s="616"/>
      <c r="I234" s="616"/>
      <c r="J234" s="616"/>
      <c r="K234" s="1671">
        <f t="shared" si="20"/>
        <v>19</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v>1866</v>
      </c>
      <c r="E237" s="616"/>
      <c r="F237" s="616"/>
      <c r="G237" s="616"/>
      <c r="H237" s="616"/>
      <c r="I237" s="616"/>
      <c r="J237" s="616"/>
      <c r="K237" s="1671">
        <f t="shared" si="20"/>
        <v>1866</v>
      </c>
      <c r="L237" s="466">
        <v>1814</v>
      </c>
    </row>
    <row r="238" spans="1:12" ht="12.75" customHeight="1" thickBot="1" x14ac:dyDescent="0.25">
      <c r="A238" s="1668" t="s">
        <v>560</v>
      </c>
      <c r="B238" s="1675" t="s">
        <v>716</v>
      </c>
      <c r="C238" s="616"/>
      <c r="D238" s="1670">
        <f>SUM(D232:D237)</f>
        <v>2772</v>
      </c>
      <c r="E238" s="616"/>
      <c r="F238" s="616"/>
      <c r="G238" s="616"/>
      <c r="H238" s="616"/>
      <c r="I238" s="616"/>
      <c r="J238" s="616"/>
      <c r="K238" s="1670">
        <f>SUM(K232:K237)</f>
        <v>2772</v>
      </c>
      <c r="L238" s="1670">
        <f>SUM(L232:L237)</f>
        <v>2663</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2752</v>
      </c>
      <c r="E240" s="616"/>
      <c r="F240" s="616"/>
      <c r="G240" s="616"/>
      <c r="H240" s="616"/>
      <c r="I240" s="616"/>
      <c r="J240" s="616"/>
      <c r="K240" s="1672">
        <f>D240</f>
        <v>2752</v>
      </c>
      <c r="L240" s="481">
        <v>2407</v>
      </c>
    </row>
    <row r="241" spans="1:12" x14ac:dyDescent="0.2">
      <c r="A241" s="1504" t="s">
        <v>815</v>
      </c>
      <c r="B241" s="614">
        <v>2220</v>
      </c>
      <c r="C241" s="616"/>
      <c r="D241" s="466">
        <v>14439</v>
      </c>
      <c r="E241" s="616"/>
      <c r="F241" s="616"/>
      <c r="G241" s="616"/>
      <c r="H241" s="616"/>
      <c r="I241" s="616"/>
      <c r="J241" s="616"/>
      <c r="K241" s="1672">
        <f>D241</f>
        <v>14439</v>
      </c>
      <c r="L241" s="466">
        <v>15781</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17191</v>
      </c>
      <c r="E243" s="616"/>
      <c r="F243" s="616"/>
      <c r="G243" s="616"/>
      <c r="H243" s="616"/>
      <c r="I243" s="616"/>
      <c r="J243" s="616"/>
      <c r="K243" s="1670">
        <f>SUM(K240:K242)</f>
        <v>17191</v>
      </c>
      <c r="L243" s="1670">
        <f>SUM(L240:L242)</f>
        <v>18188</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471</v>
      </c>
      <c r="E245" s="616"/>
      <c r="F245" s="616"/>
      <c r="G245" s="616"/>
      <c r="H245" s="616"/>
      <c r="I245" s="616"/>
      <c r="J245" s="616"/>
      <c r="K245" s="1672">
        <f>D245</f>
        <v>471</v>
      </c>
      <c r="L245" s="481">
        <v>581</v>
      </c>
    </row>
    <row r="246" spans="1:12" x14ac:dyDescent="0.2">
      <c r="A246" s="1504" t="s">
        <v>818</v>
      </c>
      <c r="B246" s="614">
        <v>2320</v>
      </c>
      <c r="C246" s="616"/>
      <c r="D246" s="466">
        <v>12336</v>
      </c>
      <c r="E246" s="616"/>
      <c r="F246" s="616"/>
      <c r="G246" s="616"/>
      <c r="H246" s="616"/>
      <c r="I246" s="616"/>
      <c r="J246" s="616"/>
      <c r="K246" s="1672">
        <f t="shared" ref="K246:K256" si="21">D246</f>
        <v>12336</v>
      </c>
      <c r="L246" s="466">
        <v>12022</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21709</v>
      </c>
      <c r="E254" s="616"/>
      <c r="F254" s="616"/>
      <c r="G254" s="616"/>
      <c r="H254" s="616"/>
      <c r="I254" s="616"/>
      <c r="J254" s="616"/>
      <c r="K254" s="1672">
        <f t="shared" si="21"/>
        <v>21709</v>
      </c>
      <c r="L254" s="466">
        <v>21931</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34516</v>
      </c>
      <c r="E257" s="616"/>
      <c r="F257" s="616"/>
      <c r="G257" s="616"/>
      <c r="H257" s="616"/>
      <c r="I257" s="616"/>
      <c r="J257" s="616"/>
      <c r="K257" s="1670">
        <f>SUM(K245:K256)</f>
        <v>34516</v>
      </c>
      <c r="L257" s="1670">
        <f>SUM(L245:L256)</f>
        <v>34534</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16980</v>
      </c>
      <c r="E259" s="616"/>
      <c r="F259" s="616"/>
      <c r="G259" s="616"/>
      <c r="H259" s="616"/>
      <c r="I259" s="616"/>
      <c r="J259" s="616"/>
      <c r="K259" s="1672">
        <f>D259</f>
        <v>16980</v>
      </c>
      <c r="L259" s="481">
        <v>17503</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16980</v>
      </c>
      <c r="E261" s="616"/>
      <c r="F261" s="616"/>
      <c r="G261" s="616"/>
      <c r="H261" s="616"/>
      <c r="I261" s="616"/>
      <c r="J261" s="616"/>
      <c r="K261" s="1670">
        <f>SUM(K259:K260)</f>
        <v>16980</v>
      </c>
      <c r="L261" s="1670">
        <f>SUM(L259:L260)</f>
        <v>17503</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59339</v>
      </c>
      <c r="E266" s="616"/>
      <c r="F266" s="616"/>
      <c r="G266" s="616"/>
      <c r="H266" s="616"/>
      <c r="I266" s="616"/>
      <c r="J266" s="616"/>
      <c r="K266" s="1672">
        <f t="shared" si="22"/>
        <v>59339</v>
      </c>
      <c r="L266" s="466">
        <v>60185</v>
      </c>
    </row>
    <row r="267" spans="1:14" x14ac:dyDescent="0.2">
      <c r="A267" s="1504" t="s">
        <v>953</v>
      </c>
      <c r="B267" s="614">
        <v>2550</v>
      </c>
      <c r="C267" s="616"/>
      <c r="D267" s="466">
        <v>33226</v>
      </c>
      <c r="E267" s="616"/>
      <c r="F267" s="616"/>
      <c r="G267" s="616"/>
      <c r="H267" s="616"/>
      <c r="I267" s="616"/>
      <c r="J267" s="616"/>
      <c r="K267" s="1672">
        <f t="shared" si="22"/>
        <v>33226</v>
      </c>
      <c r="L267" s="466">
        <v>34508</v>
      </c>
    </row>
    <row r="268" spans="1:14" x14ac:dyDescent="0.2">
      <c r="A268" s="1504" t="s">
        <v>100</v>
      </c>
      <c r="B268" s="614">
        <v>2560</v>
      </c>
      <c r="C268" s="616"/>
      <c r="D268" s="466">
        <v>18969</v>
      </c>
      <c r="E268" s="616"/>
      <c r="F268" s="616"/>
      <c r="G268" s="616"/>
      <c r="H268" s="616"/>
      <c r="I268" s="616"/>
      <c r="J268" s="616"/>
      <c r="K268" s="1672">
        <f t="shared" si="22"/>
        <v>18969</v>
      </c>
      <c r="L268" s="466">
        <v>22715</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111534</v>
      </c>
      <c r="E270" s="616"/>
      <c r="F270" s="616"/>
      <c r="G270" s="616"/>
      <c r="H270" s="616"/>
      <c r="I270" s="616"/>
      <c r="J270" s="616"/>
      <c r="K270" s="1670">
        <f>SUM(K263:K269)</f>
        <v>111534</v>
      </c>
      <c r="L270" s="1670">
        <f>SUM(L263:L269)</f>
        <v>117408</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v>8255</v>
      </c>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v>9466</v>
      </c>
      <c r="E276" s="616"/>
      <c r="F276" s="616"/>
      <c r="G276" s="616"/>
      <c r="H276" s="616"/>
      <c r="I276" s="616"/>
      <c r="J276" s="616"/>
      <c r="K276" s="1672">
        <f>D276</f>
        <v>9466</v>
      </c>
      <c r="L276" s="466"/>
    </row>
    <row r="277" spans="1:12" ht="12.75" customHeight="1" thickBot="1" x14ac:dyDescent="0.25">
      <c r="A277" s="1691" t="s">
        <v>37</v>
      </c>
      <c r="B277" s="1669" t="s">
        <v>36</v>
      </c>
      <c r="C277" s="616"/>
      <c r="D277" s="1670">
        <f>SUM(D272:D276)</f>
        <v>9466</v>
      </c>
      <c r="E277" s="616"/>
      <c r="F277" s="616"/>
      <c r="G277" s="616"/>
      <c r="H277" s="616"/>
      <c r="I277" s="616"/>
      <c r="J277" s="616"/>
      <c r="K277" s="1670">
        <f>SUM(K272:K276)</f>
        <v>9466</v>
      </c>
      <c r="L277" s="1670">
        <f>SUM(L272:L276)</f>
        <v>8255</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192459</v>
      </c>
      <c r="E279" s="616"/>
      <c r="F279" s="616"/>
      <c r="G279" s="616"/>
      <c r="H279" s="616"/>
      <c r="I279" s="616"/>
      <c r="J279" s="616"/>
      <c r="K279" s="1677">
        <f>SUM(K238,K243,K257,K261,K270,K277,K278)</f>
        <v>192459</v>
      </c>
      <c r="L279" s="1677">
        <f>SUM(L238,L243,L257,L261,L270,L277,L278)</f>
        <v>198551</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8" t="s">
        <v>505</v>
      </c>
      <c r="B295" s="2179"/>
      <c r="C295" s="616"/>
      <c r="D295" s="1670">
        <f>SUM(D229,D279,D280,D285)</f>
        <v>328057</v>
      </c>
      <c r="E295" s="616"/>
      <c r="F295" s="616"/>
      <c r="G295" s="616"/>
      <c r="H295" s="1670">
        <f>H293</f>
        <v>0</v>
      </c>
      <c r="I295" s="616"/>
      <c r="J295" s="616"/>
      <c r="K295" s="1670">
        <f>SUM(K229,K279,K280,K285,K293,K294)</f>
        <v>328057</v>
      </c>
      <c r="L295" s="1670">
        <f>SUM(L229,L279,L280,L285,L293,L294)</f>
        <v>342488</v>
      </c>
    </row>
    <row r="296" spans="1:14" ht="13.5" thickTop="1" x14ac:dyDescent="0.2">
      <c r="A296" s="2160" t="s">
        <v>996</v>
      </c>
      <c r="B296" s="2161"/>
      <c r="C296" s="616"/>
      <c r="D296" s="618"/>
      <c r="E296" s="616"/>
      <c r="F296" s="616"/>
      <c r="G296" s="616"/>
      <c r="H296" s="687"/>
      <c r="I296" s="616"/>
      <c r="J296" s="616"/>
      <c r="K296" s="1684">
        <f>'Revenues 9-14'!G268-'Expenditures 15-22'!K295</f>
        <v>207155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0" t="s">
        <v>143</v>
      </c>
      <c r="B298" s="2164"/>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5" t="s">
        <v>277</v>
      </c>
      <c r="B312" s="2176"/>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71" t="s">
        <v>996</v>
      </c>
      <c r="B313" s="2172"/>
      <c r="C313" s="626"/>
      <c r="D313" s="626"/>
      <c r="E313" s="626"/>
      <c r="F313" s="626"/>
      <c r="G313" s="626"/>
      <c r="H313" s="626"/>
      <c r="I313" s="626"/>
      <c r="J313" s="626"/>
      <c r="K313" s="1685">
        <f>'Revenues 9-14'!H268-'Expenditures 15-22'!K312</f>
        <v>1482</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4" t="s">
        <v>149</v>
      </c>
      <c r="B315" s="2185"/>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6" t="s">
        <v>898</v>
      </c>
      <c r="B317" s="2185"/>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43057</v>
      </c>
      <c r="F320" s="467"/>
      <c r="G320" s="467"/>
      <c r="H320" s="467"/>
      <c r="I320" s="467"/>
      <c r="J320" s="467"/>
      <c r="K320" s="1671">
        <f t="shared" ref="K320:K327" si="24">SUM(C320:J320)</f>
        <v>43057</v>
      </c>
      <c r="L320" s="467">
        <v>53851</v>
      </c>
      <c r="M320" s="665"/>
      <c r="N320" s="665"/>
    </row>
    <row r="321" spans="1:14" s="674" customFormat="1" x14ac:dyDescent="0.2">
      <c r="A321" s="1519" t="s">
        <v>300</v>
      </c>
      <c r="B321" s="697" t="s">
        <v>283</v>
      </c>
      <c r="C321" s="467"/>
      <c r="D321" s="467"/>
      <c r="E321" s="467">
        <v>303</v>
      </c>
      <c r="F321" s="467"/>
      <c r="G321" s="467"/>
      <c r="H321" s="467"/>
      <c r="I321" s="467"/>
      <c r="J321" s="467"/>
      <c r="K321" s="1671">
        <f t="shared" si="24"/>
        <v>303</v>
      </c>
      <c r="L321" s="467">
        <v>5000</v>
      </c>
      <c r="M321" s="665"/>
      <c r="N321" s="665"/>
    </row>
    <row r="322" spans="1:14" s="674" customFormat="1" x14ac:dyDescent="0.2">
      <c r="A322" s="1519" t="s">
        <v>238</v>
      </c>
      <c r="B322" s="697" t="s">
        <v>284</v>
      </c>
      <c r="C322" s="467"/>
      <c r="D322" s="467"/>
      <c r="E322" s="467">
        <v>66378</v>
      </c>
      <c r="F322" s="467"/>
      <c r="G322" s="467"/>
      <c r="H322" s="467"/>
      <c r="I322" s="467"/>
      <c r="J322" s="467"/>
      <c r="K322" s="1671">
        <f t="shared" si="24"/>
        <v>66378</v>
      </c>
      <c r="L322" s="467">
        <v>74594</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349175</v>
      </c>
      <c r="D325" s="467">
        <v>70512</v>
      </c>
      <c r="E325" s="467">
        <v>5500</v>
      </c>
      <c r="F325" s="467"/>
      <c r="G325" s="467"/>
      <c r="H325" s="467"/>
      <c r="I325" s="467"/>
      <c r="J325" s="467"/>
      <c r="K325" s="1671">
        <f t="shared" si="24"/>
        <v>425187</v>
      </c>
      <c r="L325" s="467">
        <v>376716</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349175</v>
      </c>
      <c r="D330" s="1670">
        <f t="shared" ref="D330:J330" si="25">SUM(D319:D329)</f>
        <v>70512</v>
      </c>
      <c r="E330" s="1670">
        <f t="shared" si="25"/>
        <v>115238</v>
      </c>
      <c r="F330" s="1670">
        <f t="shared" si="25"/>
        <v>0</v>
      </c>
      <c r="G330" s="1670">
        <f t="shared" si="25"/>
        <v>0</v>
      </c>
      <c r="H330" s="1670">
        <f t="shared" si="25"/>
        <v>0</v>
      </c>
      <c r="I330" s="1670">
        <f t="shared" si="25"/>
        <v>0</v>
      </c>
      <c r="J330" s="1670">
        <f t="shared" si="25"/>
        <v>0</v>
      </c>
      <c r="K330" s="1670">
        <f>SUM(K319:K329)</f>
        <v>534925</v>
      </c>
      <c r="L330" s="1670">
        <f>SUM(L319:L329)</f>
        <v>510161</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349175</v>
      </c>
      <c r="D342" s="1670">
        <f>SUM(D330)</f>
        <v>70512</v>
      </c>
      <c r="E342" s="1670">
        <f>SUM(E330)</f>
        <v>115238</v>
      </c>
      <c r="F342" s="1670">
        <f>SUM(F330)</f>
        <v>0</v>
      </c>
      <c r="G342" s="1670">
        <f>SUM(G330)</f>
        <v>0</v>
      </c>
      <c r="H342" s="1670">
        <f>SUM(H330,H334,H340)</f>
        <v>0</v>
      </c>
      <c r="I342" s="1670">
        <f>SUM(I330)</f>
        <v>0</v>
      </c>
      <c r="J342" s="1670">
        <f>SUM(J330)</f>
        <v>0</v>
      </c>
      <c r="K342" s="1670">
        <f>SUM(K330,K334,K340)</f>
        <v>534925</v>
      </c>
      <c r="L342" s="1677">
        <f>SUM(L330,L334,L340,L341)</f>
        <v>510161</v>
      </c>
    </row>
    <row r="343" spans="1:14" ht="12.75" customHeight="1" thickTop="1" x14ac:dyDescent="0.2">
      <c r="A343" s="2173" t="s">
        <v>996</v>
      </c>
      <c r="B343" s="2174"/>
      <c r="C343" s="616"/>
      <c r="D343" s="616"/>
      <c r="E343" s="616"/>
      <c r="F343" s="616"/>
      <c r="G343" s="616"/>
      <c r="H343" s="616"/>
      <c r="I343" s="616"/>
      <c r="J343" s="616"/>
      <c r="K343" s="1684">
        <f>'Revenues 9-14'!J268-'Expenditures 15-22'!K342</f>
        <v>316727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3" t="s">
        <v>966</v>
      </c>
      <c r="B345" s="2164"/>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684932</v>
      </c>
      <c r="F348" s="466"/>
      <c r="G348" s="466"/>
      <c r="H348" s="466"/>
      <c r="I348" s="467"/>
      <c r="J348" s="467"/>
      <c r="K348" s="1671">
        <f>SUM(C348:J348)</f>
        <v>684932</v>
      </c>
      <c r="L348" s="466"/>
    </row>
    <row r="349" spans="1:14" x14ac:dyDescent="0.2">
      <c r="A349" s="1504" t="s">
        <v>197</v>
      </c>
      <c r="B349" s="614">
        <v>2540</v>
      </c>
      <c r="C349" s="466"/>
      <c r="D349" s="466"/>
      <c r="E349" s="466"/>
      <c r="F349" s="466"/>
      <c r="G349" s="466"/>
      <c r="H349" s="466"/>
      <c r="I349" s="467"/>
      <c r="J349" s="467"/>
      <c r="K349" s="1671">
        <f>SUM(C349:J349)</f>
        <v>0</v>
      </c>
      <c r="L349" s="466">
        <v>729000</v>
      </c>
    </row>
    <row r="350" spans="1:14" ht="12.75" customHeight="1" thickBot="1" x14ac:dyDescent="0.25">
      <c r="A350" s="1668" t="s">
        <v>719</v>
      </c>
      <c r="B350" s="1669" t="s">
        <v>35</v>
      </c>
      <c r="C350" s="1670">
        <f>SUM(C348:C349)</f>
        <v>0</v>
      </c>
      <c r="D350" s="1670">
        <f t="shared" ref="D350:L350" si="26">SUM(D348:D349)</f>
        <v>0</v>
      </c>
      <c r="E350" s="1670">
        <f t="shared" si="26"/>
        <v>684932</v>
      </c>
      <c r="F350" s="1670">
        <f t="shared" si="26"/>
        <v>0</v>
      </c>
      <c r="G350" s="1670">
        <f t="shared" si="26"/>
        <v>0</v>
      </c>
      <c r="H350" s="1670">
        <f t="shared" si="26"/>
        <v>0</v>
      </c>
      <c r="I350" s="1670">
        <f t="shared" si="26"/>
        <v>0</v>
      </c>
      <c r="J350" s="1670">
        <f t="shared" si="26"/>
        <v>0</v>
      </c>
      <c r="K350" s="1670">
        <f t="shared" si="26"/>
        <v>684932</v>
      </c>
      <c r="L350" s="1670">
        <f t="shared" si="26"/>
        <v>729000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684932</v>
      </c>
      <c r="F352" s="1670">
        <f t="shared" si="27"/>
        <v>0</v>
      </c>
      <c r="G352" s="1670">
        <f t="shared" si="27"/>
        <v>0</v>
      </c>
      <c r="H352" s="1670">
        <f t="shared" si="27"/>
        <v>0</v>
      </c>
      <c r="I352" s="1670">
        <f t="shared" si="27"/>
        <v>0</v>
      </c>
      <c r="J352" s="1670">
        <f t="shared" si="27"/>
        <v>0</v>
      </c>
      <c r="K352" s="1670">
        <f t="shared" si="27"/>
        <v>684932</v>
      </c>
      <c r="L352" s="1670">
        <f t="shared" si="27"/>
        <v>729000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684932</v>
      </c>
      <c r="F367" s="1670">
        <f t="shared" si="28"/>
        <v>0</v>
      </c>
      <c r="G367" s="1670">
        <f t="shared" si="28"/>
        <v>0</v>
      </c>
      <c r="H367" s="1670">
        <f t="shared" si="28"/>
        <v>0</v>
      </c>
      <c r="I367" s="1670">
        <f t="shared" si="28"/>
        <v>0</v>
      </c>
      <c r="J367" s="1670">
        <f t="shared" si="28"/>
        <v>0</v>
      </c>
      <c r="K367" s="1670">
        <f t="shared" si="28"/>
        <v>684932</v>
      </c>
      <c r="L367" s="1670">
        <f t="shared" si="28"/>
        <v>729000</v>
      </c>
    </row>
    <row r="368" spans="1:14" ht="13.5" thickTop="1" x14ac:dyDescent="0.2">
      <c r="A368" s="2160" t="s">
        <v>996</v>
      </c>
      <c r="B368" s="2161"/>
      <c r="C368" s="654"/>
      <c r="D368" s="654"/>
      <c r="E368" s="626"/>
      <c r="F368" s="626"/>
      <c r="G368" s="626"/>
      <c r="H368" s="626"/>
      <c r="I368" s="626"/>
      <c r="J368" s="623"/>
      <c r="K368" s="1671">
        <f>'Revenues 9-14'!K268-'Expenditures 15-22'!K367</f>
        <v>-599908</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1802</v>
      </c>
      <c r="B2" s="1528" t="s">
        <v>1949</v>
      </c>
      <c r="C2" s="714" t="s">
        <v>1950</v>
      </c>
      <c r="D2" s="714" t="s">
        <v>1951</v>
      </c>
      <c r="E2" s="714" t="s">
        <v>1952</v>
      </c>
      <c r="F2" s="714" t="s">
        <v>1953</v>
      </c>
    </row>
    <row r="3" spans="1:6" ht="12" customHeight="1" x14ac:dyDescent="0.2">
      <c r="A3" s="2188"/>
      <c r="B3" s="1525"/>
      <c r="C3" s="1526"/>
      <c r="D3" s="1527" t="s">
        <v>256</v>
      </c>
      <c r="E3" s="1526"/>
      <c r="F3" s="1527" t="s">
        <v>257</v>
      </c>
    </row>
    <row r="4" spans="1:6" ht="13.7" customHeight="1" x14ac:dyDescent="0.2">
      <c r="A4" s="715" t="s">
        <v>1155</v>
      </c>
      <c r="B4" s="1749">
        <f>'Revenues 9-14'!C5</f>
        <v>5355657</v>
      </c>
      <c r="C4" s="1524">
        <v>2065210</v>
      </c>
      <c r="D4" s="1752">
        <f>B4-C4</f>
        <v>3290447</v>
      </c>
      <c r="E4" s="1524">
        <v>3426327</v>
      </c>
      <c r="F4" s="1752">
        <f>E4-C4</f>
        <v>1361117</v>
      </c>
    </row>
    <row r="5" spans="1:6" ht="13.7" customHeight="1" x14ac:dyDescent="0.2">
      <c r="A5" s="715" t="s">
        <v>870</v>
      </c>
      <c r="B5" s="1750">
        <f>'Revenues 9-14'!D5</f>
        <v>1275159</v>
      </c>
      <c r="C5" s="585">
        <v>491720</v>
      </c>
      <c r="D5" s="1753">
        <f t="shared" ref="D5:D18" si="0">B5-C5</f>
        <v>783439</v>
      </c>
      <c r="E5" s="585">
        <v>815799</v>
      </c>
      <c r="F5" s="1753">
        <f>E5-C5</f>
        <v>324079</v>
      </c>
    </row>
    <row r="6" spans="1:6" ht="13.7" customHeight="1" x14ac:dyDescent="0.2">
      <c r="A6" s="715" t="s">
        <v>411</v>
      </c>
      <c r="B6" s="1750">
        <f>'Revenues 9-14'!E5</f>
        <v>143638</v>
      </c>
      <c r="C6" s="585">
        <v>51596</v>
      </c>
      <c r="D6" s="1753">
        <f t="shared" si="0"/>
        <v>92042</v>
      </c>
      <c r="E6" s="585">
        <v>87829</v>
      </c>
      <c r="F6" s="1753">
        <f t="shared" ref="F6:F18" si="1">E6-C6</f>
        <v>36233</v>
      </c>
    </row>
    <row r="7" spans="1:6" ht="13.7" customHeight="1" x14ac:dyDescent="0.2">
      <c r="A7" s="715" t="s">
        <v>155</v>
      </c>
      <c r="B7" s="1750">
        <f>'Revenues 9-14'!F5</f>
        <v>374051</v>
      </c>
      <c r="C7" s="585">
        <v>144241</v>
      </c>
      <c r="D7" s="1753">
        <f t="shared" si="0"/>
        <v>229810</v>
      </c>
      <c r="E7" s="585">
        <v>239303</v>
      </c>
      <c r="F7" s="1753">
        <f t="shared" si="1"/>
        <v>95062</v>
      </c>
    </row>
    <row r="8" spans="1:6" ht="13.7" customHeight="1" x14ac:dyDescent="0.2">
      <c r="A8" s="715" t="s">
        <v>1179</v>
      </c>
      <c r="B8" s="1750">
        <f>'Revenues 9-14'!G5</f>
        <v>261822</v>
      </c>
      <c r="C8" s="585">
        <v>102468</v>
      </c>
      <c r="D8" s="1753">
        <f t="shared" si="0"/>
        <v>159354</v>
      </c>
      <c r="E8" s="585">
        <v>170003</v>
      </c>
      <c r="F8" s="1753">
        <f t="shared" si="1"/>
        <v>67535</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85015</v>
      </c>
      <c r="C10" s="585">
        <v>32786</v>
      </c>
      <c r="D10" s="1753">
        <f t="shared" si="0"/>
        <v>52229</v>
      </c>
      <c r="E10" s="585">
        <v>54392</v>
      </c>
      <c r="F10" s="1753">
        <f t="shared" si="1"/>
        <v>21606</v>
      </c>
    </row>
    <row r="11" spans="1:6" x14ac:dyDescent="0.2">
      <c r="A11" s="715" t="s">
        <v>409</v>
      </c>
      <c r="B11" s="1750">
        <f>'Revenues 9-14'!J5</f>
        <v>850186</v>
      </c>
      <c r="C11" s="585">
        <v>317508</v>
      </c>
      <c r="D11" s="1753">
        <f t="shared" si="0"/>
        <v>532678</v>
      </c>
      <c r="E11" s="585">
        <v>526765</v>
      </c>
      <c r="F11" s="1753">
        <f t="shared" si="1"/>
        <v>209257</v>
      </c>
    </row>
    <row r="12" spans="1:6" ht="13.7" customHeight="1" x14ac:dyDescent="0.2">
      <c r="A12" s="715" t="s">
        <v>157</v>
      </c>
      <c r="B12" s="1750">
        <f>'Revenues 9-14'!K5</f>
        <v>85015</v>
      </c>
      <c r="C12" s="585">
        <v>32786</v>
      </c>
      <c r="D12" s="1753">
        <f t="shared" si="0"/>
        <v>52229</v>
      </c>
      <c r="E12" s="585">
        <v>54392</v>
      </c>
      <c r="F12" s="1753">
        <f t="shared" si="1"/>
        <v>21606</v>
      </c>
    </row>
    <row r="13" spans="1:6" ht="13.7" customHeight="1" x14ac:dyDescent="0.2">
      <c r="A13" s="715" t="s">
        <v>936</v>
      </c>
      <c r="B13" s="1750">
        <f>SUM('Revenues 9-14'!C6:D6)</f>
        <v>85015</v>
      </c>
      <c r="C13" s="585">
        <v>32786</v>
      </c>
      <c r="D13" s="1753">
        <f t="shared" si="0"/>
        <v>52229</v>
      </c>
      <c r="E13" s="585">
        <v>54392</v>
      </c>
      <c r="F13" s="1753">
        <f t="shared" si="1"/>
        <v>21606</v>
      </c>
    </row>
    <row r="14" spans="1:6" ht="13.7" customHeight="1" x14ac:dyDescent="0.2">
      <c r="A14" s="715" t="s">
        <v>410</v>
      </c>
      <c r="B14" s="1750">
        <f>SUM('Revenues 9-14'!C7:D7,'Revenues 9-14'!F7:H7)</f>
        <v>85015</v>
      </c>
      <c r="C14" s="585">
        <v>32786</v>
      </c>
      <c r="D14" s="1753">
        <f t="shared" si="0"/>
        <v>52229</v>
      </c>
      <c r="E14" s="585">
        <v>54392</v>
      </c>
      <c r="F14" s="1753">
        <f t="shared" si="1"/>
        <v>21606</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261822</v>
      </c>
      <c r="C16" s="585">
        <v>102468</v>
      </c>
      <c r="D16" s="1753">
        <f t="shared" si="0"/>
        <v>159354</v>
      </c>
      <c r="E16" s="585">
        <v>170003</v>
      </c>
      <c r="F16" s="1753">
        <f t="shared" si="1"/>
        <v>67535</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8862395</v>
      </c>
      <c r="C19" s="1751">
        <f>SUM(C4:C18)</f>
        <v>3406355</v>
      </c>
      <c r="D19" s="1751">
        <f>SUM(D4:D18)</f>
        <v>5456040</v>
      </c>
      <c r="E19" s="1751">
        <f>SUM(E4:E18)</f>
        <v>5653597</v>
      </c>
      <c r="F19" s="1751">
        <f>SUM(F4:F18)</f>
        <v>2247242</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4"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629</v>
      </c>
      <c r="B1" s="2207"/>
      <c r="C1" s="721"/>
    </row>
    <row r="2" spans="1:7" ht="33.75" x14ac:dyDescent="0.2">
      <c r="A2" s="2214" t="s">
        <v>1802</v>
      </c>
      <c r="B2" s="2215"/>
      <c r="C2" s="1884" t="s">
        <v>1954</v>
      </c>
      <c r="D2" s="723" t="s">
        <v>1955</v>
      </c>
      <c r="E2" s="723" t="s">
        <v>1956</v>
      </c>
      <c r="F2" s="1884" t="s">
        <v>1957</v>
      </c>
    </row>
    <row r="3" spans="1:7" ht="15.75" customHeight="1" x14ac:dyDescent="0.2">
      <c r="A3" s="2216" t="s">
        <v>1114</v>
      </c>
      <c r="B3" s="2217"/>
      <c r="C3" s="2210"/>
      <c r="D3" s="2211"/>
      <c r="E3" s="2211"/>
      <c r="F3" s="2212"/>
    </row>
    <row r="4" spans="1:7" ht="12.75" customHeight="1" thickBot="1" x14ac:dyDescent="0.25">
      <c r="A4" s="2204" t="s">
        <v>630</v>
      </c>
      <c r="B4" s="2205"/>
      <c r="C4" s="581"/>
      <c r="D4" s="581"/>
      <c r="E4" s="581"/>
      <c r="F4" s="1755">
        <f>SUM(C4+D4)-E4</f>
        <v>0</v>
      </c>
    </row>
    <row r="5" spans="1:7" ht="15.75" customHeight="1" thickTop="1" x14ac:dyDescent="0.2">
      <c r="A5" s="2208" t="s">
        <v>1110</v>
      </c>
      <c r="B5" s="2203"/>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0" t="s">
        <v>631</v>
      </c>
      <c r="B15" s="2201"/>
      <c r="C15" s="1755">
        <f>SUM(C6:C14)</f>
        <v>0</v>
      </c>
      <c r="D15" s="1755">
        <f>SUM(D6:D14)</f>
        <v>0</v>
      </c>
      <c r="E15" s="1755">
        <f>SUM(E6:E14)</f>
        <v>0</v>
      </c>
      <c r="F15" s="1755">
        <f>SUM(F6:F14)</f>
        <v>0</v>
      </c>
      <c r="G15" s="552"/>
    </row>
    <row r="16" spans="1:7" s="202" customFormat="1" ht="15.75" customHeight="1" thickTop="1" x14ac:dyDescent="0.2">
      <c r="A16" s="2213" t="s">
        <v>1111</v>
      </c>
      <c r="B16" s="2203"/>
      <c r="C16" s="2197"/>
      <c r="D16" s="2198"/>
      <c r="E16" s="2198"/>
      <c r="F16" s="2199"/>
    </row>
    <row r="17" spans="1:11" ht="12.75" customHeight="1" thickBot="1" x14ac:dyDescent="0.25">
      <c r="A17" s="2195" t="s">
        <v>64</v>
      </c>
      <c r="B17" s="2196"/>
      <c r="C17" s="726"/>
      <c r="D17" s="585"/>
      <c r="E17" s="726"/>
      <c r="F17" s="1755">
        <f>SUM(C17+D17)-E17</f>
        <v>0</v>
      </c>
    </row>
    <row r="18" spans="1:11" ht="12.75" customHeight="1" thickTop="1" thickBot="1" x14ac:dyDescent="0.25">
      <c r="A18" s="2195" t="s">
        <v>6</v>
      </c>
      <c r="B18" s="2196"/>
      <c r="C18" s="726"/>
      <c r="D18" s="585"/>
      <c r="E18" s="726"/>
      <c r="F18" s="1755">
        <f>SUM(C18+D18)-E18</f>
        <v>0</v>
      </c>
    </row>
    <row r="19" spans="1:11" ht="12.75" customHeight="1" thickTop="1" thickBot="1" x14ac:dyDescent="0.25">
      <c r="A19" s="2195" t="s">
        <v>388</v>
      </c>
      <c r="B19" s="2196"/>
      <c r="C19" s="726"/>
      <c r="D19" s="585"/>
      <c r="E19" s="726"/>
      <c r="F19" s="1755">
        <f>SUM(C19+D19)-E19</f>
        <v>0</v>
      </c>
    </row>
    <row r="20" spans="1:11" ht="12.75" customHeight="1" thickTop="1" thickBot="1" x14ac:dyDescent="0.25">
      <c r="A20" s="2195" t="s">
        <v>448</v>
      </c>
      <c r="B20" s="2196"/>
      <c r="C20" s="726"/>
      <c r="D20" s="585"/>
      <c r="E20" s="726"/>
      <c r="F20" s="1755">
        <f>SUM(C20+D20)-E20</f>
        <v>0</v>
      </c>
    </row>
    <row r="21" spans="1:11" ht="14.25" thickTop="1" thickBot="1" x14ac:dyDescent="0.25">
      <c r="A21" s="2200" t="s">
        <v>632</v>
      </c>
      <c r="B21" s="2201"/>
      <c r="C21" s="1755">
        <f>SUM(C17:C20)</f>
        <v>0</v>
      </c>
      <c r="D21" s="1755">
        <f>SUM(D17:D20)</f>
        <v>0</v>
      </c>
      <c r="E21" s="1755">
        <f>SUM(E17:E20)</f>
        <v>0</v>
      </c>
      <c r="F21" s="1755">
        <f>SUM(F17:F20)</f>
        <v>0</v>
      </c>
      <c r="G21" s="552"/>
    </row>
    <row r="22" spans="1:11" ht="15.75" customHeight="1" thickTop="1" x14ac:dyDescent="0.2">
      <c r="A22" s="2202" t="s">
        <v>1112</v>
      </c>
      <c r="B22" s="2203"/>
      <c r="C22" s="2197"/>
      <c r="D22" s="2198"/>
      <c r="E22" s="2198"/>
      <c r="F22" s="2199"/>
    </row>
    <row r="23" spans="1:11" ht="13.5" thickBot="1" x14ac:dyDescent="0.25">
      <c r="A23" s="2204" t="s">
        <v>633</v>
      </c>
      <c r="B23" s="2205"/>
      <c r="C23" s="581"/>
      <c r="D23" s="581"/>
      <c r="E23" s="581"/>
      <c r="F23" s="1755">
        <f>SUM(C23+D23)-E23</f>
        <v>0</v>
      </c>
      <c r="G23" s="552"/>
    </row>
    <row r="24" spans="1:11" ht="15.75" customHeight="1" thickTop="1" x14ac:dyDescent="0.2">
      <c r="A24" s="2202" t="s">
        <v>1113</v>
      </c>
      <c r="B24" s="2203"/>
      <c r="C24" s="2197"/>
      <c r="D24" s="2198"/>
      <c r="E24" s="2198"/>
      <c r="F24" s="2199"/>
    </row>
    <row r="25" spans="1:11" ht="13.5" thickBot="1" x14ac:dyDescent="0.25">
      <c r="A25" s="2204" t="s">
        <v>634</v>
      </c>
      <c r="B25" s="2205"/>
      <c r="C25" s="581"/>
      <c r="D25" s="581"/>
      <c r="E25" s="581"/>
      <c r="F25" s="1755">
        <f>SUM(C25+D25)-E25</f>
        <v>0</v>
      </c>
      <c r="G25" s="552"/>
    </row>
    <row r="26" spans="1:11" ht="15.75" customHeight="1" thickTop="1" x14ac:dyDescent="0.2">
      <c r="A26" s="2208" t="s">
        <v>657</v>
      </c>
      <c r="B26" s="2203"/>
      <c r="C26" s="727"/>
      <c r="D26" s="727"/>
      <c r="E26" s="727"/>
      <c r="F26" s="728"/>
    </row>
    <row r="27" spans="1:11" ht="13.5" thickBot="1" x14ac:dyDescent="0.25">
      <c r="A27" s="2200" t="s">
        <v>1070</v>
      </c>
      <c r="B27" s="2201"/>
      <c r="C27" s="585"/>
      <c r="D27" s="585"/>
      <c r="E27" s="585"/>
      <c r="F27" s="1755">
        <f>SUM(C27+D27)-E27</f>
        <v>0</v>
      </c>
      <c r="G27" s="552"/>
    </row>
    <row r="28" spans="1:11" ht="7.5" customHeight="1" thickTop="1" x14ac:dyDescent="0.2">
      <c r="A28" s="593"/>
    </row>
    <row r="29" spans="1:11" ht="23.25" customHeight="1" x14ac:dyDescent="0.2">
      <c r="A29" s="2206" t="s">
        <v>582</v>
      </c>
      <c r="B29" s="2207"/>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2082</v>
      </c>
      <c r="B31" s="733">
        <v>40878</v>
      </c>
      <c r="C31" s="734">
        <v>995000</v>
      </c>
      <c r="D31" s="735">
        <v>1</v>
      </c>
      <c r="E31" s="734">
        <v>715000</v>
      </c>
      <c r="F31" s="734"/>
      <c r="G31" s="734"/>
      <c r="H31" s="734">
        <v>60000</v>
      </c>
      <c r="I31" s="1756">
        <f>((E31+F31)-H31)+G31</f>
        <v>655000</v>
      </c>
      <c r="J31" s="734">
        <v>594500</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995000</v>
      </c>
      <c r="D49" s="745"/>
      <c r="E49" s="1756">
        <f t="shared" ref="E49:J49" si="2">SUM(E31:E48)</f>
        <v>715000</v>
      </c>
      <c r="F49" s="1756">
        <f t="shared" si="2"/>
        <v>0</v>
      </c>
      <c r="G49" s="1756">
        <f t="shared" si="2"/>
        <v>0</v>
      </c>
      <c r="H49" s="1756">
        <f t="shared" si="2"/>
        <v>60000</v>
      </c>
      <c r="I49" s="1756">
        <f t="shared" si="2"/>
        <v>655000</v>
      </c>
      <c r="J49" s="1756">
        <f t="shared" si="2"/>
        <v>594500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9" t="s">
        <v>584</v>
      </c>
      <c r="C52" s="2190"/>
      <c r="D52" s="2190"/>
      <c r="E52" s="749" t="s">
        <v>845</v>
      </c>
      <c r="F52" s="2191"/>
      <c r="G52" s="2192"/>
      <c r="H52" s="736"/>
      <c r="I52" s="736"/>
      <c r="J52" s="746"/>
    </row>
    <row r="53" spans="1:11" ht="11.25" customHeight="1" x14ac:dyDescent="0.2">
      <c r="A53" s="750" t="s">
        <v>913</v>
      </c>
      <c r="B53" s="751" t="s">
        <v>951</v>
      </c>
      <c r="C53" s="746"/>
      <c r="D53" s="737"/>
      <c r="E53" s="749" t="s">
        <v>497</v>
      </c>
      <c r="F53" s="2193"/>
      <c r="G53" s="2194"/>
      <c r="H53" s="736"/>
      <c r="I53" s="736"/>
      <c r="J53" s="746"/>
    </row>
    <row r="54" spans="1:11" ht="11.25" customHeight="1" x14ac:dyDescent="0.2">
      <c r="A54" s="752" t="s">
        <v>914</v>
      </c>
      <c r="B54" s="747" t="s">
        <v>952</v>
      </c>
      <c r="C54" s="746"/>
      <c r="D54" s="737"/>
      <c r="E54" s="749" t="s">
        <v>498</v>
      </c>
      <c r="F54" s="2193"/>
      <c r="G54" s="219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11" sqref="J1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8" t="s">
        <v>856</v>
      </c>
      <c r="B1" s="2219"/>
      <c r="C1" s="2219"/>
      <c r="D1" s="2219"/>
      <c r="E1" s="2219"/>
      <c r="F1" s="2219"/>
      <c r="G1" s="2220"/>
      <c r="H1" s="1530"/>
      <c r="I1" s="760"/>
      <c r="J1" s="433"/>
    </row>
    <row r="2" spans="1:11" ht="26.25" x14ac:dyDescent="0.2">
      <c r="A2" s="2237" t="s">
        <v>1677</v>
      </c>
      <c r="B2" s="2238"/>
      <c r="C2" s="2238"/>
      <c r="D2" s="2238"/>
      <c r="E2" s="2239"/>
      <c r="F2" s="761" t="s">
        <v>904</v>
      </c>
      <c r="G2" s="762" t="s">
        <v>1674</v>
      </c>
      <c r="H2" s="762" t="s">
        <v>410</v>
      </c>
      <c r="I2" s="762" t="s">
        <v>1158</v>
      </c>
      <c r="J2" s="762" t="s">
        <v>1812</v>
      </c>
      <c r="K2" s="762" t="s">
        <v>138</v>
      </c>
    </row>
    <row r="3" spans="1:11" x14ac:dyDescent="0.2">
      <c r="A3" s="2240" t="s">
        <v>1962</v>
      </c>
      <c r="B3" s="2241"/>
      <c r="C3" s="2241"/>
      <c r="D3" s="2241"/>
      <c r="E3" s="2242"/>
      <c r="F3" s="763"/>
      <c r="G3" s="764"/>
      <c r="H3" s="764"/>
      <c r="I3" s="764"/>
      <c r="J3" s="765"/>
      <c r="K3" s="765"/>
    </row>
    <row r="4" spans="1:11" x14ac:dyDescent="0.2">
      <c r="A4" s="2243" t="s">
        <v>369</v>
      </c>
      <c r="B4" s="2244"/>
      <c r="C4" s="2244"/>
      <c r="D4" s="2244"/>
      <c r="E4" s="2190"/>
      <c r="F4" s="766"/>
      <c r="G4" s="767"/>
      <c r="H4" s="768"/>
      <c r="I4" s="767"/>
      <c r="J4" s="769"/>
      <c r="K4" s="769"/>
    </row>
    <row r="5" spans="1:11" x14ac:dyDescent="0.2">
      <c r="A5" s="2221" t="s">
        <v>1069</v>
      </c>
      <c r="B5" s="2222"/>
      <c r="C5" s="2222"/>
      <c r="D5" s="2222"/>
      <c r="E5" s="2223"/>
      <c r="F5" s="770" t="s">
        <v>848</v>
      </c>
      <c r="G5" s="771"/>
      <c r="H5" s="764">
        <v>85015</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v>1482</v>
      </c>
      <c r="K8" s="769"/>
    </row>
    <row r="9" spans="1:11" x14ac:dyDescent="0.2">
      <c r="A9" s="778" t="s">
        <v>138</v>
      </c>
      <c r="B9" s="779"/>
      <c r="C9" s="779"/>
      <c r="D9" s="779"/>
      <c r="E9" s="780"/>
      <c r="F9" s="777" t="s">
        <v>853</v>
      </c>
      <c r="G9" s="782"/>
      <c r="H9" s="771"/>
      <c r="I9" s="771"/>
      <c r="J9" s="781"/>
      <c r="K9" s="765">
        <v>9321</v>
      </c>
    </row>
    <row r="10" spans="1:11" x14ac:dyDescent="0.2">
      <c r="A10" s="2221" t="s">
        <v>1813</v>
      </c>
      <c r="B10" s="2222"/>
      <c r="C10" s="2222"/>
      <c r="D10" s="2222"/>
      <c r="E10" s="2224"/>
      <c r="F10" s="783" t="s">
        <v>862</v>
      </c>
      <c r="G10" s="782"/>
      <c r="H10" s="784"/>
      <c r="I10" s="764"/>
      <c r="J10" s="765">
        <v>1049</v>
      </c>
      <c r="K10" s="765"/>
    </row>
    <row r="11" spans="1:11" x14ac:dyDescent="0.2">
      <c r="A11" s="2221" t="s">
        <v>160</v>
      </c>
      <c r="B11" s="2222"/>
      <c r="C11" s="2222"/>
      <c r="D11" s="2222"/>
      <c r="E11" s="2223"/>
      <c r="F11" s="770" t="s">
        <v>852</v>
      </c>
      <c r="G11" s="771"/>
      <c r="H11" s="764"/>
      <c r="I11" s="764"/>
      <c r="J11" s="765"/>
      <c r="K11" s="773"/>
    </row>
    <row r="12" spans="1:11" ht="13.5" thickBot="1" x14ac:dyDescent="0.25">
      <c r="A12" s="2248" t="s">
        <v>905</v>
      </c>
      <c r="B12" s="2249"/>
      <c r="C12" s="2249"/>
      <c r="D12" s="2249"/>
      <c r="E12" s="2250"/>
      <c r="F12" s="1757"/>
      <c r="G12" s="1758">
        <f>SUM(G5:G11)</f>
        <v>0</v>
      </c>
      <c r="H12" s="1758">
        <f>SUM(H5:H11)</f>
        <v>85015</v>
      </c>
      <c r="I12" s="1758">
        <f>SUM(I5:I11)</f>
        <v>0</v>
      </c>
      <c r="J12" s="1758">
        <f>SUM(J5:J11)</f>
        <v>2531</v>
      </c>
      <c r="K12" s="1758">
        <f>SUM(K5:K11)</f>
        <v>9321</v>
      </c>
    </row>
    <row r="13" spans="1:11" ht="13.5" thickTop="1" x14ac:dyDescent="0.2">
      <c r="A13" s="2245" t="s">
        <v>370</v>
      </c>
      <c r="B13" s="2246"/>
      <c r="C13" s="2246"/>
      <c r="D13" s="2246"/>
      <c r="E13" s="2247"/>
      <c r="F13" s="785"/>
      <c r="G13" s="786"/>
      <c r="H13" s="787"/>
      <c r="I13" s="788"/>
      <c r="J13" s="788"/>
      <c r="K13" s="788"/>
    </row>
    <row r="14" spans="1:11" x14ac:dyDescent="0.2">
      <c r="A14" s="2228" t="s">
        <v>456</v>
      </c>
      <c r="B14" s="2228"/>
      <c r="C14" s="2228"/>
      <c r="D14" s="2228"/>
      <c r="E14" s="2229"/>
      <c r="F14" s="789" t="s">
        <v>854</v>
      </c>
      <c r="G14" s="782"/>
      <c r="H14" s="764">
        <v>85015</v>
      </c>
      <c r="I14" s="771"/>
      <c r="J14" s="773"/>
      <c r="K14" s="765">
        <v>9321</v>
      </c>
    </row>
    <row r="15" spans="1:11" x14ac:dyDescent="0.2">
      <c r="A15" s="2222" t="s">
        <v>4</v>
      </c>
      <c r="B15" s="2222"/>
      <c r="C15" s="2222"/>
      <c r="D15" s="2222"/>
      <c r="E15" s="2223"/>
      <c r="F15" s="789" t="s">
        <v>855</v>
      </c>
      <c r="G15" s="771"/>
      <c r="H15" s="764"/>
      <c r="I15" s="764"/>
      <c r="J15" s="765"/>
      <c r="K15" s="765"/>
    </row>
    <row r="16" spans="1:11" x14ac:dyDescent="0.2">
      <c r="A16" s="2222" t="s">
        <v>298</v>
      </c>
      <c r="B16" s="2222"/>
      <c r="C16" s="2222"/>
      <c r="D16" s="2222"/>
      <c r="E16" s="2223"/>
      <c r="F16" s="789" t="s">
        <v>923</v>
      </c>
      <c r="G16" s="772"/>
      <c r="H16" s="767"/>
      <c r="I16" s="767"/>
      <c r="J16" s="769"/>
      <c r="K16" s="769"/>
    </row>
    <row r="17" spans="1:11" x14ac:dyDescent="0.2">
      <c r="A17" s="2253" t="s">
        <v>935</v>
      </c>
      <c r="B17" s="2253"/>
      <c r="C17" s="2253"/>
      <c r="D17" s="2253"/>
      <c r="E17" s="2254"/>
      <c r="F17" s="790"/>
      <c r="G17" s="791"/>
      <c r="H17" s="792"/>
      <c r="I17" s="792"/>
      <c r="J17" s="793"/>
      <c r="K17" s="794"/>
    </row>
    <row r="18" spans="1:11" x14ac:dyDescent="0.2">
      <c r="A18" s="2232" t="s">
        <v>368</v>
      </c>
      <c r="B18" s="2233"/>
      <c r="C18" s="2233"/>
      <c r="D18" s="2233"/>
      <c r="E18" s="2234"/>
      <c r="F18" s="789" t="s">
        <v>932</v>
      </c>
      <c r="G18" s="782"/>
      <c r="H18" s="782"/>
      <c r="I18" s="782"/>
      <c r="J18" s="765"/>
      <c r="K18" s="795"/>
    </row>
    <row r="19" spans="1:11" ht="21.75" customHeight="1" x14ac:dyDescent="0.2">
      <c r="A19" s="2230" t="s">
        <v>1809</v>
      </c>
      <c r="B19" s="2230"/>
      <c r="C19" s="2230"/>
      <c r="D19" s="2230"/>
      <c r="E19" s="2231"/>
      <c r="F19" s="789" t="s">
        <v>933</v>
      </c>
      <c r="G19" s="782"/>
      <c r="H19" s="782"/>
      <c r="I19" s="782"/>
      <c r="J19" s="765"/>
      <c r="K19" s="795"/>
    </row>
    <row r="20" spans="1:11" x14ac:dyDescent="0.2">
      <c r="A20" s="2232" t="s">
        <v>1814</v>
      </c>
      <c r="B20" s="2233"/>
      <c r="C20" s="2233"/>
      <c r="D20" s="2233"/>
      <c r="E20" s="2234"/>
      <c r="F20" s="789" t="s">
        <v>934</v>
      </c>
      <c r="G20" s="782"/>
      <c r="H20" s="782"/>
      <c r="I20" s="782"/>
      <c r="J20" s="765"/>
      <c r="K20" s="795"/>
    </row>
    <row r="21" spans="1:11" ht="13.5" thickBot="1" x14ac:dyDescent="0.25">
      <c r="A21" s="2251" t="s">
        <v>638</v>
      </c>
      <c r="B21" s="2251"/>
      <c r="C21" s="2251"/>
      <c r="D21" s="2251"/>
      <c r="E21" s="2251"/>
      <c r="F21" s="1759"/>
      <c r="G21" s="792"/>
      <c r="H21" s="796"/>
      <c r="I21" s="796"/>
      <c r="J21" s="1760">
        <f>SUM(J18:J20)</f>
        <v>0</v>
      </c>
      <c r="K21" s="793"/>
    </row>
    <row r="22" spans="1:11" ht="13.5" thickTop="1" x14ac:dyDescent="0.2">
      <c r="A22" s="2222" t="s">
        <v>1815</v>
      </c>
      <c r="B22" s="2222"/>
      <c r="C22" s="2222"/>
      <c r="D22" s="2222"/>
      <c r="E22" s="2223"/>
      <c r="F22" s="789" t="s">
        <v>862</v>
      </c>
      <c r="G22" s="782"/>
      <c r="H22" s="764"/>
      <c r="I22" s="764"/>
      <c r="J22" s="797"/>
      <c r="K22" s="765"/>
    </row>
    <row r="23" spans="1:11" ht="13.5" thickBot="1" x14ac:dyDescent="0.25">
      <c r="A23" s="2252" t="s">
        <v>906</v>
      </c>
      <c r="B23" s="2251"/>
      <c r="C23" s="2251"/>
      <c r="D23" s="2251"/>
      <c r="E23" s="2251"/>
      <c r="F23" s="1761"/>
      <c r="G23" s="1758">
        <f>SUM(G14:G16,G21,G22)</f>
        <v>0</v>
      </c>
      <c r="H23" s="1758">
        <f>SUM(H14:H16,H21,H22)</f>
        <v>85015</v>
      </c>
      <c r="I23" s="1758">
        <f>SUM(I14:I16,I21,I22)</f>
        <v>0</v>
      </c>
      <c r="J23" s="1758">
        <f>SUM(J14:J16,J21,J22)</f>
        <v>0</v>
      </c>
      <c r="K23" s="1758">
        <f>SUM(K14:K16,K21,K22)</f>
        <v>9321</v>
      </c>
    </row>
    <row r="24" spans="1:11" ht="14.25" thickTop="1" thickBot="1" x14ac:dyDescent="0.25">
      <c r="A24" s="2252" t="s">
        <v>1963</v>
      </c>
      <c r="B24" s="2251"/>
      <c r="C24" s="2251"/>
      <c r="D24" s="2251"/>
      <c r="E24" s="2251"/>
      <c r="F24" s="1762"/>
      <c r="G24" s="1763">
        <f>SUM(G3,G12)-G23</f>
        <v>0</v>
      </c>
      <c r="H24" s="1763">
        <f>SUM(H3,H12)-H23</f>
        <v>0</v>
      </c>
      <c r="I24" s="1763">
        <f>SUM(I3,I12)-I23</f>
        <v>0</v>
      </c>
      <c r="J24" s="1763">
        <f>SUM(J3,J12)-J23</f>
        <v>2531</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2531</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5"/>
      <c r="I31" s="2226"/>
      <c r="J31" s="2226"/>
      <c r="K31" s="2226"/>
    </row>
    <row r="32" spans="1:11" x14ac:dyDescent="0.2">
      <c r="A32" s="809"/>
      <c r="B32" s="237"/>
      <c r="C32" s="237"/>
      <c r="D32" s="237"/>
      <c r="E32" s="805"/>
      <c r="F32" s="811" t="s">
        <v>540</v>
      </c>
      <c r="G32" s="764"/>
      <c r="H32" s="2227"/>
      <c r="I32" s="2226"/>
      <c r="J32" s="2226"/>
      <c r="K32" s="2226"/>
    </row>
    <row r="33" spans="1:11" ht="1.5" customHeight="1" x14ac:dyDescent="0.2">
      <c r="A33" s="812" t="s">
        <v>1169</v>
      </c>
      <c r="B33" s="364"/>
      <c r="C33" s="364"/>
      <c r="D33" s="364"/>
      <c r="E33" s="364"/>
      <c r="F33" s="364"/>
      <c r="G33" s="813"/>
      <c r="H33" s="2227"/>
      <c r="I33" s="2226"/>
      <c r="J33" s="2226"/>
      <c r="K33" s="2226"/>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2" t="s">
        <v>541</v>
      </c>
      <c r="B41" s="2235"/>
      <c r="C41" s="2235"/>
      <c r="D41" s="2235"/>
      <c r="E41" s="2235"/>
      <c r="F41" s="223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L12" sqref="L12:L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1908</v>
      </c>
      <c r="B1" s="2258"/>
      <c r="C1" s="2259"/>
      <c r="D1" s="826"/>
      <c r="E1" s="827"/>
      <c r="F1" s="827"/>
      <c r="G1" s="828"/>
      <c r="H1" s="829"/>
      <c r="I1" s="830"/>
      <c r="J1" s="2255"/>
      <c r="K1" s="2256"/>
      <c r="L1" s="2256"/>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58655</v>
      </c>
      <c r="D5" s="841"/>
      <c r="E5" s="841"/>
      <c r="F5" s="1760">
        <f>(C5+D5)-E5</f>
        <v>58655</v>
      </c>
      <c r="G5" s="837"/>
      <c r="H5" s="842"/>
      <c r="I5" s="842"/>
      <c r="J5" s="842"/>
      <c r="K5" s="793"/>
      <c r="L5" s="1769">
        <f>F5-K5</f>
        <v>58655</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7424737</v>
      </c>
      <c r="D8" s="844"/>
      <c r="E8" s="844"/>
      <c r="F8" s="1760">
        <f>(C8+D8)-E8</f>
        <v>7424737</v>
      </c>
      <c r="G8" s="843">
        <v>50</v>
      </c>
      <c r="H8" s="765">
        <v>5913534</v>
      </c>
      <c r="I8" s="765">
        <v>147895</v>
      </c>
      <c r="J8" s="765"/>
      <c r="K8" s="1769">
        <f>(H8+I8)-J8</f>
        <v>6061429</v>
      </c>
      <c r="L8" s="1769">
        <f>F8-K8</f>
        <v>1363308</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133042</v>
      </c>
      <c r="D10" s="846">
        <v>542388</v>
      </c>
      <c r="E10" s="846"/>
      <c r="F10" s="1764">
        <f>(C10+D10)-E10</f>
        <v>675430</v>
      </c>
      <c r="G10" s="843">
        <v>20</v>
      </c>
      <c r="H10" s="847">
        <v>68350</v>
      </c>
      <c r="I10" s="847">
        <v>33718</v>
      </c>
      <c r="J10" s="847"/>
      <c r="K10" s="1769">
        <f>(H10+I10)-J10</f>
        <v>102068</v>
      </c>
      <c r="L10" s="1769">
        <f>F10-K10</f>
        <v>573362</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2872256</v>
      </c>
      <c r="D12" s="844">
        <v>33858</v>
      </c>
      <c r="E12" s="844"/>
      <c r="F12" s="1760">
        <f>(C12+D12)-E12</f>
        <v>2906114</v>
      </c>
      <c r="G12" s="843">
        <v>10</v>
      </c>
      <c r="H12" s="765">
        <v>2699886</v>
      </c>
      <c r="I12" s="765">
        <v>37978</v>
      </c>
      <c r="J12" s="765"/>
      <c r="K12" s="1769">
        <f>(H12+I12)-J12</f>
        <v>2737864</v>
      </c>
      <c r="L12" s="1769">
        <f>F12-K12</f>
        <v>168250</v>
      </c>
    </row>
    <row r="13" spans="1:14" ht="14.25" thickTop="1" thickBot="1" x14ac:dyDescent="0.25">
      <c r="A13" s="848" t="s">
        <v>1122</v>
      </c>
      <c r="B13" s="840">
        <v>252</v>
      </c>
      <c r="C13" s="844">
        <v>1367175</v>
      </c>
      <c r="D13" s="844">
        <v>191843</v>
      </c>
      <c r="E13" s="844"/>
      <c r="F13" s="1760">
        <f>(C13+D13)-E13</f>
        <v>1559018</v>
      </c>
      <c r="G13" s="843">
        <v>5</v>
      </c>
      <c r="H13" s="765">
        <v>1057474</v>
      </c>
      <c r="I13" s="765">
        <v>118944</v>
      </c>
      <c r="J13" s="765"/>
      <c r="K13" s="1769">
        <f>(H13+I13)-J13</f>
        <v>1176418</v>
      </c>
      <c r="L13" s="1769">
        <f>F13-K13</f>
        <v>382600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11855865</v>
      </c>
      <c r="D16" s="1760">
        <f>SUM(D3,D5:D6,D8:D10,D12:D15)</f>
        <v>768089</v>
      </c>
      <c r="E16" s="1760">
        <f>SUM(E3,E5:E6,E8:E10,E12:E15)</f>
        <v>0</v>
      </c>
      <c r="F16" s="1760">
        <f>SUM(F3,F5:F6,F8:F10,F12:F15)</f>
        <v>12623954</v>
      </c>
      <c r="G16" s="843"/>
      <c r="H16" s="1760">
        <f>SUM(H3,H6,H8:H10,H12:H14,)</f>
        <v>9739244</v>
      </c>
      <c r="I16" s="1760">
        <f>SUM(I3,I6,I8:I10,I12:I14,)</f>
        <v>338535</v>
      </c>
      <c r="J16" s="1760">
        <f>SUM(J3,J6,J8:J10,J12:J14,)</f>
        <v>0</v>
      </c>
      <c r="K16" s="1760">
        <f>(H16+I16)-J16</f>
        <v>10077779</v>
      </c>
      <c r="L16" s="1760">
        <f>F16-K16</f>
        <v>2546175</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338535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33"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1973</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6959001</v>
      </c>
      <c r="G8" s="865"/>
    </row>
    <row r="9" spans="1:7" x14ac:dyDescent="0.2">
      <c r="A9" s="869" t="s">
        <v>460</v>
      </c>
      <c r="B9" s="870" t="s">
        <v>1876</v>
      </c>
      <c r="C9" s="871"/>
      <c r="D9" s="869" t="s">
        <v>501</v>
      </c>
      <c r="E9" s="868"/>
      <c r="F9" s="1909">
        <f>'Expenditures 15-22'!K151</f>
        <v>1361483</v>
      </c>
      <c r="G9" s="872"/>
    </row>
    <row r="10" spans="1:7" x14ac:dyDescent="0.2">
      <c r="A10" s="869" t="s">
        <v>499</v>
      </c>
      <c r="B10" s="870" t="s">
        <v>1877</v>
      </c>
      <c r="C10" s="871"/>
      <c r="D10" s="869" t="s">
        <v>501</v>
      </c>
      <c r="E10" s="868"/>
      <c r="F10" s="1909">
        <f>'Expenditures 15-22'!K174</f>
        <v>87152</v>
      </c>
      <c r="G10" s="872"/>
    </row>
    <row r="11" spans="1:7" x14ac:dyDescent="0.2">
      <c r="A11" s="869" t="s">
        <v>461</v>
      </c>
      <c r="B11" s="870" t="s">
        <v>1878</v>
      </c>
      <c r="C11" s="871"/>
      <c r="D11" s="869" t="s">
        <v>501</v>
      </c>
      <c r="E11" s="868"/>
      <c r="F11" s="1909">
        <f>'Expenditures 15-22'!K210</f>
        <v>571503</v>
      </c>
      <c r="G11" s="872"/>
    </row>
    <row r="12" spans="1:7" x14ac:dyDescent="0.2">
      <c r="A12" s="869" t="s">
        <v>462</v>
      </c>
      <c r="B12" s="870" t="s">
        <v>1879</v>
      </c>
      <c r="C12" s="871"/>
      <c r="D12" s="869" t="s">
        <v>501</v>
      </c>
      <c r="E12" s="868"/>
      <c r="F12" s="1909">
        <f>'Expenditures 15-22'!K295</f>
        <v>328057</v>
      </c>
      <c r="G12" s="872"/>
    </row>
    <row r="13" spans="1:7" x14ac:dyDescent="0.2">
      <c r="A13" s="869" t="s">
        <v>106</v>
      </c>
      <c r="B13" s="870" t="s">
        <v>1880</v>
      </c>
      <c r="C13" s="871"/>
      <c r="D13" s="869" t="s">
        <v>501</v>
      </c>
      <c r="E13" s="868"/>
      <c r="F13" s="1909">
        <f>'Expenditures 15-22'!K342</f>
        <v>534925</v>
      </c>
      <c r="G13" s="873"/>
    </row>
    <row r="14" spans="1:7" ht="12" customHeight="1" thickBot="1" x14ac:dyDescent="0.25">
      <c r="A14" s="1770"/>
      <c r="B14" s="1771"/>
      <c r="C14" s="1772"/>
      <c r="D14" s="1773" t="s">
        <v>501</v>
      </c>
      <c r="E14" s="1774" t="s">
        <v>958</v>
      </c>
      <c r="F14" s="1775">
        <f>SUM(F8:F13)</f>
        <v>9842121</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109373</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430741</v>
      </c>
      <c r="G53" s="865"/>
    </row>
    <row r="54" spans="1:7" x14ac:dyDescent="0.2">
      <c r="A54" s="869" t="s">
        <v>459</v>
      </c>
      <c r="B54" s="869" t="s">
        <v>1476</v>
      </c>
      <c r="C54" s="889" t="s">
        <v>982</v>
      </c>
      <c r="D54" s="885" t="s">
        <v>1095</v>
      </c>
      <c r="E54" s="868"/>
      <c r="F54" s="1913">
        <f>'Expenditures 15-22'!G114</f>
        <v>26968</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549431</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60000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211850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5821</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1394184</v>
      </c>
      <c r="G76" s="865"/>
    </row>
    <row r="77" spans="1:8" s="893" customFormat="1" ht="12" customHeight="1" thickTop="1" thickBot="1" x14ac:dyDescent="0.25">
      <c r="A77" s="1779"/>
      <c r="B77" s="1776"/>
      <c r="C77" s="1772"/>
      <c r="D77" s="1777" t="s">
        <v>1899</v>
      </c>
      <c r="E77" s="1774"/>
      <c r="F77" s="1780">
        <f>(F14-F76)</f>
        <v>8447937</v>
      </c>
      <c r="G77" s="869"/>
    </row>
    <row r="78" spans="1:8" s="893" customFormat="1" ht="12" customHeight="1" thickTop="1" x14ac:dyDescent="0.2">
      <c r="A78" s="1781"/>
      <c r="B78" s="1776"/>
      <c r="C78" s="1772"/>
      <c r="D78" s="1777" t="s">
        <v>2060</v>
      </c>
      <c r="E78" s="1774"/>
      <c r="F78" s="898">
        <v>812.5</v>
      </c>
      <c r="G78" s="899"/>
      <c r="H78" s="869"/>
    </row>
    <row r="79" spans="1:8" s="893" customFormat="1" ht="12" customHeight="1" thickBot="1" x14ac:dyDescent="0.25">
      <c r="A79" s="1782"/>
      <c r="B79" s="1776"/>
      <c r="C79" s="1772"/>
      <c r="D79" s="1777" t="s">
        <v>1900</v>
      </c>
      <c r="E79" s="1774" t="s">
        <v>958</v>
      </c>
      <c r="F79" s="1783">
        <f>IF(F78&gt;0,F77/F78," Complete Line 78")</f>
        <v>10397.460923076924</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144955</v>
      </c>
      <c r="G94" s="912"/>
    </row>
    <row r="95" spans="1:7" x14ac:dyDescent="0.2">
      <c r="A95" s="908" t="s">
        <v>140</v>
      </c>
      <c r="B95" s="908" t="s">
        <v>175</v>
      </c>
      <c r="C95" s="910">
        <v>1700</v>
      </c>
      <c r="D95" s="918" t="str">
        <f>'Revenues 9-14'!A82</f>
        <v>Total District/School Activity Income</v>
      </c>
      <c r="E95" s="906"/>
      <c r="F95" s="1789">
        <f>SUM('Revenues 9-14'!C82,'Revenues 9-14'!D82)</f>
        <v>27620</v>
      </c>
      <c r="G95" s="912"/>
    </row>
    <row r="96" spans="1:7" x14ac:dyDescent="0.2">
      <c r="A96" s="908" t="s">
        <v>459</v>
      </c>
      <c r="B96" s="908" t="s">
        <v>176</v>
      </c>
      <c r="C96" s="910">
        <f>'Revenues 9-14'!B84</f>
        <v>1811</v>
      </c>
      <c r="D96" s="911" t="str">
        <f>'Revenues 9-14'!A84</f>
        <v>Rentals - Regular Textbooks</v>
      </c>
      <c r="E96" s="906"/>
      <c r="F96" s="1789">
        <f>'Revenues 9-14'!C84</f>
        <v>34460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29152</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4346</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2713</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9321</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314715</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750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191401</v>
      </c>
      <c r="G125" s="930"/>
    </row>
    <row r="126" spans="1:7" x14ac:dyDescent="0.2">
      <c r="A126" s="927" t="s">
        <v>668</v>
      </c>
      <c r="B126" s="927" t="s">
        <v>2022</v>
      </c>
      <c r="C126" s="932">
        <v>4300</v>
      </c>
      <c r="D126" s="933" t="str">
        <f>'Revenues 9-14'!A204</f>
        <v>Total Title I</v>
      </c>
      <c r="E126" s="906"/>
      <c r="F126" s="1789">
        <f>SUM('Revenues 9-14'!C204,'Revenues 9-14'!D204,'Revenues 9-14'!F204,'Revenues 9-14'!G204)</f>
        <v>81305</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30567</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18289</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59137</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948731</v>
      </c>
    </row>
    <row r="175" spans="1:7" ht="12" customHeight="1" x14ac:dyDescent="0.2">
      <c r="A175" s="1770"/>
      <c r="B175" s="1784"/>
      <c r="C175" s="1785"/>
      <c r="D175" s="1786" t="s">
        <v>2055</v>
      </c>
      <c r="E175" s="1787"/>
      <c r="F175" s="1789">
        <f>'PCTC-OEPP 27-28'!F77-F174</f>
        <v>7499206</v>
      </c>
    </row>
    <row r="176" spans="1:7" ht="12" customHeight="1" x14ac:dyDescent="0.2">
      <c r="A176" s="1770"/>
      <c r="B176" s="1784"/>
      <c r="C176" s="1785"/>
      <c r="D176" s="1786" t="s">
        <v>1817</v>
      </c>
      <c r="E176" s="1787"/>
      <c r="F176" s="1789">
        <f>'Cap Outlay Deprec 26'!I18</f>
        <v>338535</v>
      </c>
    </row>
    <row r="177" spans="1:7" ht="12" customHeight="1" x14ac:dyDescent="0.2">
      <c r="A177" s="1770"/>
      <c r="B177" s="1784"/>
      <c r="C177" s="1785"/>
      <c r="D177" s="1786" t="s">
        <v>2056</v>
      </c>
      <c r="E177" s="1787"/>
      <c r="F177" s="1789">
        <f>F175+F176</f>
        <v>7837741</v>
      </c>
    </row>
    <row r="178" spans="1:7" ht="12" customHeight="1" x14ac:dyDescent="0.2">
      <c r="A178" s="1770"/>
      <c r="B178" s="1790"/>
      <c r="C178" s="1785"/>
      <c r="D178" s="1786" t="str">
        <f>D78</f>
        <v>9 Month ADA from District Average Daily Attendance/Prior General State Aid Inquiry 2018-2019</v>
      </c>
      <c r="E178" s="1787"/>
      <c r="F178" s="1791">
        <f>'PCTC-OEPP 27-28'!F78</f>
        <v>812.5</v>
      </c>
      <c r="G178" s="930"/>
    </row>
    <row r="179" spans="1:7" ht="12" customHeight="1" thickBot="1" x14ac:dyDescent="0.25">
      <c r="A179" s="1770"/>
      <c r="B179" s="1790"/>
      <c r="C179" s="1785"/>
      <c r="D179" s="1786" t="s">
        <v>2057</v>
      </c>
      <c r="E179" s="1787" t="s">
        <v>1545</v>
      </c>
      <c r="F179" s="1792">
        <f>F177/F178</f>
        <v>9646.4504615384612</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topLeftCell="A7" zoomScaleNormal="100" workbookViewId="0"/>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4" t="s">
        <v>1818</v>
      </c>
      <c r="B4" s="2275"/>
      <c r="C4" s="2275"/>
      <c r="D4" s="2275"/>
      <c r="E4" s="2275"/>
      <c r="F4" s="2275"/>
      <c r="G4" s="2276"/>
    </row>
    <row r="5" spans="1:7" x14ac:dyDescent="0.25">
      <c r="A5" s="2277"/>
      <c r="B5" s="2278"/>
      <c r="C5" s="2278"/>
      <c r="D5" s="2278"/>
      <c r="E5" s="2278"/>
      <c r="F5" s="2278"/>
      <c r="G5" s="2279"/>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80" t="s">
        <v>1931</v>
      </c>
      <c r="B8" s="2281"/>
      <c r="C8" s="2281"/>
      <c r="D8" s="2281"/>
      <c r="E8" s="2281"/>
      <c r="F8" s="2281"/>
      <c r="G8" s="2282"/>
    </row>
    <row r="9" spans="1:7" ht="15.75" customHeight="1" x14ac:dyDescent="0.25">
      <c r="A9" s="2283" t="s">
        <v>1906</v>
      </c>
      <c r="B9" s="2284"/>
      <c r="C9" s="2284"/>
      <c r="D9" s="2284"/>
      <c r="E9" s="2284"/>
      <c r="F9" s="2284"/>
      <c r="G9" s="2285"/>
    </row>
    <row r="10" spans="1:7" ht="35.25" customHeight="1" x14ac:dyDescent="0.25">
      <c r="A10" s="2280" t="s">
        <v>2063</v>
      </c>
      <c r="B10" s="2281"/>
      <c r="C10" s="2281"/>
      <c r="D10" s="2281"/>
      <c r="E10" s="2281"/>
      <c r="F10" s="2281"/>
      <c r="G10" s="2282"/>
    </row>
    <row r="11" spans="1:7" ht="15" customHeight="1" x14ac:dyDescent="0.25">
      <c r="A11" s="1537" t="s">
        <v>1820</v>
      </c>
      <c r="B11" s="1538"/>
      <c r="C11" s="1538"/>
      <c r="D11" s="1538"/>
      <c r="E11" s="1538"/>
      <c r="F11" s="1538"/>
      <c r="G11" s="1539"/>
    </row>
    <row r="12" spans="1:7" ht="17.25" customHeight="1" x14ac:dyDescent="0.25">
      <c r="A12" s="2280" t="s">
        <v>1933</v>
      </c>
      <c r="B12" s="2281"/>
      <c r="C12" s="2281"/>
      <c r="D12" s="2281"/>
      <c r="E12" s="2281"/>
      <c r="F12" s="2281"/>
      <c r="G12" s="2282"/>
    </row>
    <row r="13" spans="1:7" ht="15" customHeight="1" x14ac:dyDescent="0.25">
      <c r="A13" s="1537" t="s">
        <v>1825</v>
      </c>
      <c r="B13" s="1538"/>
      <c r="C13" s="1538"/>
      <c r="D13" s="1538"/>
      <c r="E13" s="1538"/>
      <c r="F13" s="1538"/>
      <c r="G13" s="1539"/>
    </row>
    <row r="14" spans="1:7" ht="32.25" customHeight="1" x14ac:dyDescent="0.25">
      <c r="A14" s="2271" t="s">
        <v>1974</v>
      </c>
      <c r="B14" s="2272"/>
      <c r="C14" s="2272"/>
      <c r="D14" s="2272"/>
      <c r="E14" s="2272"/>
      <c r="F14" s="2272"/>
      <c r="G14" s="2273"/>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2083</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7"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91" t="s">
        <v>1975</v>
      </c>
      <c r="B11" s="2292"/>
      <c r="C11" s="2292"/>
      <c r="D11" s="2293"/>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4934510</v>
      </c>
      <c r="F19" s="1799"/>
      <c r="G19" s="1801">
        <f>'Expenditures 15-22'!K33-SUM('Expenditures 15-22'!G33,'Expenditures 15-22'!I33)+'Expenditures 15-22'!D229</f>
        <v>4934510</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143986</v>
      </c>
      <c r="F21" s="1802"/>
      <c r="G21" s="1805">
        <f>'Expenditures 15-22'!K42-SUM('Expenditures 15-22'!G42,'Expenditures 15-22'!I42)+'Expenditures 15-22'!K120-SUM('Expenditures 15-22'!G120,'Expenditures 15-22'!I120)+'Expenditures 15-22'!K180-SUM('Expenditures 15-22'!G180,'Expenditures 15-22'!I180)+'Expenditures 15-22'!D238</f>
        <v>143986</v>
      </c>
      <c r="H21" s="987"/>
      <c r="I21" s="162"/>
    </row>
    <row r="22" spans="1:9" s="668" customFormat="1" ht="12" customHeight="1" x14ac:dyDescent="0.2">
      <c r="A22" s="994" t="s">
        <v>564</v>
      </c>
      <c r="B22" s="995"/>
      <c r="C22" s="993">
        <v>2200</v>
      </c>
      <c r="D22" s="1802"/>
      <c r="E22" s="1804">
        <f>'Expenditures 15-22'!K47-SUM('Expenditures 15-22'!G47,'Expenditures 15-22'!I47)+'Expenditures 15-22'!D243</f>
        <v>153310</v>
      </c>
      <c r="F22" s="1802"/>
      <c r="G22" s="1805">
        <f>'Expenditures 15-22'!K47-SUM('Expenditures 15-22'!G47,'Expenditures 15-22'!I47)+'Expenditures 15-22'!D243</f>
        <v>153310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759067</v>
      </c>
      <c r="F23" s="1802"/>
      <c r="G23" s="1804">
        <f>'Expenditures 15-22'!K53-SUM('Expenditures 15-22'!G53,'Expenditures 15-22'!I53)+'Expenditures 15-22'!D257+'Expenditures 15-22'!K330-SUM('Expenditures 15-22'!G330,'Expenditures 15-22'!I330)</f>
        <v>759067</v>
      </c>
      <c r="H23" s="987"/>
      <c r="I23" s="162"/>
    </row>
    <row r="24" spans="1:9" s="668" customFormat="1" ht="12" customHeight="1" x14ac:dyDescent="0.2">
      <c r="A24" s="994" t="s">
        <v>566</v>
      </c>
      <c r="B24" s="995"/>
      <c r="C24" s="993">
        <v>2400</v>
      </c>
      <c r="D24" s="1802"/>
      <c r="E24" s="1804">
        <f>'Expenditures 15-22'!K57-SUM('Expenditures 15-22'!G57,'Expenditures 15-22'!I57)+'Expenditures 15-22'!D261</f>
        <v>808965</v>
      </c>
      <c r="F24" s="1802"/>
      <c r="G24" s="1805">
        <f>'Expenditures 15-22'!K57-SUM('Expenditures 15-22'!G57,'Expenditures 15-22'!I57)+'Expenditures 15-22'!D261</f>
        <v>808965</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3468</v>
      </c>
      <c r="E27" s="1804">
        <f>E8</f>
        <v>0</v>
      </c>
      <c r="F27" s="1804">
        <f>'Expenditures 15-22'!K60-SUM('Expenditures 15-22'!G60,'Expenditures 15-22'!I60)+'Expenditures 15-22'!D264-E8</f>
        <v>3468</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842616</v>
      </c>
      <c r="F28" s="1806">
        <f>'Expenditures 15-22'!K61-SUM('Expenditures 15-22'!G61,'Expenditures 15-22'!I61)+'Expenditures 15-22'!K124-SUM('Expenditures 15-22'!G124,'Expenditures 15-22'!I124)+'Expenditures 15-22'!D266-E9</f>
        <v>842616</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392879</v>
      </c>
      <c r="F29" s="1802"/>
      <c r="G29" s="1805">
        <f>'Expenditures 15-22'!K62-SUM('Expenditures 15-22'!G62,'Expenditures 15-22'!I62)+'Expenditures 15-22'!K125-SUM('Expenditures 15-22'!G125,'Expenditures 15-22'!I125)+'Expenditures 15-22'!K182-SUM('Expenditures 15-22'!G182,'Expenditures 15-22'!I182)+'Expenditures 15-22'!D267</f>
        <v>392879</v>
      </c>
      <c r="H29" s="985"/>
    </row>
    <row r="30" spans="1:9" ht="12" customHeight="1" x14ac:dyDescent="0.2">
      <c r="A30" s="994" t="s">
        <v>100</v>
      </c>
      <c r="B30" s="997"/>
      <c r="C30" s="993">
        <v>2560</v>
      </c>
      <c r="D30" s="1802"/>
      <c r="E30" s="1804">
        <f>'Expenditures 15-22'!K63-SUM('Expenditures 15-22'!G63,'Expenditures 15-22'!I63)+'Expenditures 15-22'!D268-E10</f>
        <v>400009</v>
      </c>
      <c r="F30" s="1802"/>
      <c r="G30" s="1804">
        <f>'Expenditures 15-22'!K63-SUM('Expenditures 15-22'!G63,'Expenditures 15-22'!I63)+'Expenditures 15-22'!D268-E10</f>
        <v>400009</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58928</v>
      </c>
      <c r="F35" s="1802"/>
      <c r="G35" s="1804">
        <f>'Expenditures 15-22'!K69-SUM('Expenditures 15-22'!G69,'Expenditures 15-22'!I69)+'Expenditures 15-22'!D274</f>
        <v>58928</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9466</v>
      </c>
      <c r="E37" s="1804">
        <f>E14</f>
        <v>0</v>
      </c>
      <c r="F37" s="1804">
        <f>'Expenditures 15-22'!K71-SUM('Expenditures 15-22'!G71,'Expenditures 15-22'!I71)+'Expenditures 15-22'!D276-E14</f>
        <v>9466</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12934</v>
      </c>
      <c r="E41" s="1806">
        <f>SUM(E19:E40)</f>
        <v>8494270</v>
      </c>
      <c r="F41" s="1806">
        <f>SUM(F19:F39)</f>
        <v>855550</v>
      </c>
      <c r="G41" s="1806">
        <f>SUM(G19:G40)</f>
        <v>7651654</v>
      </c>
    </row>
    <row r="42" spans="1:7" x14ac:dyDescent="0.2">
      <c r="A42" s="987"/>
      <c r="B42" s="162"/>
      <c r="C42" s="1001"/>
      <c r="D42" s="2289" t="s">
        <v>522</v>
      </c>
      <c r="E42" s="2290"/>
      <c r="F42" s="1002" t="s">
        <v>523</v>
      </c>
      <c r="G42" s="1003"/>
    </row>
    <row r="43" spans="1:7" ht="12" customHeight="1" x14ac:dyDescent="0.2">
      <c r="A43" s="987"/>
      <c r="B43" s="162"/>
      <c r="C43" s="1001"/>
      <c r="D43" s="1807" t="s">
        <v>473</v>
      </c>
      <c r="E43" s="1808">
        <f>D41</f>
        <v>12934</v>
      </c>
      <c r="F43" s="1807" t="s">
        <v>473</v>
      </c>
      <c r="G43" s="1808">
        <f>F41</f>
        <v>855550</v>
      </c>
    </row>
    <row r="44" spans="1:7" ht="12" customHeight="1" x14ac:dyDescent="0.2">
      <c r="A44" s="987"/>
      <c r="B44" s="162"/>
      <c r="C44" s="1001"/>
      <c r="D44" s="1807" t="s">
        <v>474</v>
      </c>
      <c r="E44" s="1808">
        <f>E41</f>
        <v>8494270</v>
      </c>
      <c r="F44" s="1807" t="s">
        <v>474</v>
      </c>
      <c r="G44" s="1808">
        <f>G41</f>
        <v>7651654</v>
      </c>
    </row>
    <row r="45" spans="1:7" ht="12" customHeight="1" x14ac:dyDescent="0.2">
      <c r="A45" s="987"/>
      <c r="B45" s="162"/>
      <c r="C45" s="162"/>
      <c r="D45" s="1809" t="s">
        <v>1006</v>
      </c>
      <c r="E45" s="1810">
        <f>(E43/E44)</f>
        <v>1.5226735199140127E-3</v>
      </c>
      <c r="F45" s="1809" t="s">
        <v>1006</v>
      </c>
      <c r="G45" s="1810">
        <f>(G43/G44)</f>
        <v>0.11181242643747352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Normal="10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8" t="s">
        <v>1379</v>
      </c>
      <c r="B1" s="2308"/>
      <c r="C1" s="2308"/>
      <c r="D1" s="2308"/>
      <c r="E1" s="2308"/>
      <c r="F1" s="2308"/>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9" t="s">
        <v>1546</v>
      </c>
      <c r="B5" s="2310"/>
      <c r="C5" s="2311"/>
      <c r="D5" s="2311"/>
      <c r="E5" s="2311"/>
      <c r="F5" s="2311"/>
    </row>
    <row r="6" spans="1:10" ht="12" customHeight="1" x14ac:dyDescent="0.25">
      <c r="A6" s="1850"/>
      <c r="B6" s="1851"/>
      <c r="C6" s="2312" t="str">
        <f>COVER!A17</f>
        <v>Salt Fork CUSD 512</v>
      </c>
      <c r="D6" s="2312"/>
      <c r="E6" s="2312"/>
      <c r="F6" s="1852"/>
    </row>
    <row r="7" spans="1:10" ht="11.25" customHeight="1" thickBot="1" x14ac:dyDescent="0.3">
      <c r="A7" s="1850"/>
      <c r="B7" s="1851"/>
      <c r="C7" s="2313">
        <f>COVER!A13</f>
        <v>54092512026</v>
      </c>
      <c r="D7" s="2313"/>
      <c r="E7" s="2313"/>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t="s">
        <v>2073</v>
      </c>
      <c r="F26" s="1867" t="s">
        <v>2084</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14"/>
      <c r="D35" s="2314"/>
      <c r="E35" s="2314"/>
      <c r="F35" s="2315"/>
    </row>
    <row r="36" spans="1:11" ht="12" customHeight="1" x14ac:dyDescent="0.2">
      <c r="A36" s="2297"/>
      <c r="B36" s="2298"/>
      <c r="C36" s="2298"/>
      <c r="D36" s="2298"/>
      <c r="E36" s="2298"/>
      <c r="F36" s="2299"/>
    </row>
    <row r="37" spans="1:11" ht="12" customHeight="1" x14ac:dyDescent="0.2">
      <c r="A37" s="2297"/>
      <c r="B37" s="2298"/>
      <c r="C37" s="2298"/>
      <c r="D37" s="2298"/>
      <c r="E37" s="2298"/>
      <c r="F37" s="2299"/>
    </row>
    <row r="38" spans="1:11" ht="12" customHeight="1" x14ac:dyDescent="0.2">
      <c r="A38" s="2300"/>
      <c r="B38" s="2301"/>
      <c r="C38" s="2301"/>
      <c r="D38" s="2301"/>
      <c r="E38" s="2301"/>
      <c r="F38" s="2302"/>
    </row>
    <row r="39" spans="1:11" ht="4.5" hidden="1" customHeight="1" x14ac:dyDescent="0.2">
      <c r="A39" s="1873"/>
      <c r="B39" s="1873"/>
      <c r="C39" s="1873"/>
      <c r="D39" s="1873"/>
      <c r="E39" s="1873"/>
      <c r="F39" s="1873"/>
    </row>
    <row r="40" spans="1:11" s="1870" customFormat="1" ht="12" customHeight="1" x14ac:dyDescent="0.25">
      <c r="A40" s="1874" t="s">
        <v>1391</v>
      </c>
      <c r="B40" s="1875"/>
      <c r="C40" s="2303"/>
      <c r="D40" s="2303"/>
      <c r="E40" s="2303"/>
      <c r="F40" s="2304"/>
      <c r="H40" s="1879"/>
      <c r="I40" s="1879"/>
      <c r="J40" s="1879"/>
      <c r="K40" s="1879"/>
    </row>
    <row r="41" spans="1:11" s="1870" customFormat="1" ht="12" customHeight="1" x14ac:dyDescent="0.25">
      <c r="A41" s="2305"/>
      <c r="B41" s="2306"/>
      <c r="C41" s="2306"/>
      <c r="D41" s="2306"/>
      <c r="E41" s="2306"/>
      <c r="F41" s="2307"/>
      <c r="H41" s="1879"/>
      <c r="I41" s="1879"/>
      <c r="J41" s="1879"/>
      <c r="K41" s="1879"/>
    </row>
    <row r="42" spans="1:11" s="1870" customFormat="1" ht="12" customHeight="1" x14ac:dyDescent="0.25">
      <c r="A42" s="2305"/>
      <c r="B42" s="2306"/>
      <c r="C42" s="2306"/>
      <c r="D42" s="2306"/>
      <c r="E42" s="2306"/>
      <c r="F42" s="2307"/>
      <c r="H42" s="1879"/>
      <c r="I42" s="1879"/>
      <c r="J42" s="1879"/>
      <c r="K42" s="1879"/>
    </row>
    <row r="43" spans="1:11" s="1870" customFormat="1" ht="15" x14ac:dyDescent="0.25">
      <c r="A43" s="2294"/>
      <c r="B43" s="2295"/>
      <c r="C43" s="2295"/>
      <c r="D43" s="2295"/>
      <c r="E43" s="2295"/>
      <c r="F43" s="2296"/>
      <c r="H43" s="1879"/>
      <c r="I43" s="1879"/>
      <c r="J43" s="1879"/>
      <c r="K43" s="1879"/>
    </row>
    <row r="44" spans="1:11" s="1870" customFormat="1" ht="12" hidden="1" customHeight="1" x14ac:dyDescent="0.25">
      <c r="A44" s="2294"/>
      <c r="B44" s="2295"/>
      <c r="C44" s="2295"/>
      <c r="D44" s="2295"/>
      <c r="E44" s="2295"/>
      <c r="F44" s="229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1" t="str">
        <f>COVER!A17</f>
        <v>Salt Fork CUSD 512</v>
      </c>
      <c r="J6" s="2322"/>
      <c r="Q6" s="1664"/>
    </row>
    <row r="7" spans="1:17" x14ac:dyDescent="0.2">
      <c r="A7" s="2323" t="s">
        <v>869</v>
      </c>
      <c r="B7" s="2324"/>
      <c r="C7" s="2324"/>
      <c r="D7" s="2324"/>
      <c r="E7" s="2325"/>
      <c r="F7" s="1017"/>
      <c r="G7" s="1009"/>
      <c r="H7" s="1016" t="s">
        <v>372</v>
      </c>
      <c r="I7" s="2326">
        <f>COVER!A13</f>
        <v>54092512026</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149391</v>
      </c>
      <c r="F12" s="1039"/>
      <c r="G12" s="1811">
        <f t="shared" ref="G12:G18" si="0">SUM(E12:F12)</f>
        <v>149391</v>
      </c>
      <c r="H12" s="1040">
        <v>154901</v>
      </c>
      <c r="I12" s="1039"/>
      <c r="J12" s="1811">
        <f t="shared" ref="J12:J18" si="1">SUM(H12:I12)</f>
        <v>154901</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149391</v>
      </c>
      <c r="F19" s="1813">
        <f t="shared" si="2"/>
        <v>0</v>
      </c>
      <c r="G19" s="1813">
        <f t="shared" si="2"/>
        <v>149391</v>
      </c>
      <c r="H19" s="1813">
        <f t="shared" si="2"/>
        <v>154901</v>
      </c>
      <c r="I19" s="1813">
        <f t="shared" si="2"/>
        <v>0</v>
      </c>
      <c r="J19" s="1813">
        <f t="shared" si="2"/>
        <v>154901</v>
      </c>
    </row>
    <row r="20" spans="1:10" ht="13.5" thickTop="1" x14ac:dyDescent="0.2">
      <c r="A20" s="1035">
        <v>9</v>
      </c>
      <c r="B20" s="2333" t="s">
        <v>1979</v>
      </c>
      <c r="C20" s="2333"/>
      <c r="D20" s="2334"/>
      <c r="E20" s="1046"/>
      <c r="F20" s="1046"/>
      <c r="G20" s="1046"/>
      <c r="H20" s="1046"/>
      <c r="I20" s="1046"/>
      <c r="J20" s="1814">
        <f>IF(AND(G19&gt;0,J19&gt;0),(((J19-G19)/G19)),"Enter Budget Data")</f>
        <v>3.6883078632581612E-2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1981</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80"/>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3" t="s">
        <v>2085</v>
      </c>
    </row>
    <row r="6" spans="1:2" x14ac:dyDescent="0.2">
      <c r="A6" s="1068"/>
      <c r="B6" s="1942" t="s">
        <v>2086</v>
      </c>
    </row>
    <row r="7" spans="1:2" x14ac:dyDescent="0.2">
      <c r="A7" s="1068"/>
      <c r="B7" s="329" t="s">
        <v>2087</v>
      </c>
    </row>
    <row r="8" spans="1:2" x14ac:dyDescent="0.2">
      <c r="A8" s="1068"/>
      <c r="B8" s="329" t="s">
        <v>2088</v>
      </c>
    </row>
    <row r="9" spans="1:2" x14ac:dyDescent="0.2">
      <c r="A9" s="1068"/>
      <c r="B9" s="329" t="s">
        <v>2089</v>
      </c>
    </row>
    <row r="10" spans="1:2" x14ac:dyDescent="0.2">
      <c r="A10" s="1068"/>
      <c r="B10" s="329" t="s">
        <v>2090</v>
      </c>
    </row>
    <row r="11" spans="1:2" x14ac:dyDescent="0.2">
      <c r="A11" s="1068"/>
      <c r="B11" s="329" t="s">
        <v>2111</v>
      </c>
    </row>
    <row r="12" spans="1:2" x14ac:dyDescent="0.2">
      <c r="A12" s="1068"/>
    </row>
    <row r="13" spans="1:2" x14ac:dyDescent="0.2">
      <c r="A13" s="1068">
        <v>2</v>
      </c>
      <c r="B13" s="1943" t="s">
        <v>2091</v>
      </c>
    </row>
    <row r="14" spans="1:2" x14ac:dyDescent="0.2">
      <c r="A14" s="1068"/>
      <c r="B14" s="1942" t="s">
        <v>2092</v>
      </c>
    </row>
    <row r="15" spans="1:2" x14ac:dyDescent="0.2">
      <c r="A15" s="1068"/>
      <c r="B15" s="329" t="s">
        <v>2093</v>
      </c>
    </row>
    <row r="16" spans="1:2" x14ac:dyDescent="0.2">
      <c r="A16" s="1068"/>
    </row>
    <row r="17" spans="1:2" x14ac:dyDescent="0.2">
      <c r="A17" s="1068">
        <v>3</v>
      </c>
      <c r="B17" s="1943" t="s">
        <v>2094</v>
      </c>
    </row>
    <row r="18" spans="1:2" x14ac:dyDescent="0.2">
      <c r="A18" s="1068"/>
      <c r="B18" s="1942" t="s">
        <v>2092</v>
      </c>
    </row>
    <row r="19" spans="1:2" x14ac:dyDescent="0.2">
      <c r="A19" s="1068"/>
      <c r="B19" s="329" t="s">
        <v>2095</v>
      </c>
    </row>
    <row r="20" spans="1:2" x14ac:dyDescent="0.2">
      <c r="A20" s="1068"/>
    </row>
    <row r="21" spans="1:2" x14ac:dyDescent="0.2">
      <c r="A21" s="1068"/>
      <c r="B21" s="1942" t="s">
        <v>2096</v>
      </c>
    </row>
    <row r="22" spans="1:2" x14ac:dyDescent="0.2">
      <c r="A22" s="1068"/>
      <c r="B22" s="329" t="s">
        <v>2097</v>
      </c>
    </row>
    <row r="23" spans="1:2" x14ac:dyDescent="0.2">
      <c r="A23" s="1068"/>
    </row>
    <row r="24" spans="1:2" x14ac:dyDescent="0.2">
      <c r="A24" s="1068"/>
      <c r="B24" s="1942" t="s">
        <v>2098</v>
      </c>
    </row>
    <row r="25" spans="1:2" x14ac:dyDescent="0.2">
      <c r="A25" s="1068"/>
      <c r="B25" s="329" t="s">
        <v>2101</v>
      </c>
    </row>
    <row r="26" spans="1:2" x14ac:dyDescent="0.2">
      <c r="A26" s="1068"/>
    </row>
    <row r="27" spans="1:2" x14ac:dyDescent="0.2">
      <c r="A27" s="1068"/>
      <c r="B27" s="1942" t="s">
        <v>2099</v>
      </c>
    </row>
    <row r="28" spans="1:2" x14ac:dyDescent="0.2">
      <c r="A28" s="1068"/>
      <c r="B28" s="329" t="s">
        <v>2100</v>
      </c>
    </row>
    <row r="29" spans="1:2" x14ac:dyDescent="0.2">
      <c r="A29" s="1068"/>
    </row>
    <row r="30" spans="1:2" x14ac:dyDescent="0.2">
      <c r="A30" s="1068">
        <v>4</v>
      </c>
      <c r="B30" s="1943" t="s">
        <v>2102</v>
      </c>
    </row>
    <row r="31" spans="1:2" x14ac:dyDescent="0.2">
      <c r="A31" s="1069"/>
      <c r="B31" s="1942" t="s">
        <v>2092</v>
      </c>
    </row>
    <row r="32" spans="1:2" x14ac:dyDescent="0.2">
      <c r="A32" s="1069"/>
      <c r="B32" s="329" t="s">
        <v>2103</v>
      </c>
    </row>
    <row r="33" spans="1:2" x14ac:dyDescent="0.2">
      <c r="A33" s="1069"/>
    </row>
    <row r="34" spans="1:2" x14ac:dyDescent="0.2">
      <c r="A34" s="1068">
        <v>5</v>
      </c>
      <c r="B34" s="1943" t="s">
        <v>2104</v>
      </c>
    </row>
    <row r="35" spans="1:2" x14ac:dyDescent="0.2">
      <c r="A35" s="1069"/>
      <c r="B35" s="329" t="s">
        <v>2105</v>
      </c>
    </row>
    <row r="36" spans="1:2" x14ac:dyDescent="0.2">
      <c r="A36" s="1069"/>
    </row>
    <row r="37" spans="1:2" x14ac:dyDescent="0.2">
      <c r="A37" s="1068">
        <v>6</v>
      </c>
      <c r="B37" s="1943" t="s">
        <v>2106</v>
      </c>
    </row>
    <row r="38" spans="1:2" x14ac:dyDescent="0.2">
      <c r="A38" s="1069"/>
      <c r="B38" s="329" t="s">
        <v>2107</v>
      </c>
    </row>
    <row r="39" spans="1:2" x14ac:dyDescent="0.2">
      <c r="A39" s="1069"/>
    </row>
    <row r="40" spans="1:2" x14ac:dyDescent="0.2">
      <c r="A40" s="1068">
        <v>7.3</v>
      </c>
      <c r="B40" s="1943" t="s">
        <v>2108</v>
      </c>
    </row>
    <row r="41" spans="1:2" x14ac:dyDescent="0.2">
      <c r="A41" s="1069"/>
      <c r="B41" s="329" t="s">
        <v>2109</v>
      </c>
    </row>
    <row r="42" spans="1:2" x14ac:dyDescent="0.2">
      <c r="A42" s="1069"/>
      <c r="B42" s="329" t="s">
        <v>2110</v>
      </c>
    </row>
    <row r="43" spans="1:2" x14ac:dyDescent="0.2">
      <c r="A43" s="1069"/>
    </row>
    <row r="44" spans="1:2" x14ac:dyDescent="0.2">
      <c r="A44" s="1069"/>
    </row>
    <row r="45" spans="1:2" x14ac:dyDescent="0.2">
      <c r="A45" s="1069"/>
    </row>
    <row r="46" spans="1:2" x14ac:dyDescent="0.2">
      <c r="A46" s="1069"/>
    </row>
    <row r="47" spans="1:2" x14ac:dyDescent="0.2">
      <c r="A47" s="1069"/>
    </row>
    <row r="48" spans="1:2"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2" x14ac:dyDescent="0.2">
      <c r="A65" s="1069"/>
    </row>
    <row r="66" spans="1:2" x14ac:dyDescent="0.2">
      <c r="A66" s="1069"/>
    </row>
    <row r="67" spans="1:2" x14ac:dyDescent="0.2">
      <c r="A67" s="1069"/>
    </row>
    <row r="68" spans="1:2" x14ac:dyDescent="0.2">
      <c r="A68" s="1069"/>
    </row>
    <row r="69" spans="1:2" x14ac:dyDescent="0.2">
      <c r="A69" s="1069"/>
    </row>
    <row r="70" spans="1:2" x14ac:dyDescent="0.2">
      <c r="A70" s="1069"/>
    </row>
    <row r="71" spans="1:2" x14ac:dyDescent="0.2">
      <c r="A71" s="1069"/>
    </row>
    <row r="72" spans="1:2" x14ac:dyDescent="0.2">
      <c r="A72" s="1069"/>
    </row>
    <row r="73" spans="1:2" x14ac:dyDescent="0.2">
      <c r="A73" s="1069"/>
    </row>
    <row r="74" spans="1:2" x14ac:dyDescent="0.2">
      <c r="A74" s="1069"/>
    </row>
    <row r="75" spans="1:2" x14ac:dyDescent="0.2">
      <c r="A75" s="1069"/>
    </row>
    <row r="76" spans="1:2" x14ac:dyDescent="0.2">
      <c r="A76" s="1069"/>
    </row>
    <row r="77" spans="1:2" x14ac:dyDescent="0.2">
      <c r="A77" s="1069"/>
    </row>
    <row r="78" spans="1:2" x14ac:dyDescent="0.2">
      <c r="A78" s="1069"/>
    </row>
    <row r="79" spans="1:2" x14ac:dyDescent="0.2">
      <c r="A79" s="1069"/>
      <c r="B79" s="258" t="str">
        <f>COVER!A17</f>
        <v>Salt Fork CUSD 512</v>
      </c>
    </row>
    <row r="80" spans="1:2" x14ac:dyDescent="0.2">
      <c r="B80" s="1070">
        <f>COVER!A13</f>
        <v>54092512026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0" t="s">
        <v>1685</v>
      </c>
      <c r="B18" s="234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1985</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1986</v>
      </c>
      <c r="B4" s="2361"/>
      <c r="C4" s="2361"/>
      <c r="D4" s="2361"/>
      <c r="E4" s="2361"/>
      <c r="F4" s="2362"/>
      <c r="G4" s="1074"/>
      <c r="H4" s="1074"/>
    </row>
    <row r="5" spans="1:8" ht="14.25" customHeight="1" x14ac:dyDescent="0.2">
      <c r="A5" s="2363" t="s">
        <v>1982</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9176468</v>
      </c>
      <c r="C8" s="1815">
        <f>'Acct Summary 7-8'!D8</f>
        <v>1882397</v>
      </c>
      <c r="D8" s="1815">
        <f>'Acct Summary 7-8'!F8</f>
        <v>704850</v>
      </c>
      <c r="E8" s="1815">
        <f>'Acct Summary 7-8'!I8</f>
        <v>85024</v>
      </c>
      <c r="F8" s="1815">
        <f>SUM(B8:E8)</f>
        <v>11848739</v>
      </c>
    </row>
    <row r="9" spans="1:8" s="1079" customFormat="1" ht="14.25" customHeight="1" thickBot="1" x14ac:dyDescent="0.25">
      <c r="A9" s="1078" t="s">
        <v>1369</v>
      </c>
      <c r="B9" s="1816">
        <f>'Acct Summary 7-8'!C17</f>
        <v>6959001</v>
      </c>
      <c r="C9" s="1816">
        <f>'Acct Summary 7-8'!D17</f>
        <v>1361483</v>
      </c>
      <c r="D9" s="1816">
        <f>'Acct Summary 7-8'!F17</f>
        <v>571503</v>
      </c>
      <c r="E9" s="1815"/>
      <c r="F9" s="1815">
        <f>SUM(B9:E9)</f>
        <v>8891987</v>
      </c>
    </row>
    <row r="10" spans="1:8" s="1079" customFormat="1" ht="14.25" thickTop="1" thickBot="1" x14ac:dyDescent="0.25">
      <c r="A10" s="1080" t="s">
        <v>1370</v>
      </c>
      <c r="B10" s="1817">
        <f>(B8-B9)</f>
        <v>2217467</v>
      </c>
      <c r="C10" s="1817">
        <f>(C8-C9)</f>
        <v>520914</v>
      </c>
      <c r="D10" s="1817">
        <f>(D8-D9)</f>
        <v>133347</v>
      </c>
      <c r="E10" s="1816">
        <f>(E8-E9)</f>
        <v>85024</v>
      </c>
      <c r="F10" s="1818">
        <f>SUM(F8-F9)</f>
        <v>2956752</v>
      </c>
    </row>
    <row r="11" spans="1:8" s="1079" customFormat="1" ht="14.25" thickTop="1" thickBot="1" x14ac:dyDescent="0.25">
      <c r="A11" s="1081" t="s">
        <v>1983</v>
      </c>
      <c r="B11" s="1819">
        <f>'Acct Summary 7-8'!C81</f>
        <v>4850402</v>
      </c>
      <c r="C11" s="1819">
        <f>'Acct Summary 7-8'!D81</f>
        <v>650404</v>
      </c>
      <c r="D11" s="1819">
        <f>'Acct Summary 7-8'!F81</f>
        <v>326579</v>
      </c>
      <c r="E11" s="1819">
        <f>'Acct Summary 7-8'!I81</f>
        <v>139753</v>
      </c>
      <c r="F11" s="1820">
        <f>SUM(B11:E11)</f>
        <v>5967138</v>
      </c>
    </row>
    <row r="12" spans="1:8" ht="16.5" customHeight="1" thickTop="1" x14ac:dyDescent="0.2">
      <c r="A12" s="1082"/>
      <c r="B12" s="1083"/>
      <c r="C12" s="2345" t="str">
        <f>IF(AND(F10&lt;0,F11&gt;=0,ABS(F10*3)&gt;ABS(F11)),A16,IF(AND(F10&lt;0,F11&gt;0,ABS(F10*3)&lt;=ABS(F11)),A17,IF(AND(F10&lt;0,F11&lt;0),A16,IF(F11=0,A19,A18))))</f>
        <v>Balanced - no deficit reduction plan is required.</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4"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54092512026</v>
      </c>
    </row>
    <row r="3" spans="1:2" x14ac:dyDescent="0.2">
      <c r="A3" t="s">
        <v>956</v>
      </c>
      <c r="B3" s="138" t="str">
        <f>COVER!A15</f>
        <v>VERMILION</v>
      </c>
    </row>
    <row r="4" spans="1:2" x14ac:dyDescent="0.2">
      <c r="A4" t="s">
        <v>1007</v>
      </c>
      <c r="B4" s="138" t="str">
        <f>COVER!A17</f>
        <v>Salt Fork CUSD 512</v>
      </c>
    </row>
    <row r="5" spans="1:2" x14ac:dyDescent="0.2">
      <c r="A5" t="s">
        <v>704</v>
      </c>
      <c r="B5" s="138" t="str">
        <f>COVER!A38</f>
        <v>PHILLIP COX</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4850402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4850402</v>
      </c>
      <c r="D92" s="2" t="str">
        <f t="shared" si="0"/>
        <v>Error?</v>
      </c>
    </row>
    <row r="93" spans="1:4" x14ac:dyDescent="0.2">
      <c r="A93" s="5">
        <v>32</v>
      </c>
      <c r="B93" s="138">
        <f>'Assets-Liab 5-6'!C41</f>
        <v>4850402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10000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650404</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650404</v>
      </c>
      <c r="D123" s="2" t="str">
        <f t="shared" si="0"/>
        <v>Error?</v>
      </c>
    </row>
    <row r="124" spans="1:4" x14ac:dyDescent="0.2">
      <c r="A124" s="5">
        <v>63</v>
      </c>
      <c r="B124" s="138">
        <f>'Assets-Liab 5-6'!D41</f>
        <v>650404</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60500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60500</v>
      </c>
      <c r="D140" s="2" t="str">
        <f t="shared" si="1"/>
        <v>Error?</v>
      </c>
    </row>
    <row r="141" spans="1:4" x14ac:dyDescent="0.2">
      <c r="A141" s="5">
        <v>80</v>
      </c>
      <c r="B141" s="138">
        <f>'Assets-Liab 5-6'!E41</f>
        <v>60500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326579</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326579</v>
      </c>
      <c r="D170" s="2" t="str">
        <f t="shared" si="1"/>
        <v>Error?</v>
      </c>
    </row>
    <row r="171" spans="1:4" x14ac:dyDescent="0.2">
      <c r="A171" s="5">
        <v>110</v>
      </c>
      <c r="B171" s="138">
        <f>'Assets-Liab 5-6'!F41</f>
        <v>326579</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374440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374440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2531</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2531</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58655</v>
      </c>
      <c r="D273" s="2" t="str">
        <f t="shared" si="3"/>
        <v>Error?</v>
      </c>
    </row>
    <row r="274" spans="1:4" x14ac:dyDescent="0.2">
      <c r="A274" s="5">
        <v>213</v>
      </c>
      <c r="B274" s="138">
        <f>'Assets-Liab 5-6'!M17</f>
        <v>7424737</v>
      </c>
      <c r="D274" s="2" t="str">
        <f t="shared" si="3"/>
        <v>Error?</v>
      </c>
    </row>
    <row r="275" spans="1:4" x14ac:dyDescent="0.2">
      <c r="A275" s="5">
        <v>214</v>
      </c>
      <c r="B275" s="138">
        <f>'Assets-Liab 5-6'!M18</f>
        <v>675430</v>
      </c>
      <c r="D275" s="2" t="str">
        <f t="shared" si="3"/>
        <v>Error?</v>
      </c>
    </row>
    <row r="276" spans="1:4" x14ac:dyDescent="0.2">
      <c r="A276" s="5">
        <v>215</v>
      </c>
      <c r="B276" s="138">
        <f>'Assets-Liab 5-6'!M19</f>
        <v>4465132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12623954</v>
      </c>
      <c r="C279" s="2" t="s">
        <v>573</v>
      </c>
      <c r="D279" s="2" t="str">
        <f t="shared" si="3"/>
        <v>Error?</v>
      </c>
    </row>
    <row r="280" spans="1:4" x14ac:dyDescent="0.2">
      <c r="A280" s="5">
        <v>219</v>
      </c>
      <c r="B280" s="138">
        <f>'Assets-Liab 5-6'!M40</f>
        <v>12623954</v>
      </c>
      <c r="D280" s="2" t="str">
        <f t="shared" si="3"/>
        <v>Error?</v>
      </c>
    </row>
    <row r="281" spans="1:4" x14ac:dyDescent="0.2">
      <c r="A281" s="5">
        <v>220</v>
      </c>
      <c r="B281" s="138">
        <f>'Assets-Liab 5-6'!M41</f>
        <v>12623954</v>
      </c>
      <c r="C281" s="2" t="s">
        <v>573</v>
      </c>
      <c r="D281" s="2" t="str">
        <f t="shared" si="3"/>
        <v>Error?</v>
      </c>
    </row>
    <row r="282" spans="1:4" x14ac:dyDescent="0.2">
      <c r="A282" s="5">
        <v>221</v>
      </c>
      <c r="B282" s="138">
        <f>'Assets-Liab 5-6'!N21</f>
        <v>60500</v>
      </c>
      <c r="D282" s="2" t="str">
        <f t="shared" si="3"/>
        <v>Error?</v>
      </c>
    </row>
    <row r="283" spans="1:4" x14ac:dyDescent="0.2">
      <c r="A283" s="5">
        <v>222</v>
      </c>
      <c r="B283" s="138">
        <f>'Assets-Liab 5-6'!N22</f>
        <v>594500</v>
      </c>
      <c r="D283" s="2" t="str">
        <f t="shared" si="3"/>
        <v>Error?</v>
      </c>
    </row>
    <row r="284" spans="1:4" x14ac:dyDescent="0.2">
      <c r="A284" s="5">
        <v>223</v>
      </c>
      <c r="B284" s="138">
        <f>'Assets-Liab 5-6'!N23</f>
        <v>655000</v>
      </c>
      <c r="C284" s="2" t="s">
        <v>573</v>
      </c>
      <c r="D284" s="2" t="str">
        <f t="shared" si="3"/>
        <v>Error?</v>
      </c>
    </row>
    <row r="285" spans="1:4" x14ac:dyDescent="0.2">
      <c r="A285" s="5">
        <v>224</v>
      </c>
      <c r="B285" s="138">
        <f>'Assets-Liab 5-6'!N36</f>
        <v>655000</v>
      </c>
      <c r="D285" s="2" t="str">
        <f t="shared" si="3"/>
        <v>Error?</v>
      </c>
    </row>
    <row r="286" spans="1:4" x14ac:dyDescent="0.2">
      <c r="A286" s="10">
        <v>225</v>
      </c>
      <c r="D286" s="2" t="str">
        <f t="shared" si="3"/>
        <v>OK</v>
      </c>
    </row>
    <row r="287" spans="1:4" x14ac:dyDescent="0.2">
      <c r="A287" s="5">
        <v>226</v>
      </c>
      <c r="B287" s="138">
        <f>'Assets-Liab 5-6'!N37</f>
        <v>655000</v>
      </c>
      <c r="C287" s="2" t="s">
        <v>573</v>
      </c>
      <c r="D287" s="2" t="str">
        <f t="shared" si="3"/>
        <v>Error?</v>
      </c>
    </row>
    <row r="288" spans="1:4" x14ac:dyDescent="0.2">
      <c r="A288" s="5">
        <v>227</v>
      </c>
      <c r="B288" s="138">
        <f>'Assets-Liab 5-6'!N41</f>
        <v>655000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2732581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60002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3625553</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61191</v>
      </c>
      <c r="D722" s="2" t="str">
        <f t="shared" si="10"/>
        <v>Error?</v>
      </c>
    </row>
    <row r="723" spans="1:4" x14ac:dyDescent="0.2">
      <c r="A723" s="5">
        <v>662</v>
      </c>
      <c r="B723" s="138">
        <f>'Expenditures 15-22'!C38</f>
        <v>255</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65223</v>
      </c>
      <c r="D726" s="2" t="str">
        <f t="shared" si="10"/>
        <v>Error?</v>
      </c>
    </row>
    <row r="727" spans="1:4" x14ac:dyDescent="0.2">
      <c r="A727" s="5">
        <v>666</v>
      </c>
      <c r="B727" s="138">
        <f>'Expenditures 15-22'!C42</f>
        <v>126669</v>
      </c>
      <c r="C727" s="2" t="s">
        <v>573</v>
      </c>
      <c r="D727" s="2" t="str">
        <f t="shared" si="10"/>
        <v>Error?</v>
      </c>
    </row>
    <row r="728" spans="1:4" x14ac:dyDescent="0.2">
      <c r="A728" s="5">
        <v>667</v>
      </c>
      <c r="B728" s="138">
        <f>'Expenditures 15-22'!C44</f>
        <v>11655</v>
      </c>
      <c r="D728" s="2" t="str">
        <f t="shared" si="10"/>
        <v>Error?</v>
      </c>
    </row>
    <row r="729" spans="1:4" x14ac:dyDescent="0.2">
      <c r="A729" s="5">
        <v>668</v>
      </c>
      <c r="B729" s="138">
        <f>'Expenditures 15-22'!C45</f>
        <v>72519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84174</v>
      </c>
      <c r="C731" s="2" t="s">
        <v>573</v>
      </c>
      <c r="D731" s="2" t="str">
        <f t="shared" si="10"/>
        <v>Error?</v>
      </c>
    </row>
    <row r="732" spans="1:4" x14ac:dyDescent="0.2">
      <c r="A732" s="5">
        <v>671</v>
      </c>
      <c r="B732" s="138">
        <f>'Expenditures 15-22'!C49</f>
        <v>5683</v>
      </c>
      <c r="D732" s="2" t="str">
        <f t="shared" si="10"/>
        <v>Error?</v>
      </c>
    </row>
    <row r="733" spans="1:4" x14ac:dyDescent="0.2">
      <c r="A733" s="5">
        <v>672</v>
      </c>
      <c r="B733" s="138">
        <f>'Expenditures 15-22'!C50</f>
        <v>101529</v>
      </c>
      <c r="D733" s="2" t="str">
        <f t="shared" si="10"/>
        <v>Error?</v>
      </c>
    </row>
    <row r="734" spans="1:4" x14ac:dyDescent="0.2">
      <c r="A734" s="5">
        <v>673</v>
      </c>
      <c r="B734" s="138">
        <f>'Expenditures 15-22'!C53</f>
        <v>107212</v>
      </c>
      <c r="C734" s="2" t="s">
        <v>573</v>
      </c>
      <c r="D734" s="2" t="str">
        <f t="shared" si="10"/>
        <v>Error?</v>
      </c>
    </row>
    <row r="735" spans="1:4" x14ac:dyDescent="0.2">
      <c r="A735" s="5">
        <v>674</v>
      </c>
      <c r="B735" s="138">
        <f>'Expenditures 15-22'!C55</f>
        <v>286814</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286814</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103996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103996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46954</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46954</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755819</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4381372</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751281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4432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1004487</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7303</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6173</v>
      </c>
      <c r="D784" s="2" t="str">
        <f t="shared" si="11"/>
        <v>Error?</v>
      </c>
    </row>
    <row r="785" spans="1:4" x14ac:dyDescent="0.2">
      <c r="A785" s="5">
        <v>724</v>
      </c>
      <c r="B785" s="138">
        <f>'Expenditures 15-22'!D42</f>
        <v>13476</v>
      </c>
      <c r="C785" s="2" t="s">
        <v>573</v>
      </c>
      <c r="D785" s="2" t="str">
        <f t="shared" si="11"/>
        <v>Error?</v>
      </c>
    </row>
    <row r="786" spans="1:4" x14ac:dyDescent="0.2">
      <c r="A786" s="5">
        <v>725</v>
      </c>
      <c r="B786" s="138">
        <f>'Expenditures 15-22'!D44</f>
        <v>4200</v>
      </c>
      <c r="D786" s="2" t="str">
        <f t="shared" si="11"/>
        <v>Error?</v>
      </c>
    </row>
    <row r="787" spans="1:4" x14ac:dyDescent="0.2">
      <c r="A787" s="5">
        <v>726</v>
      </c>
      <c r="B787" s="138">
        <f>'Expenditures 15-22'!D45</f>
        <v>18609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22809</v>
      </c>
      <c r="C789" s="2" t="s">
        <v>573</v>
      </c>
      <c r="D789" s="2" t="str">
        <f t="shared" si="11"/>
        <v>Error?</v>
      </c>
    </row>
    <row r="790" spans="1:4" x14ac:dyDescent="0.2">
      <c r="A790" s="5">
        <v>729</v>
      </c>
      <c r="B790" s="138">
        <f>'Expenditures 15-22'!D49</f>
        <v>2736</v>
      </c>
      <c r="D790" s="2" t="str">
        <f t="shared" si="11"/>
        <v>Error?</v>
      </c>
    </row>
    <row r="791" spans="1:4" x14ac:dyDescent="0.2">
      <c r="A791" s="5">
        <v>730</v>
      </c>
      <c r="B791" s="138">
        <f>'Expenditures 15-22'!D50</f>
        <v>34751</v>
      </c>
      <c r="D791" s="2" t="str">
        <f t="shared" si="11"/>
        <v>Error?</v>
      </c>
    </row>
    <row r="792" spans="1:4" x14ac:dyDescent="0.2">
      <c r="A792" s="5">
        <v>731</v>
      </c>
      <c r="B792" s="138">
        <f>'Expenditures 15-22'!D53</f>
        <v>37487</v>
      </c>
      <c r="C792" s="2" t="s">
        <v>573</v>
      </c>
      <c r="D792" s="2" t="str">
        <f t="shared" si="11"/>
        <v>Error?</v>
      </c>
    </row>
    <row r="793" spans="1:4" x14ac:dyDescent="0.2">
      <c r="A793" s="5">
        <v>732</v>
      </c>
      <c r="B793" s="138">
        <f>'Expenditures 15-22'!D55</f>
        <v>67326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67326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17997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17997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11974</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11974</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171069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1175556</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55221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32122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98525</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23077</v>
      </c>
      <c r="D844" s="2" t="str">
        <f t="shared" si="12"/>
        <v>Error?</v>
      </c>
    </row>
    <row r="845" spans="1:4" x14ac:dyDescent="0.2">
      <c r="A845" s="5">
        <v>784</v>
      </c>
      <c r="B845" s="138">
        <f>'Expenditures 15-22'!E45</f>
        <v>2900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25977</v>
      </c>
      <c r="C847" s="2" t="s">
        <v>573</v>
      </c>
      <c r="D847" s="2" t="str">
        <f t="shared" si="12"/>
        <v>Error?</v>
      </c>
    </row>
    <row r="848" spans="1:4" x14ac:dyDescent="0.2">
      <c r="A848" s="5">
        <v>787</v>
      </c>
      <c r="B848" s="138">
        <f>'Expenditures 15-22'!E49</f>
        <v>25156</v>
      </c>
      <c r="D848" s="2" t="str">
        <f t="shared" si="12"/>
        <v>Error?</v>
      </c>
    </row>
    <row r="849" spans="1:4" x14ac:dyDescent="0.2">
      <c r="A849" s="5">
        <v>788</v>
      </c>
      <c r="B849" s="138">
        <f>'Expenditures 15-22'!E50</f>
        <v>3252</v>
      </c>
      <c r="D849" s="2" t="str">
        <f t="shared" si="12"/>
        <v>Error?</v>
      </c>
    </row>
    <row r="850" spans="1:4" x14ac:dyDescent="0.2">
      <c r="A850" s="5">
        <v>789</v>
      </c>
      <c r="B850" s="138">
        <f>'Expenditures 15-22'!E53</f>
        <v>28408</v>
      </c>
      <c r="C850" s="2" t="s">
        <v>573</v>
      </c>
      <c r="D850" s="2" t="str">
        <f t="shared" si="12"/>
        <v>Error?</v>
      </c>
    </row>
    <row r="851" spans="1:4" x14ac:dyDescent="0.2">
      <c r="A851" s="5">
        <v>790</v>
      </c>
      <c r="B851" s="138">
        <f>'Expenditures 15-22'!E55</f>
        <v>30785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30785</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3161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29118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32279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117449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646715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34725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57764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1069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1069</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1099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1099</v>
      </c>
      <c r="C905" s="2" t="s">
        <v>573</v>
      </c>
      <c r="D905" s="2" t="str">
        <f t="shared" si="13"/>
        <v>Error?</v>
      </c>
    </row>
    <row r="906" spans="1:4" x14ac:dyDescent="0.2">
      <c r="A906" s="5">
        <v>845</v>
      </c>
      <c r="B906" s="138">
        <f>'Expenditures 15-22'!F49</f>
        <v>299</v>
      </c>
      <c r="D906" s="2" t="str">
        <f t="shared" si="13"/>
        <v>Error?</v>
      </c>
    </row>
    <row r="907" spans="1:4" x14ac:dyDescent="0.2">
      <c r="A907" s="5">
        <v>846</v>
      </c>
      <c r="B907" s="138">
        <f>'Expenditures 15-22'!F50</f>
        <v>5523</v>
      </c>
      <c r="D907" s="2" t="str">
        <f t="shared" si="13"/>
        <v>Error?</v>
      </c>
    </row>
    <row r="908" spans="1:4" x14ac:dyDescent="0.2">
      <c r="A908" s="5">
        <v>847</v>
      </c>
      <c r="B908" s="138">
        <f>'Expenditures 15-22'!F53</f>
        <v>5822</v>
      </c>
      <c r="C908" s="2" t="s">
        <v>573</v>
      </c>
      <c r="D908" s="2" t="str">
        <f t="shared" si="13"/>
        <v>Error?</v>
      </c>
    </row>
    <row r="909" spans="1:4" x14ac:dyDescent="0.2">
      <c r="A909" s="5">
        <v>848</v>
      </c>
      <c r="B909" s="138">
        <f>'Expenditures 15-22'!F55</f>
        <v>402812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402812</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307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227887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228194</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638996</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696760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9339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3643</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26843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75</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75</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50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26968</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11731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12583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2060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2060</v>
      </c>
      <c r="C1021" s="2" t="s">
        <v>573</v>
      </c>
      <c r="D1021" s="2" t="str">
        <f t="shared" si="14"/>
        <v>Error?</v>
      </c>
    </row>
    <row r="1022" spans="1:4" x14ac:dyDescent="0.2">
      <c r="A1022" s="5">
        <v>961</v>
      </c>
      <c r="B1022" s="138">
        <f>'Expenditures 15-22'!H49</f>
        <v>6361</v>
      </c>
      <c r="D1022" s="2" t="str">
        <f t="shared" si="14"/>
        <v>Error?</v>
      </c>
    </row>
    <row r="1023" spans="1:4" x14ac:dyDescent="0.2">
      <c r="A1023" s="5">
        <v>962</v>
      </c>
      <c r="B1023" s="138">
        <f>'Expenditures 15-22'!H50</f>
        <v>4336</v>
      </c>
      <c r="D1023" s="2" t="str">
        <f t="shared" ref="D1023:D1086" si="15">IF(ISBLANK(B1023),"OK",IF(A1023-B1023=0,"OK","Error?"))</f>
        <v>Error?</v>
      </c>
    </row>
    <row r="1024" spans="1:4" x14ac:dyDescent="0.2">
      <c r="A1024" s="5">
        <v>963</v>
      </c>
      <c r="B1024" s="138">
        <f>'Expenditures 15-22'!H53</f>
        <v>10697</v>
      </c>
      <c r="C1024" s="2" t="s">
        <v>573</v>
      </c>
      <c r="D1024" s="2" t="str">
        <f t="shared" si="15"/>
        <v>Error?</v>
      </c>
    </row>
    <row r="1025" spans="1:4" x14ac:dyDescent="0.2">
      <c r="A1025" s="5">
        <v>964</v>
      </c>
      <c r="B1025" s="138">
        <f>'Expenditures 15-22'!H55</f>
        <v>4248</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4248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2042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2042</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19047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31630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3548422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146655</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4825755</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68494</v>
      </c>
      <c r="C1110" s="2" t="s">
        <v>573</v>
      </c>
      <c r="D1110" s="2" t="str">
        <f t="shared" si="16"/>
        <v>Error?</v>
      </c>
    </row>
    <row r="1111" spans="1:4" x14ac:dyDescent="0.2">
      <c r="A1111" s="5">
        <v>1050</v>
      </c>
      <c r="B1111" s="138">
        <f>'Expenditures 15-22'!K38</f>
        <v>1399</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71396</v>
      </c>
      <c r="C1114" s="2" t="s">
        <v>573</v>
      </c>
      <c r="D1114" s="2" t="str">
        <f t="shared" si="16"/>
        <v>Error?</v>
      </c>
    </row>
    <row r="1115" spans="1:4" x14ac:dyDescent="0.2">
      <c r="A1115" s="5">
        <v>1054</v>
      </c>
      <c r="B1115" s="138">
        <f>'Expenditures 15-22'!K42</f>
        <v>141289</v>
      </c>
      <c r="C1115" s="2" t="s">
        <v>573</v>
      </c>
      <c r="D1115" s="2" t="str">
        <f t="shared" si="16"/>
        <v>Error?</v>
      </c>
    </row>
    <row r="1116" spans="1:4" x14ac:dyDescent="0.2">
      <c r="A1116" s="5">
        <v>1055</v>
      </c>
      <c r="B1116" s="138">
        <f>'Expenditures 15-22'!K44</f>
        <v>38932</v>
      </c>
      <c r="C1116" s="2" t="s">
        <v>573</v>
      </c>
      <c r="D1116" s="2" t="str">
        <f t="shared" si="16"/>
        <v>Error?</v>
      </c>
    </row>
    <row r="1117" spans="1:4" x14ac:dyDescent="0.2">
      <c r="A1117" s="5">
        <v>1056</v>
      </c>
      <c r="B1117" s="138">
        <f>'Expenditures 15-22'!K45</f>
        <v>97187</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136119</v>
      </c>
      <c r="C1119" s="2" t="s">
        <v>573</v>
      </c>
      <c r="D1119" s="2" t="str">
        <f t="shared" si="16"/>
        <v>Error?</v>
      </c>
    </row>
    <row r="1120" spans="1:4" x14ac:dyDescent="0.2">
      <c r="A1120" s="5">
        <v>1059</v>
      </c>
      <c r="B1120" s="138">
        <f>'Expenditures 15-22'!K49</f>
        <v>40235</v>
      </c>
      <c r="C1120" s="2" t="s">
        <v>573</v>
      </c>
      <c r="D1120" s="2" t="str">
        <f t="shared" si="16"/>
        <v>Error?</v>
      </c>
    </row>
    <row r="1121" spans="1:4" x14ac:dyDescent="0.2">
      <c r="A1121" s="5">
        <v>1060</v>
      </c>
      <c r="B1121" s="138">
        <f>'Expenditures 15-22'!K50</f>
        <v>149391</v>
      </c>
      <c r="C1121" s="2" t="s">
        <v>573</v>
      </c>
      <c r="D1121" s="2" t="str">
        <f t="shared" si="16"/>
        <v>Error?</v>
      </c>
    </row>
    <row r="1122" spans="1:4" x14ac:dyDescent="0.2">
      <c r="A1122" s="5">
        <v>1061</v>
      </c>
      <c r="B1122" s="138">
        <f>'Expenditures 15-22'!K53</f>
        <v>189626</v>
      </c>
      <c r="C1122" s="2" t="s">
        <v>573</v>
      </c>
      <c r="D1122" s="2" t="str">
        <f t="shared" si="16"/>
        <v>Error?</v>
      </c>
    </row>
    <row r="1123" spans="1:4" x14ac:dyDescent="0.2">
      <c r="A1123" s="5">
        <v>1062</v>
      </c>
      <c r="B1123" s="138">
        <f>'Expenditures 15-22'!K55</f>
        <v>791985</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791985</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3468</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381090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384558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58928</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58928</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1702505</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430741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6959001</v>
      </c>
      <c r="C1152" s="2" t="s">
        <v>573</v>
      </c>
      <c r="D1152" s="2" t="str">
        <f t="shared" si="17"/>
        <v>Error?</v>
      </c>
    </row>
    <row r="1153" spans="1:4" x14ac:dyDescent="0.2">
      <c r="A1153" s="5">
        <v>1092</v>
      </c>
      <c r="B1153" s="138">
        <f>'Expenditures 15-22'!K115</f>
        <v>2217467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241054</v>
      </c>
      <c r="D1221" s="2" t="str">
        <f t="shared" si="18"/>
        <v>Error?</v>
      </c>
    </row>
    <row r="1222" spans="1:4" x14ac:dyDescent="0.2">
      <c r="A1222" s="10">
        <v>1161</v>
      </c>
      <c r="D1222" s="2" t="str">
        <f t="shared" si="18"/>
        <v>OK</v>
      </c>
    </row>
    <row r="1223" spans="1:4" x14ac:dyDescent="0.2">
      <c r="A1223" s="5">
        <v>1162</v>
      </c>
      <c r="B1223" s="138">
        <f>'Expenditures 15-22'!C127</f>
        <v>241054</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241054</v>
      </c>
      <c r="C1225" s="2" t="s">
        <v>573</v>
      </c>
      <c r="D1225" s="2" t="str">
        <f t="shared" si="18"/>
        <v>Error?</v>
      </c>
    </row>
    <row r="1226" spans="1:4" x14ac:dyDescent="0.2">
      <c r="A1226" s="5">
        <v>1165</v>
      </c>
      <c r="B1226" s="138">
        <f>'Expenditures 15-22'!C151</f>
        <v>241054</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72366</v>
      </c>
      <c r="D1229" s="2" t="str">
        <f t="shared" si="18"/>
        <v>Error?</v>
      </c>
    </row>
    <row r="1230" spans="1:4" x14ac:dyDescent="0.2">
      <c r="A1230" s="10">
        <v>1169</v>
      </c>
      <c r="D1230" s="2" t="str">
        <f t="shared" si="18"/>
        <v>OK</v>
      </c>
    </row>
    <row r="1231" spans="1:4" x14ac:dyDescent="0.2">
      <c r="A1231" s="5">
        <v>1170</v>
      </c>
      <c r="B1231" s="138">
        <f>'Expenditures 15-22'!D127</f>
        <v>72366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72366</v>
      </c>
      <c r="C1233" s="2" t="s">
        <v>573</v>
      </c>
      <c r="D1233" s="2" t="str">
        <f t="shared" si="18"/>
        <v>Error?</v>
      </c>
    </row>
    <row r="1234" spans="1:4" x14ac:dyDescent="0.2">
      <c r="A1234" s="5">
        <v>1173</v>
      </c>
      <c r="B1234" s="138">
        <f>'Expenditures 15-22'!D151</f>
        <v>72366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28775</v>
      </c>
      <c r="D1236" s="2" t="str">
        <f t="shared" si="18"/>
        <v>Error?</v>
      </c>
    </row>
    <row r="1237" spans="1:4" x14ac:dyDescent="0.2">
      <c r="A1237" s="5">
        <v>1176</v>
      </c>
      <c r="B1237" s="138">
        <f>'Expenditures 15-22'!E124</f>
        <v>223089</v>
      </c>
      <c r="D1237" s="2" t="str">
        <f t="shared" si="18"/>
        <v>Error?</v>
      </c>
    </row>
    <row r="1238" spans="1:4" x14ac:dyDescent="0.2">
      <c r="A1238" s="10">
        <v>1177</v>
      </c>
      <c r="D1238" s="2" t="str">
        <f t="shared" si="18"/>
        <v>OK</v>
      </c>
    </row>
    <row r="1239" spans="1:4" x14ac:dyDescent="0.2">
      <c r="A1239" s="5">
        <v>1178</v>
      </c>
      <c r="B1239" s="138">
        <f>'Expenditures 15-22'!E127</f>
        <v>251864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251864</v>
      </c>
      <c r="C1241" s="2" t="s">
        <v>573</v>
      </c>
      <c r="D1241" s="2" t="str">
        <f t="shared" si="18"/>
        <v>Error?</v>
      </c>
    </row>
    <row r="1242" spans="1:4" x14ac:dyDescent="0.2">
      <c r="A1242" s="5">
        <v>1181</v>
      </c>
      <c r="B1242" s="138">
        <f>'Expenditures 15-22'!E151</f>
        <v>251864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246288</v>
      </c>
      <c r="D1245" s="2" t="str">
        <f t="shared" si="18"/>
        <v>Error?</v>
      </c>
    </row>
    <row r="1246" spans="1:4" x14ac:dyDescent="0.2">
      <c r="A1246" s="10">
        <v>1185</v>
      </c>
      <c r="D1246" s="2" t="str">
        <f t="shared" si="18"/>
        <v>OK</v>
      </c>
    </row>
    <row r="1247" spans="1:4" x14ac:dyDescent="0.2">
      <c r="A1247" s="5">
        <v>1186</v>
      </c>
      <c r="B1247" s="138">
        <f>'Expenditures 15-22'!F127</f>
        <v>246288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246288</v>
      </c>
      <c r="C1249" s="2" t="s">
        <v>573</v>
      </c>
      <c r="D1249" s="2" t="str">
        <f t="shared" si="18"/>
        <v>Error?</v>
      </c>
    </row>
    <row r="1250" spans="1:4" x14ac:dyDescent="0.2">
      <c r="A1250" s="5">
        <v>1189</v>
      </c>
      <c r="B1250" s="138">
        <f>'Expenditures 15-22'!F151</f>
        <v>246288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549431</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549431</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549431</v>
      </c>
      <c r="C1258" s="2" t="s">
        <v>573</v>
      </c>
      <c r="D1258" s="2" t="str">
        <f t="shared" si="18"/>
        <v>Error?</v>
      </c>
    </row>
    <row r="1259" spans="1:4" x14ac:dyDescent="0.2">
      <c r="A1259" s="5">
        <v>1198</v>
      </c>
      <c r="B1259" s="138">
        <f>'Expenditures 15-22'!G151</f>
        <v>549431</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480</v>
      </c>
      <c r="D1262" s="2" t="str">
        <f t="shared" si="18"/>
        <v>Error?</v>
      </c>
    </row>
    <row r="1263" spans="1:4" x14ac:dyDescent="0.2">
      <c r="A1263" s="10">
        <v>1202</v>
      </c>
      <c r="D1263" s="2" t="str">
        <f t="shared" si="18"/>
        <v>OK</v>
      </c>
    </row>
    <row r="1264" spans="1:4" x14ac:dyDescent="0.2">
      <c r="A1264" s="5">
        <v>1203</v>
      </c>
      <c r="B1264" s="138">
        <f>'Expenditures 15-22'!H127</f>
        <v>480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480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480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28775</v>
      </c>
      <c r="C1275" s="2" t="s">
        <v>573</v>
      </c>
      <c r="D1275" s="2" t="str">
        <f t="shared" si="18"/>
        <v>Error?</v>
      </c>
    </row>
    <row r="1276" spans="1:4" x14ac:dyDescent="0.2">
      <c r="A1276" s="5">
        <v>1215</v>
      </c>
      <c r="B1276" s="138">
        <f>'Expenditures 15-22'!K124</f>
        <v>1332708</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1361483</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1361483</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1361483</v>
      </c>
      <c r="C1288" s="2" t="s">
        <v>573</v>
      </c>
      <c r="D1288" s="2" t="str">
        <f t="shared" si="19"/>
        <v>Error?</v>
      </c>
    </row>
    <row r="1289" spans="1:4" x14ac:dyDescent="0.2">
      <c r="A1289" s="5">
        <v>1228</v>
      </c>
      <c r="B1289" s="138">
        <f>'Expenditures 15-22'!K152</f>
        <v>520914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26652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60000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87152</v>
      </c>
      <c r="C1317" s="2" t="s">
        <v>573</v>
      </c>
      <c r="D1317" s="2" t="str">
        <f t="shared" si="19"/>
        <v>Error?</v>
      </c>
    </row>
    <row r="1318" spans="1:4" x14ac:dyDescent="0.2">
      <c r="A1318" s="5">
        <v>1257</v>
      </c>
      <c r="B1318" s="138">
        <f>'Expenditures 15-22'!H174</f>
        <v>87152</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26652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60000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87152</v>
      </c>
      <c r="C1331" s="2" t="s">
        <v>573</v>
      </c>
      <c r="D1331" s="2" t="str">
        <f t="shared" si="19"/>
        <v>Error?</v>
      </c>
    </row>
    <row r="1332" spans="1:4" x14ac:dyDescent="0.2">
      <c r="A1332" s="5">
        <v>1271</v>
      </c>
      <c r="B1332" s="138">
        <f>'Expenditures 15-22'!K174</f>
        <v>87152</v>
      </c>
      <c r="C1332" s="2" t="s">
        <v>573</v>
      </c>
      <c r="D1332" s="2" t="str">
        <f t="shared" si="19"/>
        <v>Error?</v>
      </c>
    </row>
    <row r="1333" spans="1:4" x14ac:dyDescent="0.2">
      <c r="A1333" s="5">
        <v>1272</v>
      </c>
      <c r="B1333" s="138">
        <f>'Expenditures 15-22'!K175</f>
        <v>56501</v>
      </c>
      <c r="C1333" s="2" t="s">
        <v>573</v>
      </c>
      <c r="D1333" s="2" t="str">
        <f t="shared" si="19"/>
        <v>Error?</v>
      </c>
    </row>
    <row r="1334" spans="1:4" x14ac:dyDescent="0.2">
      <c r="A1334" s="10">
        <v>1273</v>
      </c>
      <c r="D1334" s="2" t="str">
        <f t="shared" si="19"/>
        <v>OK</v>
      </c>
    </row>
    <row r="1335" spans="1:4" x14ac:dyDescent="0.2">
      <c r="A1335" s="5">
        <v>1274</v>
      </c>
      <c r="B1335" s="138">
        <f>'Expenditures 15-22'!C182</f>
        <v>191483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191483</v>
      </c>
      <c r="C1339" s="2" t="s">
        <v>573</v>
      </c>
      <c r="D1339" s="2" t="str">
        <f t="shared" si="19"/>
        <v>Error?</v>
      </c>
    </row>
    <row r="1340" spans="1:4" x14ac:dyDescent="0.2">
      <c r="A1340" s="5">
        <v>1279</v>
      </c>
      <c r="B1340" s="138">
        <f>'Expenditures 15-22'!C210</f>
        <v>191483</v>
      </c>
      <c r="C1340" s="2" t="s">
        <v>573</v>
      </c>
      <c r="D1340" s="2" t="str">
        <f t="shared" si="19"/>
        <v>Error?</v>
      </c>
    </row>
    <row r="1341" spans="1:4" x14ac:dyDescent="0.2">
      <c r="A1341" s="5">
        <v>1280</v>
      </c>
      <c r="B1341" s="138">
        <f>'Expenditures 15-22'!D182</f>
        <v>32157</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32157</v>
      </c>
      <c r="C1345" s="2" t="s">
        <v>573</v>
      </c>
      <c r="D1345" s="2" t="str">
        <f t="shared" si="20"/>
        <v>Error?</v>
      </c>
    </row>
    <row r="1346" spans="1:4" x14ac:dyDescent="0.2">
      <c r="A1346" s="5">
        <v>1285</v>
      </c>
      <c r="B1346" s="138">
        <f>'Expenditures 15-22'!D210</f>
        <v>32157</v>
      </c>
      <c r="C1346" s="2" t="s">
        <v>573</v>
      </c>
      <c r="D1346" s="2" t="str">
        <f t="shared" si="20"/>
        <v>Error?</v>
      </c>
    </row>
    <row r="1347" spans="1:4" x14ac:dyDescent="0.2">
      <c r="A1347" s="5">
        <v>1286</v>
      </c>
      <c r="B1347" s="138">
        <f>'Expenditures 15-22'!E182</f>
        <v>65285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65285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65285</v>
      </c>
      <c r="C1353" s="2" t="s">
        <v>573</v>
      </c>
      <c r="D1353" s="2" t="str">
        <f t="shared" si="20"/>
        <v>Error?</v>
      </c>
    </row>
    <row r="1354" spans="1:4" x14ac:dyDescent="0.2">
      <c r="A1354" s="5">
        <v>1293</v>
      </c>
      <c r="B1354" s="138">
        <f>'Expenditures 15-22'!F182</f>
        <v>67526</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67526</v>
      </c>
      <c r="C1358" s="2" t="s">
        <v>573</v>
      </c>
      <c r="D1358" s="2" t="str">
        <f t="shared" si="20"/>
        <v>Error?</v>
      </c>
    </row>
    <row r="1359" spans="1:4" x14ac:dyDescent="0.2">
      <c r="A1359" s="5">
        <v>1298</v>
      </c>
      <c r="B1359" s="138">
        <f>'Expenditures 15-22'!F210</f>
        <v>67526</v>
      </c>
      <c r="C1359" s="2" t="s">
        <v>573</v>
      </c>
      <c r="D1359" s="2" t="str">
        <f t="shared" si="20"/>
        <v>Error?</v>
      </c>
    </row>
    <row r="1360" spans="1:4" x14ac:dyDescent="0.2">
      <c r="A1360" s="5">
        <v>1299</v>
      </c>
      <c r="B1360" s="138">
        <f>'Expenditures 15-22'!G182</f>
        <v>211850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211850</v>
      </c>
      <c r="C1364" s="2" t="s">
        <v>573</v>
      </c>
      <c r="D1364" s="2" t="str">
        <f t="shared" si="20"/>
        <v>Error?</v>
      </c>
    </row>
    <row r="1365" spans="1:4" x14ac:dyDescent="0.2">
      <c r="A1365" s="5">
        <v>1304</v>
      </c>
      <c r="B1365" s="138">
        <f>'Expenditures 15-22'!G210</f>
        <v>211850</v>
      </c>
      <c r="C1365" s="2" t="s">
        <v>573</v>
      </c>
      <c r="D1365" s="2" t="str">
        <f t="shared" si="20"/>
        <v>Error?</v>
      </c>
    </row>
    <row r="1366" spans="1:4" x14ac:dyDescent="0.2">
      <c r="A1366" s="5">
        <v>1305</v>
      </c>
      <c r="B1366" s="138">
        <f>'Expenditures 15-22'!H182</f>
        <v>3202</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3202</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3202</v>
      </c>
      <c r="C1376" s="2" t="s">
        <v>573</v>
      </c>
      <c r="D1376" s="2" t="str">
        <f t="shared" si="20"/>
        <v>Error?</v>
      </c>
    </row>
    <row r="1377" spans="1:4" x14ac:dyDescent="0.2">
      <c r="A1377" s="5">
        <v>1316</v>
      </c>
      <c r="B1377" s="138">
        <f>'Expenditures 15-22'!K182</f>
        <v>571503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571503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571503</v>
      </c>
      <c r="C1388" s="2" t="s">
        <v>573</v>
      </c>
      <c r="D1388" s="2" t="str">
        <f t="shared" si="20"/>
        <v>Error?</v>
      </c>
    </row>
    <row r="1389" spans="1:4" x14ac:dyDescent="0.2">
      <c r="A1389" s="5">
        <v>1328</v>
      </c>
      <c r="B1389" s="138">
        <f>'Expenditures 15-22'!K211</f>
        <v>133347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2700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135598</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887</v>
      </c>
      <c r="D1412" s="2" t="str">
        <f t="shared" si="21"/>
        <v>Error?</v>
      </c>
    </row>
    <row r="1413" spans="1:4" x14ac:dyDescent="0.2">
      <c r="A1413" s="5">
        <v>1352</v>
      </c>
      <c r="B1413" s="138">
        <f>'Expenditures 15-22'!D234</f>
        <v>19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1866</v>
      </c>
      <c r="D1416" s="2" t="str">
        <f t="shared" si="21"/>
        <v>Error?</v>
      </c>
    </row>
    <row r="1417" spans="1:4" x14ac:dyDescent="0.2">
      <c r="A1417" s="5">
        <v>1356</v>
      </c>
      <c r="B1417" s="138">
        <f>'Expenditures 15-22'!D238</f>
        <v>2772</v>
      </c>
      <c r="C1417" s="2" t="s">
        <v>573</v>
      </c>
      <c r="D1417" s="2" t="str">
        <f t="shared" si="21"/>
        <v>Error?</v>
      </c>
    </row>
    <row r="1418" spans="1:4" x14ac:dyDescent="0.2">
      <c r="A1418" s="5">
        <v>1357</v>
      </c>
      <c r="B1418" s="138">
        <f>'Expenditures 15-22'!D240</f>
        <v>2752</v>
      </c>
      <c r="D1418" s="2" t="str">
        <f t="shared" si="21"/>
        <v>Error?</v>
      </c>
    </row>
    <row r="1419" spans="1:4" x14ac:dyDescent="0.2">
      <c r="A1419" s="5">
        <v>1358</v>
      </c>
      <c r="B1419" s="138">
        <f>'Expenditures 15-22'!D241</f>
        <v>14439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17191</v>
      </c>
      <c r="C1421" s="2" t="s">
        <v>573</v>
      </c>
      <c r="D1421" s="2" t="str">
        <f t="shared" si="21"/>
        <v>Error?</v>
      </c>
    </row>
    <row r="1422" spans="1:4" x14ac:dyDescent="0.2">
      <c r="A1422" s="5">
        <v>1361</v>
      </c>
      <c r="B1422" s="138">
        <f>'Expenditures 15-22'!D245</f>
        <v>471</v>
      </c>
      <c r="D1422" s="2" t="str">
        <f t="shared" si="21"/>
        <v>Error?</v>
      </c>
    </row>
    <row r="1423" spans="1:4" x14ac:dyDescent="0.2">
      <c r="A1423" s="5">
        <v>1362</v>
      </c>
      <c r="B1423" s="138">
        <f>'Expenditures 15-22'!D246</f>
        <v>12336</v>
      </c>
      <c r="D1423" s="2" t="str">
        <f t="shared" si="21"/>
        <v>Error?</v>
      </c>
    </row>
    <row r="1424" spans="1:4" x14ac:dyDescent="0.2">
      <c r="A1424" s="5">
        <v>1363</v>
      </c>
      <c r="B1424" s="138">
        <f>'Expenditures 15-22'!D257</f>
        <v>34516</v>
      </c>
      <c r="C1424" s="2" t="s">
        <v>573</v>
      </c>
      <c r="D1424" s="2" t="str">
        <f t="shared" si="21"/>
        <v>Error?</v>
      </c>
    </row>
    <row r="1425" spans="1:4" x14ac:dyDescent="0.2">
      <c r="A1425" s="5">
        <v>1364</v>
      </c>
      <c r="B1425" s="138">
        <f>'Expenditures 15-22'!D259</f>
        <v>16980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16980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59339</v>
      </c>
      <c r="D1431" s="2" t="str">
        <f t="shared" si="21"/>
        <v>Error?</v>
      </c>
    </row>
    <row r="1432" spans="1:4" x14ac:dyDescent="0.2">
      <c r="A1432" s="5">
        <v>1371</v>
      </c>
      <c r="B1432" s="138">
        <f>'Expenditures 15-22'!D267</f>
        <v>33226</v>
      </c>
      <c r="D1432" s="2" t="str">
        <f t="shared" si="21"/>
        <v>Error?</v>
      </c>
    </row>
    <row r="1433" spans="1:4" x14ac:dyDescent="0.2">
      <c r="A1433" s="5">
        <v>1372</v>
      </c>
      <c r="B1433" s="138">
        <f>'Expenditures 15-22'!D268</f>
        <v>18969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111534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9466</v>
      </c>
      <c r="D1442" s="2" t="str">
        <f t="shared" si="21"/>
        <v>Error?</v>
      </c>
    </row>
    <row r="1443" spans="1:4" x14ac:dyDescent="0.2">
      <c r="A1443" s="10">
        <v>1382</v>
      </c>
      <c r="D1443" s="2" t="str">
        <f t="shared" si="21"/>
        <v>OK</v>
      </c>
    </row>
    <row r="1444" spans="1:4" x14ac:dyDescent="0.2">
      <c r="A1444" s="5">
        <v>1383</v>
      </c>
      <c r="B1444" s="138">
        <f>'Expenditures 15-22'!D277</f>
        <v>9466</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192459</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328057</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2700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135598</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887</v>
      </c>
      <c r="C1476" s="2" t="s">
        <v>573</v>
      </c>
      <c r="D1476" s="2" t="str">
        <f t="shared" si="22"/>
        <v>Error?</v>
      </c>
    </row>
    <row r="1477" spans="1:4" x14ac:dyDescent="0.2">
      <c r="A1477" s="5">
        <v>1416</v>
      </c>
      <c r="B1477" s="138">
        <f>'Expenditures 15-22'!K234</f>
        <v>19</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1866</v>
      </c>
      <c r="C1480" s="2" t="s">
        <v>573</v>
      </c>
      <c r="D1480" s="2" t="str">
        <f t="shared" si="22"/>
        <v>Error?</v>
      </c>
    </row>
    <row r="1481" spans="1:4" x14ac:dyDescent="0.2">
      <c r="A1481" s="5">
        <v>1420</v>
      </c>
      <c r="B1481" s="138">
        <f>'Expenditures 15-22'!K238</f>
        <v>2772</v>
      </c>
      <c r="C1481" s="2" t="s">
        <v>573</v>
      </c>
      <c r="D1481" s="2" t="str">
        <f t="shared" si="22"/>
        <v>Error?</v>
      </c>
    </row>
    <row r="1482" spans="1:4" x14ac:dyDescent="0.2">
      <c r="A1482" s="5">
        <v>1421</v>
      </c>
      <c r="B1482" s="138">
        <f>'Expenditures 15-22'!K240</f>
        <v>2752</v>
      </c>
      <c r="C1482" s="2" t="s">
        <v>573</v>
      </c>
      <c r="D1482" s="2" t="str">
        <f t="shared" si="22"/>
        <v>Error?</v>
      </c>
    </row>
    <row r="1483" spans="1:4" x14ac:dyDescent="0.2">
      <c r="A1483" s="5">
        <v>1422</v>
      </c>
      <c r="B1483" s="138">
        <f>'Expenditures 15-22'!K241</f>
        <v>14439</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17191</v>
      </c>
      <c r="C1485" s="2" t="s">
        <v>573</v>
      </c>
      <c r="D1485" s="2" t="str">
        <f t="shared" si="22"/>
        <v>Error?</v>
      </c>
    </row>
    <row r="1486" spans="1:4" x14ac:dyDescent="0.2">
      <c r="A1486" s="5">
        <v>1425</v>
      </c>
      <c r="B1486" s="138">
        <f>'Expenditures 15-22'!K245</f>
        <v>471</v>
      </c>
      <c r="C1486" s="2" t="s">
        <v>573</v>
      </c>
      <c r="D1486" s="2" t="str">
        <f t="shared" si="22"/>
        <v>Error?</v>
      </c>
    </row>
    <row r="1487" spans="1:4" x14ac:dyDescent="0.2">
      <c r="A1487" s="5">
        <v>1426</v>
      </c>
      <c r="B1487" s="138">
        <f>'Expenditures 15-22'!K246</f>
        <v>12336</v>
      </c>
      <c r="C1487" s="2" t="s">
        <v>573</v>
      </c>
      <c r="D1487" s="2" t="str">
        <f t="shared" si="22"/>
        <v>Error?</v>
      </c>
    </row>
    <row r="1488" spans="1:4" x14ac:dyDescent="0.2">
      <c r="A1488" s="5">
        <v>1427</v>
      </c>
      <c r="B1488" s="138">
        <f>'Expenditures 15-22'!K257</f>
        <v>34516</v>
      </c>
      <c r="C1488" s="2" t="s">
        <v>573</v>
      </c>
      <c r="D1488" s="2" t="str">
        <f t="shared" si="22"/>
        <v>Error?</v>
      </c>
    </row>
    <row r="1489" spans="1:4" x14ac:dyDescent="0.2">
      <c r="A1489" s="5">
        <v>1428</v>
      </c>
      <c r="B1489" s="138">
        <f>'Expenditures 15-22'!K259</f>
        <v>16980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16980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59339</v>
      </c>
      <c r="C1495" s="2" t="s">
        <v>573</v>
      </c>
      <c r="D1495" s="2" t="str">
        <f t="shared" si="22"/>
        <v>Error?</v>
      </c>
    </row>
    <row r="1496" spans="1:4" x14ac:dyDescent="0.2">
      <c r="A1496" s="5">
        <v>1435</v>
      </c>
      <c r="B1496" s="138">
        <f>'Expenditures 15-22'!K267</f>
        <v>33226</v>
      </c>
      <c r="C1496" s="2" t="s">
        <v>573</v>
      </c>
      <c r="D1496" s="2" t="str">
        <f t="shared" si="22"/>
        <v>Error?</v>
      </c>
    </row>
    <row r="1497" spans="1:4" x14ac:dyDescent="0.2">
      <c r="A1497" s="5">
        <v>1436</v>
      </c>
      <c r="B1497" s="138">
        <f>'Expenditures 15-22'!K268</f>
        <v>18969</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111534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9466</v>
      </c>
      <c r="C1506" s="2" t="s">
        <v>573</v>
      </c>
      <c r="D1506" s="2" t="str">
        <f t="shared" si="22"/>
        <v>Error?</v>
      </c>
    </row>
    <row r="1507" spans="1:4" x14ac:dyDescent="0.2">
      <c r="A1507" s="10">
        <v>1446</v>
      </c>
      <c r="D1507" s="2" t="str">
        <f t="shared" si="22"/>
        <v>OK</v>
      </c>
    </row>
    <row r="1508" spans="1:4" x14ac:dyDescent="0.2">
      <c r="A1508" s="5">
        <v>1447</v>
      </c>
      <c r="B1508" s="138">
        <f>'Expenditures 15-22'!K277</f>
        <v>9466</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192459</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328057</v>
      </c>
      <c r="C1517" s="2" t="s">
        <v>573</v>
      </c>
      <c r="D1517" s="2" t="str">
        <f t="shared" si="22"/>
        <v>Error?</v>
      </c>
    </row>
    <row r="1518" spans="1:4" x14ac:dyDescent="0.2">
      <c r="A1518" s="5">
        <v>1457</v>
      </c>
      <c r="B1518" s="138">
        <f>'Expenditures 15-22'!K296</f>
        <v>207155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1482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2632935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4850402</v>
      </c>
      <c r="C1630" s="2" t="s">
        <v>573</v>
      </c>
      <c r="D1630" s="2" t="str">
        <f t="shared" si="24"/>
        <v>Error?</v>
      </c>
    </row>
    <row r="1631" spans="1:4" x14ac:dyDescent="0.2">
      <c r="A1631" s="5">
        <v>1570</v>
      </c>
      <c r="B1631" s="138">
        <f>'Acct Summary 7-8'!D79</f>
        <v>129490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650404</v>
      </c>
      <c r="C1644" s="2" t="s">
        <v>573</v>
      </c>
      <c r="D1644" s="2" t="str">
        <f t="shared" si="24"/>
        <v>Error?</v>
      </c>
    </row>
    <row r="1645" spans="1:4" x14ac:dyDescent="0.2">
      <c r="A1645" s="5">
        <v>1584</v>
      </c>
      <c r="B1645" s="138">
        <f>'Acct Summary 7-8'!E79</f>
        <v>3999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60500</v>
      </c>
      <c r="C1658" s="2" t="s">
        <v>573</v>
      </c>
      <c r="D1658" s="2" t="str">
        <f t="shared" si="24"/>
        <v>Error?</v>
      </c>
    </row>
    <row r="1659" spans="1:4" x14ac:dyDescent="0.2">
      <c r="A1659" s="5">
        <v>1598</v>
      </c>
      <c r="B1659" s="138">
        <f>'Acct Summary 7-8'!F79</f>
        <v>193232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326579</v>
      </c>
      <c r="C1672" s="2" t="s">
        <v>573</v>
      </c>
      <c r="D1672" s="2" t="str">
        <f t="shared" si="25"/>
        <v>Error?</v>
      </c>
    </row>
    <row r="1673" spans="1:4" x14ac:dyDescent="0.2">
      <c r="A1673" s="5">
        <v>1612</v>
      </c>
      <c r="B1673" s="138">
        <f>'Acct Summary 7-8'!G79</f>
        <v>167285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374440</v>
      </c>
      <c r="C1686" s="2" t="s">
        <v>573</v>
      </c>
      <c r="D1686" s="2" t="str">
        <f t="shared" si="25"/>
        <v>Error?</v>
      </c>
    </row>
    <row r="1687" spans="1:4" x14ac:dyDescent="0.2">
      <c r="A1687" s="5">
        <v>1626</v>
      </c>
      <c r="B1687" s="138">
        <f>'Acct Summary 7-8'!H79</f>
        <v>1049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2531</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5355657</v>
      </c>
      <c r="C1744" s="2" t="s">
        <v>573</v>
      </c>
      <c r="D1744" s="2" t="str">
        <f t="shared" si="26"/>
        <v>Error?</v>
      </c>
    </row>
    <row r="1745" spans="1:5" x14ac:dyDescent="0.2">
      <c r="A1745" s="5">
        <v>1684</v>
      </c>
      <c r="B1745" s="138">
        <f>'Tax Sched 23'!B5</f>
        <v>1275159</v>
      </c>
      <c r="C1745" s="2" t="s">
        <v>573</v>
      </c>
      <c r="D1745" s="2" t="str">
        <f t="shared" si="26"/>
        <v>Error?</v>
      </c>
    </row>
    <row r="1746" spans="1:5" x14ac:dyDescent="0.2">
      <c r="A1746" s="5">
        <v>1685</v>
      </c>
      <c r="B1746" s="138">
        <f>'Tax Sched 23'!B6</f>
        <v>143638</v>
      </c>
      <c r="C1746" s="2" t="s">
        <v>573</v>
      </c>
      <c r="D1746" s="2" t="str">
        <f t="shared" si="26"/>
        <v>Error?</v>
      </c>
    </row>
    <row r="1747" spans="1:5" x14ac:dyDescent="0.2">
      <c r="A1747" s="5">
        <v>1686</v>
      </c>
      <c r="B1747" s="138">
        <f>'Tax Sched 23'!B7</f>
        <v>374051</v>
      </c>
      <c r="C1747" s="2" t="s">
        <v>573</v>
      </c>
      <c r="D1747" s="2" t="str">
        <f t="shared" si="26"/>
        <v>Error?</v>
      </c>
    </row>
    <row r="1748" spans="1:5" x14ac:dyDescent="0.2">
      <c r="A1748" s="5">
        <v>1687</v>
      </c>
      <c r="B1748" s="138">
        <f>'Tax Sched 23'!B8</f>
        <v>261822</v>
      </c>
      <c r="C1748" s="2" t="s">
        <v>573</v>
      </c>
      <c r="D1748" s="2" t="str">
        <f t="shared" si="26"/>
        <v>Error?</v>
      </c>
    </row>
    <row r="1749" spans="1:5" x14ac:dyDescent="0.2">
      <c r="A1749" s="5">
        <v>1688</v>
      </c>
      <c r="B1749" s="138">
        <f>'Tax Sched 23'!B10</f>
        <v>85015</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850186</v>
      </c>
      <c r="C1752" s="2" t="s">
        <v>573</v>
      </c>
      <c r="D1752" s="2" t="str">
        <f t="shared" si="26"/>
        <v>Error?</v>
      </c>
    </row>
    <row r="1753" spans="1:5" x14ac:dyDescent="0.2">
      <c r="A1753" s="5">
        <v>1692</v>
      </c>
      <c r="B1753" s="138">
        <f>'Tax Sched 23'!B12</f>
        <v>85015</v>
      </c>
      <c r="C1753" s="2" t="s">
        <v>573</v>
      </c>
      <c r="D1753" s="2" t="str">
        <f t="shared" si="26"/>
        <v>Error?</v>
      </c>
    </row>
    <row r="1754" spans="1:5" x14ac:dyDescent="0.2">
      <c r="A1754" s="5">
        <v>1693</v>
      </c>
      <c r="B1754" s="138">
        <f>'Tax Sched 23'!B14</f>
        <v>85015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8862395</v>
      </c>
      <c r="C1759" s="2" t="s">
        <v>573</v>
      </c>
      <c r="D1759" s="2" t="str">
        <f t="shared" si="26"/>
        <v>Error?</v>
      </c>
    </row>
    <row r="1760" spans="1:5" x14ac:dyDescent="0.2">
      <c r="A1760" s="5">
        <v>1699</v>
      </c>
      <c r="B1760" s="138">
        <f>'Tax Sched 23'!D4</f>
        <v>3290447</v>
      </c>
      <c r="C1760" s="2" t="s">
        <v>573</v>
      </c>
      <c r="D1760" s="2" t="str">
        <f t="shared" si="26"/>
        <v>Error?</v>
      </c>
    </row>
    <row r="1761" spans="1:5" x14ac:dyDescent="0.2">
      <c r="A1761" s="5">
        <v>1700</v>
      </c>
      <c r="B1761" s="138">
        <f>'Tax Sched 23'!D5</f>
        <v>783439</v>
      </c>
      <c r="C1761" s="2" t="s">
        <v>573</v>
      </c>
      <c r="D1761" s="2" t="str">
        <f t="shared" si="26"/>
        <v>Error?</v>
      </c>
    </row>
    <row r="1762" spans="1:5" s="8" customFormat="1" x14ac:dyDescent="0.2">
      <c r="A1762" s="5">
        <v>1701</v>
      </c>
      <c r="B1762" s="138">
        <f>'Tax Sched 23'!D6</f>
        <v>92042</v>
      </c>
      <c r="C1762" s="2" t="s">
        <v>573</v>
      </c>
      <c r="D1762" s="2" t="str">
        <f t="shared" si="26"/>
        <v>Error?</v>
      </c>
      <c r="E1762" s="9"/>
    </row>
    <row r="1763" spans="1:5" x14ac:dyDescent="0.2">
      <c r="A1763" s="5">
        <v>1702</v>
      </c>
      <c r="B1763" s="138">
        <f>'Tax Sched 23'!D7</f>
        <v>229810</v>
      </c>
      <c r="C1763" s="2" t="s">
        <v>573</v>
      </c>
      <c r="D1763" s="2" t="str">
        <f t="shared" si="26"/>
        <v>Error?</v>
      </c>
    </row>
    <row r="1764" spans="1:5" x14ac:dyDescent="0.2">
      <c r="A1764" s="5">
        <v>1703</v>
      </c>
      <c r="B1764" s="138">
        <f>'Tax Sched 23'!D8</f>
        <v>159354</v>
      </c>
      <c r="C1764" s="2" t="s">
        <v>573</v>
      </c>
      <c r="D1764" s="2" t="str">
        <f t="shared" si="26"/>
        <v>Error?</v>
      </c>
    </row>
    <row r="1765" spans="1:5" x14ac:dyDescent="0.2">
      <c r="A1765" s="5">
        <v>1704</v>
      </c>
      <c r="B1765" s="138">
        <f>'Tax Sched 23'!D10</f>
        <v>52229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532678</v>
      </c>
      <c r="C1768" s="2" t="s">
        <v>573</v>
      </c>
      <c r="D1768" s="2" t="str">
        <f t="shared" si="26"/>
        <v>Error?</v>
      </c>
    </row>
    <row r="1769" spans="1:5" x14ac:dyDescent="0.2">
      <c r="A1769" s="5">
        <v>1708</v>
      </c>
      <c r="B1769" s="138">
        <f>'Tax Sched 23'!D12</f>
        <v>52229</v>
      </c>
      <c r="C1769" s="2" t="s">
        <v>573</v>
      </c>
      <c r="D1769" s="2" t="str">
        <f t="shared" si="26"/>
        <v>Error?</v>
      </c>
    </row>
    <row r="1770" spans="1:5" x14ac:dyDescent="0.2">
      <c r="A1770" s="5">
        <v>1709</v>
      </c>
      <c r="B1770" s="138">
        <f>'Tax Sched 23'!D14</f>
        <v>52229</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5456040</v>
      </c>
      <c r="C1775" s="2" t="s">
        <v>573</v>
      </c>
      <c r="D1775" s="2" t="str">
        <f t="shared" si="26"/>
        <v>Error?</v>
      </c>
    </row>
    <row r="1776" spans="1:5" x14ac:dyDescent="0.2">
      <c r="A1776" s="5">
        <v>1715</v>
      </c>
      <c r="B1776" s="138">
        <f>'Tax Sched 23'!C4</f>
        <v>2065210</v>
      </c>
      <c r="D1776" s="2" t="str">
        <f t="shared" si="26"/>
        <v>Error?</v>
      </c>
    </row>
    <row r="1777" spans="1:4" x14ac:dyDescent="0.2">
      <c r="A1777" s="5">
        <v>1716</v>
      </c>
      <c r="B1777" s="138">
        <f>'Tax Sched 23'!C5</f>
        <v>491720</v>
      </c>
      <c r="D1777" s="2" t="str">
        <f t="shared" si="26"/>
        <v>Error?</v>
      </c>
    </row>
    <row r="1778" spans="1:4" x14ac:dyDescent="0.2">
      <c r="A1778" s="5">
        <v>1717</v>
      </c>
      <c r="B1778" s="138">
        <f>'Tax Sched 23'!C6</f>
        <v>51596</v>
      </c>
      <c r="D1778" s="2" t="str">
        <f t="shared" si="26"/>
        <v>Error?</v>
      </c>
    </row>
    <row r="1779" spans="1:4" x14ac:dyDescent="0.2">
      <c r="A1779" s="5">
        <v>1718</v>
      </c>
      <c r="B1779" s="138">
        <f>'Tax Sched 23'!C7</f>
        <v>144241</v>
      </c>
      <c r="D1779" s="2" t="str">
        <f t="shared" si="26"/>
        <v>Error?</v>
      </c>
    </row>
    <row r="1780" spans="1:4" x14ac:dyDescent="0.2">
      <c r="A1780" s="5">
        <v>1719</v>
      </c>
      <c r="B1780" s="138">
        <f>'Tax Sched 23'!C8</f>
        <v>102468</v>
      </c>
      <c r="D1780" s="2" t="str">
        <f t="shared" si="26"/>
        <v>Error?</v>
      </c>
    </row>
    <row r="1781" spans="1:4" x14ac:dyDescent="0.2">
      <c r="A1781" s="5">
        <v>1720</v>
      </c>
      <c r="B1781" s="138">
        <f>'Tax Sched 23'!C10</f>
        <v>32786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317508</v>
      </c>
      <c r="D1784" s="2" t="str">
        <f t="shared" si="26"/>
        <v>Error?</v>
      </c>
    </row>
    <row r="1785" spans="1:4" x14ac:dyDescent="0.2">
      <c r="A1785" s="5">
        <v>1724</v>
      </c>
      <c r="B1785" s="138">
        <f>'Tax Sched 23'!C12</f>
        <v>32786</v>
      </c>
      <c r="D1785" s="2" t="str">
        <f t="shared" si="26"/>
        <v>Error?</v>
      </c>
    </row>
    <row r="1786" spans="1:4" x14ac:dyDescent="0.2">
      <c r="A1786" s="5">
        <v>1725</v>
      </c>
      <c r="B1786" s="138">
        <f>'Tax Sched 23'!C14</f>
        <v>32786</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3406355</v>
      </c>
      <c r="C1791" s="2" t="s">
        <v>573</v>
      </c>
      <c r="D1791" s="2" t="str">
        <f t="shared" ref="D1791:D1854" si="27">IF(ISBLANK(B1791),"OK",IF(A1791-B1791=0,"OK","Error?"))</f>
        <v>Error?</v>
      </c>
    </row>
    <row r="1792" spans="1:4" x14ac:dyDescent="0.2">
      <c r="A1792" s="5">
        <v>1731</v>
      </c>
      <c r="B1792" s="138">
        <f>'Tax Sched 23'!F4</f>
        <v>1361117</v>
      </c>
      <c r="C1792" s="2" t="s">
        <v>573</v>
      </c>
      <c r="D1792" s="2" t="str">
        <f t="shared" si="27"/>
        <v>Error?</v>
      </c>
    </row>
    <row r="1793" spans="1:4" x14ac:dyDescent="0.2">
      <c r="A1793" s="5">
        <v>1732</v>
      </c>
      <c r="B1793" s="138">
        <f>'Tax Sched 23'!F5</f>
        <v>324079</v>
      </c>
      <c r="C1793" s="2" t="s">
        <v>573</v>
      </c>
      <c r="D1793" s="2" t="str">
        <f t="shared" si="27"/>
        <v>Error?</v>
      </c>
    </row>
    <row r="1794" spans="1:4" x14ac:dyDescent="0.2">
      <c r="A1794" s="5">
        <v>1733</v>
      </c>
      <c r="B1794" s="138">
        <f>'Tax Sched 23'!F6</f>
        <v>36233</v>
      </c>
      <c r="C1794" s="2" t="s">
        <v>573</v>
      </c>
      <c r="D1794" s="2" t="str">
        <f t="shared" si="27"/>
        <v>Error?</v>
      </c>
    </row>
    <row r="1795" spans="1:4" x14ac:dyDescent="0.2">
      <c r="A1795" s="5">
        <v>1734</v>
      </c>
      <c r="B1795" s="138">
        <f>'Tax Sched 23'!F7</f>
        <v>95062</v>
      </c>
      <c r="C1795" s="2" t="s">
        <v>573</v>
      </c>
      <c r="D1795" s="2" t="str">
        <f t="shared" si="27"/>
        <v>Error?</v>
      </c>
    </row>
    <row r="1796" spans="1:4" x14ac:dyDescent="0.2">
      <c r="A1796" s="5">
        <v>1735</v>
      </c>
      <c r="B1796" s="138">
        <f>'Tax Sched 23'!F8</f>
        <v>67535</v>
      </c>
      <c r="C1796" s="2" t="s">
        <v>573</v>
      </c>
      <c r="D1796" s="2" t="str">
        <f t="shared" si="27"/>
        <v>Error?</v>
      </c>
    </row>
    <row r="1797" spans="1:4" x14ac:dyDescent="0.2">
      <c r="A1797" s="5">
        <v>1736</v>
      </c>
      <c r="B1797" s="138">
        <f>'Tax Sched 23'!F10</f>
        <v>21606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209257</v>
      </c>
      <c r="C1800" s="2" t="s">
        <v>573</v>
      </c>
      <c r="D1800" s="2" t="str">
        <f t="shared" si="27"/>
        <v>Error?</v>
      </c>
    </row>
    <row r="1801" spans="1:4" x14ac:dyDescent="0.2">
      <c r="A1801" s="5">
        <v>1740</v>
      </c>
      <c r="B1801" s="138">
        <f>'Tax Sched 23'!F12</f>
        <v>21606</v>
      </c>
      <c r="C1801" s="2" t="s">
        <v>573</v>
      </c>
      <c r="D1801" s="2" t="str">
        <f t="shared" si="27"/>
        <v>Error?</v>
      </c>
    </row>
    <row r="1802" spans="1:4" x14ac:dyDescent="0.2">
      <c r="A1802" s="5">
        <v>1741</v>
      </c>
      <c r="B1802" s="138">
        <f>'Tax Sched 23'!F14</f>
        <v>21606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2247242</v>
      </c>
      <c r="C1807" s="2" t="s">
        <v>573</v>
      </c>
      <c r="D1807" s="2" t="str">
        <f t="shared" si="27"/>
        <v>Error?</v>
      </c>
    </row>
    <row r="1808" spans="1:4" x14ac:dyDescent="0.2">
      <c r="A1808" s="5">
        <v>1747</v>
      </c>
      <c r="B1808" s="138">
        <f>'Tax Sched 23'!E4</f>
        <v>3426327</v>
      </c>
      <c r="D1808" s="2" t="str">
        <f t="shared" si="27"/>
        <v>Error?</v>
      </c>
    </row>
    <row r="1809" spans="1:4" x14ac:dyDescent="0.2">
      <c r="A1809" s="5">
        <v>1748</v>
      </c>
      <c r="B1809" s="138">
        <f>'Tax Sched 23'!E5</f>
        <v>815799</v>
      </c>
      <c r="D1809" s="2" t="str">
        <f t="shared" si="27"/>
        <v>Error?</v>
      </c>
    </row>
    <row r="1810" spans="1:4" x14ac:dyDescent="0.2">
      <c r="A1810" s="5">
        <v>1749</v>
      </c>
      <c r="B1810" s="138">
        <f>'Tax Sched 23'!E6</f>
        <v>87829</v>
      </c>
      <c r="D1810" s="2" t="str">
        <f t="shared" si="27"/>
        <v>Error?</v>
      </c>
    </row>
    <row r="1811" spans="1:4" x14ac:dyDescent="0.2">
      <c r="A1811" s="5">
        <v>1750</v>
      </c>
      <c r="B1811" s="138">
        <f>'Tax Sched 23'!E7</f>
        <v>239303</v>
      </c>
      <c r="D1811" s="2" t="str">
        <f t="shared" si="27"/>
        <v>Error?</v>
      </c>
    </row>
    <row r="1812" spans="1:4" x14ac:dyDescent="0.2">
      <c r="A1812" s="5">
        <v>1751</v>
      </c>
      <c r="B1812" s="138">
        <f>'Tax Sched 23'!E8</f>
        <v>170003</v>
      </c>
      <c r="D1812" s="2" t="str">
        <f t="shared" si="27"/>
        <v>Error?</v>
      </c>
    </row>
    <row r="1813" spans="1:4" x14ac:dyDescent="0.2">
      <c r="A1813" s="5">
        <v>1752</v>
      </c>
      <c r="B1813" s="138">
        <f>'Tax Sched 23'!E10</f>
        <v>54392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526765</v>
      </c>
      <c r="D1816" s="2" t="str">
        <f t="shared" si="27"/>
        <v>Error?</v>
      </c>
    </row>
    <row r="1817" spans="1:4" x14ac:dyDescent="0.2">
      <c r="A1817" s="5">
        <v>1756</v>
      </c>
      <c r="B1817" s="138">
        <f>'Tax Sched 23'!E12</f>
        <v>54392</v>
      </c>
      <c r="D1817" s="2" t="str">
        <f t="shared" si="27"/>
        <v>Error?</v>
      </c>
    </row>
    <row r="1818" spans="1:4" x14ac:dyDescent="0.2">
      <c r="A1818" s="5">
        <v>1757</v>
      </c>
      <c r="B1818" s="138">
        <f>'Tax Sched 23'!E14</f>
        <v>54392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5653597</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715000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85015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85015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85015</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58655</v>
      </c>
      <c r="D2008" s="2" t="str">
        <f t="shared" si="30"/>
        <v>Error?</v>
      </c>
    </row>
    <row r="2009" spans="1:4" x14ac:dyDescent="0.2">
      <c r="A2009" s="5">
        <v>1948</v>
      </c>
      <c r="B2009" s="138">
        <f>'Cap Outlay Deprec 26'!C8</f>
        <v>7424737</v>
      </c>
      <c r="D2009" s="2" t="str">
        <f t="shared" si="30"/>
        <v>Error?</v>
      </c>
    </row>
    <row r="2010" spans="1:4" x14ac:dyDescent="0.2">
      <c r="A2010" s="5">
        <v>1949</v>
      </c>
      <c r="B2010" s="138">
        <f>'Cap Outlay Deprec 26'!C10</f>
        <v>133042</v>
      </c>
      <c r="D2010" s="2" t="str">
        <f t="shared" si="30"/>
        <v>Error?</v>
      </c>
    </row>
    <row r="2011" spans="1:4" x14ac:dyDescent="0.2">
      <c r="A2011" s="5">
        <v>1950</v>
      </c>
      <c r="B2011" s="138">
        <f>'Cap Outlay Deprec 26'!C12</f>
        <v>2872256</v>
      </c>
      <c r="D2011" s="2" t="str">
        <f t="shared" si="30"/>
        <v>Error?</v>
      </c>
    </row>
    <row r="2012" spans="1:4" x14ac:dyDescent="0.2">
      <c r="A2012" s="5">
        <v>1951</v>
      </c>
      <c r="B2012" s="138">
        <f>'Cap Outlay Deprec 26'!C13</f>
        <v>1367175</v>
      </c>
      <c r="D2012" s="2" t="str">
        <f t="shared" si="30"/>
        <v>Error?</v>
      </c>
    </row>
    <row r="2013" spans="1:4" x14ac:dyDescent="0.2">
      <c r="A2013" s="5">
        <v>1952</v>
      </c>
      <c r="B2013" s="138">
        <f>'Cap Outlay Deprec 26'!C16</f>
        <v>11855865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542388</v>
      </c>
      <c r="D2016" s="2" t="str">
        <f t="shared" si="30"/>
        <v>Error?</v>
      </c>
    </row>
    <row r="2017" spans="1:4" x14ac:dyDescent="0.2">
      <c r="A2017" s="5">
        <v>1956</v>
      </c>
      <c r="B2017" s="138">
        <f>'Cap Outlay Deprec 26'!D12</f>
        <v>33858</v>
      </c>
      <c r="D2017" s="2" t="str">
        <f t="shared" si="30"/>
        <v>Error?</v>
      </c>
    </row>
    <row r="2018" spans="1:4" x14ac:dyDescent="0.2">
      <c r="A2018" s="5">
        <v>1957</v>
      </c>
      <c r="B2018" s="138">
        <f>'Cap Outlay Deprec 26'!D13</f>
        <v>191843</v>
      </c>
      <c r="D2018" s="2" t="str">
        <f t="shared" si="30"/>
        <v>Error?</v>
      </c>
    </row>
    <row r="2019" spans="1:4" x14ac:dyDescent="0.2">
      <c r="A2019" s="5">
        <v>1958</v>
      </c>
      <c r="B2019" s="138">
        <f>'Cap Outlay Deprec 26'!D16</f>
        <v>768089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58655</v>
      </c>
      <c r="C2026" s="2" t="s">
        <v>573</v>
      </c>
      <c r="D2026" s="2" t="str">
        <f t="shared" si="30"/>
        <v>Error?</v>
      </c>
    </row>
    <row r="2027" spans="1:4" x14ac:dyDescent="0.2">
      <c r="A2027" s="5">
        <v>1966</v>
      </c>
      <c r="B2027" s="138">
        <f>'Cap Outlay Deprec 26'!F8</f>
        <v>7424737</v>
      </c>
      <c r="C2027" s="2" t="s">
        <v>573</v>
      </c>
      <c r="D2027" s="2" t="str">
        <f t="shared" si="30"/>
        <v>Error?</v>
      </c>
    </row>
    <row r="2028" spans="1:4" x14ac:dyDescent="0.2">
      <c r="A2028" s="5">
        <v>1967</v>
      </c>
      <c r="B2028" s="138">
        <f>'Cap Outlay Deprec 26'!F10</f>
        <v>675430</v>
      </c>
      <c r="C2028" s="2" t="s">
        <v>573</v>
      </c>
      <c r="D2028" s="2" t="str">
        <f t="shared" si="30"/>
        <v>Error?</v>
      </c>
    </row>
    <row r="2029" spans="1:4" x14ac:dyDescent="0.2">
      <c r="A2029" s="5">
        <v>1968</v>
      </c>
      <c r="B2029" s="138">
        <f>'Cap Outlay Deprec 26'!F12</f>
        <v>2906114</v>
      </c>
      <c r="C2029" s="2" t="s">
        <v>573</v>
      </c>
      <c r="D2029" s="2" t="str">
        <f t="shared" si="30"/>
        <v>Error?</v>
      </c>
    </row>
    <row r="2030" spans="1:4" x14ac:dyDescent="0.2">
      <c r="A2030" s="5">
        <v>1969</v>
      </c>
      <c r="B2030" s="138">
        <f>'Cap Outlay Deprec 26'!F13</f>
        <v>1559018</v>
      </c>
      <c r="C2030" s="2" t="s">
        <v>573</v>
      </c>
      <c r="D2030" s="2" t="str">
        <f t="shared" si="30"/>
        <v>Error?</v>
      </c>
    </row>
    <row r="2031" spans="1:4" x14ac:dyDescent="0.2">
      <c r="A2031" s="5">
        <v>1970</v>
      </c>
      <c r="B2031" s="138">
        <f>'Cap Outlay Deprec 26'!F16</f>
        <v>12623954</v>
      </c>
      <c r="C2031" s="2" t="s">
        <v>573</v>
      </c>
      <c r="D2031" s="2" t="str">
        <f t="shared" si="30"/>
        <v>Error?</v>
      </c>
    </row>
    <row r="2032" spans="1:4" x14ac:dyDescent="0.2">
      <c r="A2032" s="10">
        <v>1971</v>
      </c>
      <c r="D2032" s="2" t="str">
        <f t="shared" si="30"/>
        <v>OK</v>
      </c>
    </row>
    <row r="2033" spans="1:4" x14ac:dyDescent="0.2">
      <c r="A2033" s="5">
        <v>1972</v>
      </c>
      <c r="B2033" s="138">
        <f>'Cap Outlay Deprec 26'!H8</f>
        <v>5913534</v>
      </c>
      <c r="D2033" s="2" t="str">
        <f t="shared" si="30"/>
        <v>Error?</v>
      </c>
    </row>
    <row r="2034" spans="1:4" x14ac:dyDescent="0.2">
      <c r="A2034" s="5">
        <v>1973</v>
      </c>
      <c r="B2034" s="138">
        <f>'Cap Outlay Deprec 26'!H10</f>
        <v>68350</v>
      </c>
      <c r="D2034" s="2" t="str">
        <f t="shared" si="30"/>
        <v>Error?</v>
      </c>
    </row>
    <row r="2035" spans="1:4" x14ac:dyDescent="0.2">
      <c r="A2035" s="5">
        <v>1974</v>
      </c>
      <c r="B2035" s="138">
        <f>'Cap Outlay Deprec 26'!H12</f>
        <v>2699886</v>
      </c>
      <c r="D2035" s="2" t="str">
        <f t="shared" si="30"/>
        <v>Error?</v>
      </c>
    </row>
    <row r="2036" spans="1:4" x14ac:dyDescent="0.2">
      <c r="A2036" s="5">
        <v>1975</v>
      </c>
      <c r="B2036" s="138">
        <f>'Cap Outlay Deprec 26'!H13</f>
        <v>1057474</v>
      </c>
      <c r="D2036" s="2" t="str">
        <f t="shared" si="30"/>
        <v>Error?</v>
      </c>
    </row>
    <row r="2037" spans="1:4" x14ac:dyDescent="0.2">
      <c r="A2037" s="5">
        <v>1976</v>
      </c>
      <c r="B2037" s="138">
        <f>'Cap Outlay Deprec 26'!H16</f>
        <v>9739244</v>
      </c>
      <c r="C2037" s="2" t="s">
        <v>573</v>
      </c>
      <c r="D2037" s="2" t="str">
        <f t="shared" si="30"/>
        <v>Error?</v>
      </c>
    </row>
    <row r="2038" spans="1:4" x14ac:dyDescent="0.2">
      <c r="A2038" s="10">
        <v>1977</v>
      </c>
      <c r="D2038" s="2" t="str">
        <f t="shared" si="30"/>
        <v>OK</v>
      </c>
    </row>
    <row r="2039" spans="1:4" x14ac:dyDescent="0.2">
      <c r="A2039" s="5">
        <v>1978</v>
      </c>
      <c r="B2039" s="138">
        <f>'Cap Outlay Deprec 26'!I8</f>
        <v>147895</v>
      </c>
      <c r="D2039" s="2" t="str">
        <f t="shared" si="30"/>
        <v>Error?</v>
      </c>
    </row>
    <row r="2040" spans="1:4" x14ac:dyDescent="0.2">
      <c r="A2040" s="5">
        <v>1979</v>
      </c>
      <c r="B2040" s="138">
        <f>'Cap Outlay Deprec 26'!I10</f>
        <v>33718</v>
      </c>
      <c r="D2040" s="2" t="str">
        <f t="shared" si="30"/>
        <v>Error?</v>
      </c>
    </row>
    <row r="2041" spans="1:4" x14ac:dyDescent="0.2">
      <c r="A2041" s="5">
        <v>1980</v>
      </c>
      <c r="B2041" s="138">
        <f>'Cap Outlay Deprec 26'!I12</f>
        <v>37978</v>
      </c>
      <c r="D2041" s="2" t="str">
        <f t="shared" si="30"/>
        <v>Error?</v>
      </c>
    </row>
    <row r="2042" spans="1:4" x14ac:dyDescent="0.2">
      <c r="A2042" s="5">
        <v>1981</v>
      </c>
      <c r="B2042" s="138">
        <f>'Cap Outlay Deprec 26'!I13</f>
        <v>118944</v>
      </c>
      <c r="D2042" s="2" t="str">
        <f t="shared" si="30"/>
        <v>Error?</v>
      </c>
    </row>
    <row r="2043" spans="1:4" x14ac:dyDescent="0.2">
      <c r="A2043" s="5">
        <v>1982</v>
      </c>
      <c r="B2043" s="138">
        <f>'Cap Outlay Deprec 26'!I16</f>
        <v>338535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6061429</v>
      </c>
      <c r="C2051" s="2" t="s">
        <v>573</v>
      </c>
      <c r="D2051" s="2" t="str">
        <f t="shared" si="31"/>
        <v>Error?</v>
      </c>
    </row>
    <row r="2052" spans="1:4" x14ac:dyDescent="0.2">
      <c r="A2052" s="5">
        <v>1991</v>
      </c>
      <c r="B2052" s="138">
        <f>'Cap Outlay Deprec 26'!K10</f>
        <v>102068</v>
      </c>
      <c r="C2052" s="2" t="s">
        <v>573</v>
      </c>
      <c r="D2052" s="2" t="str">
        <f t="shared" si="31"/>
        <v>Error?</v>
      </c>
    </row>
    <row r="2053" spans="1:4" x14ac:dyDescent="0.2">
      <c r="A2053" s="5">
        <v>1992</v>
      </c>
      <c r="B2053" s="138">
        <f>'Cap Outlay Deprec 26'!K12</f>
        <v>2737864</v>
      </c>
      <c r="C2053" s="2" t="s">
        <v>573</v>
      </c>
      <c r="D2053" s="2" t="str">
        <f t="shared" si="31"/>
        <v>Error?</v>
      </c>
    </row>
    <row r="2054" spans="1:4" x14ac:dyDescent="0.2">
      <c r="A2054" s="5">
        <v>1993</v>
      </c>
      <c r="B2054" s="138">
        <f>'Cap Outlay Deprec 26'!K13</f>
        <v>1176418</v>
      </c>
      <c r="C2054" s="2" t="s">
        <v>573</v>
      </c>
      <c r="D2054" s="2" t="str">
        <f t="shared" si="31"/>
        <v>Error?</v>
      </c>
    </row>
    <row r="2055" spans="1:4" x14ac:dyDescent="0.2">
      <c r="A2055" s="5">
        <v>1994</v>
      </c>
      <c r="B2055" s="138">
        <f>'Cap Outlay Deprec 26'!K16</f>
        <v>10077779</v>
      </c>
      <c r="C2055" s="2" t="s">
        <v>573</v>
      </c>
      <c r="D2055" s="2" t="str">
        <f t="shared" si="31"/>
        <v>Error?</v>
      </c>
    </row>
    <row r="2056" spans="1:4" x14ac:dyDescent="0.2">
      <c r="A2056" s="5">
        <v>1995</v>
      </c>
      <c r="B2056" s="138">
        <f>'Cap Outlay Deprec 26'!L5</f>
        <v>58655</v>
      </c>
      <c r="C2056" s="2" t="s">
        <v>573</v>
      </c>
      <c r="D2056" s="2" t="str">
        <f t="shared" si="31"/>
        <v>Error?</v>
      </c>
    </row>
    <row r="2057" spans="1:4" x14ac:dyDescent="0.2">
      <c r="A2057" s="5">
        <v>1996</v>
      </c>
      <c r="B2057" s="138">
        <f>'Cap Outlay Deprec 26'!L8</f>
        <v>1363308</v>
      </c>
      <c r="C2057" s="2" t="s">
        <v>573</v>
      </c>
      <c r="D2057" s="2" t="str">
        <f t="shared" si="31"/>
        <v>Error?</v>
      </c>
    </row>
    <row r="2058" spans="1:4" x14ac:dyDescent="0.2">
      <c r="A2058" s="5">
        <v>1997</v>
      </c>
      <c r="B2058" s="138">
        <f>'Cap Outlay Deprec 26'!L10</f>
        <v>573362</v>
      </c>
      <c r="C2058" s="2" t="s">
        <v>573</v>
      </c>
      <c r="D2058" s="2" t="str">
        <f t="shared" si="31"/>
        <v>Error?</v>
      </c>
    </row>
    <row r="2059" spans="1:4" x14ac:dyDescent="0.2">
      <c r="A2059" s="5">
        <v>1998</v>
      </c>
      <c r="B2059" s="138">
        <f>'Cap Outlay Deprec 26'!L12</f>
        <v>168250</v>
      </c>
      <c r="C2059" s="2" t="s">
        <v>573</v>
      </c>
      <c r="D2059" s="2" t="str">
        <f t="shared" si="31"/>
        <v>Error?</v>
      </c>
    </row>
    <row r="2060" spans="1:4" x14ac:dyDescent="0.2">
      <c r="A2060" s="5">
        <v>1999</v>
      </c>
      <c r="B2060" s="138">
        <f>'Cap Outlay Deprec 26'!L13</f>
        <v>382600</v>
      </c>
      <c r="C2060" s="2" t="s">
        <v>573</v>
      </c>
      <c r="D2060" s="2" t="str">
        <f t="shared" si="31"/>
        <v>Error?</v>
      </c>
    </row>
    <row r="2061" spans="1:4" x14ac:dyDescent="0.2">
      <c r="A2061" s="5">
        <v>2000</v>
      </c>
      <c r="B2061" s="138">
        <f>'Cap Outlay Deprec 26'!L16</f>
        <v>2546175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430741</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350000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374440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2531</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5927950</v>
      </c>
      <c r="C2551" s="2" t="s">
        <v>573</v>
      </c>
      <c r="D2551" s="2" t="str">
        <f t="shared" si="38"/>
        <v>Error?</v>
      </c>
    </row>
    <row r="2552" spans="1:4" x14ac:dyDescent="0.2">
      <c r="A2552" s="10">
        <v>2491</v>
      </c>
      <c r="D2552" s="2" t="str">
        <f t="shared" si="38"/>
        <v>OK</v>
      </c>
    </row>
    <row r="2553" spans="1:4" x14ac:dyDescent="0.2">
      <c r="A2553" s="5">
        <v>2492</v>
      </c>
      <c r="B2553" s="138">
        <f>'Acct Summary 7-8'!C6</f>
        <v>2867819</v>
      </c>
      <c r="C2553" s="2" t="s">
        <v>573</v>
      </c>
      <c r="D2553" s="2" t="str">
        <f t="shared" si="38"/>
        <v>Error?</v>
      </c>
    </row>
    <row r="2554" spans="1:4" x14ac:dyDescent="0.2">
      <c r="A2554" s="5">
        <v>2493</v>
      </c>
      <c r="B2554" s="138">
        <f>'Acct Summary 7-8'!C7</f>
        <v>380699</v>
      </c>
      <c r="C2554" s="2" t="s">
        <v>573</v>
      </c>
      <c r="D2554" s="2" t="str">
        <f t="shared" si="38"/>
        <v>Error?</v>
      </c>
    </row>
    <row r="2555" spans="1:4" x14ac:dyDescent="0.2">
      <c r="A2555" s="5">
        <v>2494</v>
      </c>
      <c r="B2555" s="138">
        <f>'Acct Summary 7-8'!C8</f>
        <v>9176468</v>
      </c>
      <c r="C2555" s="2" t="s">
        <v>573</v>
      </c>
      <c r="D2555" s="2" t="str">
        <f t="shared" si="38"/>
        <v>Error?</v>
      </c>
    </row>
    <row r="2556" spans="1:4" x14ac:dyDescent="0.2">
      <c r="A2556" s="5">
        <v>2495</v>
      </c>
      <c r="B2556" s="138">
        <f>'Acct Summary 7-8'!C12</f>
        <v>4825755</v>
      </c>
      <c r="C2556" s="2" t="s">
        <v>573</v>
      </c>
      <c r="D2556" s="2" t="str">
        <f t="shared" si="38"/>
        <v>Error?</v>
      </c>
    </row>
    <row r="2557" spans="1:4" x14ac:dyDescent="0.2">
      <c r="A2557" s="5">
        <v>2496</v>
      </c>
      <c r="B2557" s="138">
        <f>'Acct Summary 7-8'!C13</f>
        <v>1702505</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430741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6959001</v>
      </c>
      <c r="C2561" s="2" t="s">
        <v>573</v>
      </c>
      <c r="D2561" s="2" t="str">
        <f t="shared" si="39"/>
        <v>Error?</v>
      </c>
    </row>
    <row r="2562" spans="1:4" x14ac:dyDescent="0.2">
      <c r="A2562" s="5">
        <v>2501</v>
      </c>
      <c r="B2562" s="138">
        <f>'Acct Summary 7-8'!C20</f>
        <v>2217467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1406579</v>
      </c>
      <c r="C2564" s="2" t="s">
        <v>573</v>
      </c>
      <c r="D2564" s="2" t="str">
        <f t="shared" si="39"/>
        <v>Error?</v>
      </c>
    </row>
    <row r="2565" spans="1:4" x14ac:dyDescent="0.2">
      <c r="A2565" s="10">
        <v>2504</v>
      </c>
      <c r="D2565" s="2" t="str">
        <f t="shared" si="39"/>
        <v>OK</v>
      </c>
    </row>
    <row r="2566" spans="1:4" x14ac:dyDescent="0.2">
      <c r="A2566" s="5">
        <v>2505</v>
      </c>
      <c r="B2566" s="138">
        <f>'Acct Summary 7-8'!D6</f>
        <v>475818</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1882397</v>
      </c>
      <c r="C2568" s="2" t="s">
        <v>573</v>
      </c>
      <c r="D2568" s="2" t="str">
        <f t="shared" si="39"/>
        <v>Error?</v>
      </c>
    </row>
    <row r="2569" spans="1:4" x14ac:dyDescent="0.2">
      <c r="A2569" s="5">
        <v>2508</v>
      </c>
      <c r="B2569" s="138">
        <f>'Acct Summary 7-8'!D13</f>
        <v>1361483</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1361483</v>
      </c>
      <c r="C2573" s="2" t="s">
        <v>573</v>
      </c>
      <c r="D2573" s="2" t="str">
        <f t="shared" si="39"/>
        <v>Error?</v>
      </c>
    </row>
    <row r="2574" spans="1:4" x14ac:dyDescent="0.2">
      <c r="A2574" s="5">
        <v>2513</v>
      </c>
      <c r="B2574" s="138">
        <f>'Acct Summary 7-8'!D20</f>
        <v>520914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374163</v>
      </c>
      <c r="C2591" s="2" t="s">
        <v>573</v>
      </c>
      <c r="D2591" s="2" t="str">
        <f t="shared" si="39"/>
        <v>Error?</v>
      </c>
    </row>
    <row r="2592" spans="1:4" x14ac:dyDescent="0.2">
      <c r="A2592" s="10">
        <v>2531</v>
      </c>
      <c r="D2592" s="2" t="str">
        <f t="shared" si="39"/>
        <v>OK</v>
      </c>
    </row>
    <row r="2593" spans="1:4" x14ac:dyDescent="0.2">
      <c r="A2593" s="5">
        <v>2532</v>
      </c>
      <c r="B2593" s="138">
        <f>'Acct Summary 7-8'!F6</f>
        <v>330687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704850</v>
      </c>
      <c r="C2595" s="2" t="s">
        <v>573</v>
      </c>
      <c r="D2595" s="2" t="str">
        <f t="shared" si="39"/>
        <v>Error?</v>
      </c>
    </row>
    <row r="2596" spans="1:4" x14ac:dyDescent="0.2">
      <c r="A2596" s="5">
        <v>2535</v>
      </c>
      <c r="B2596" s="138">
        <f>'Acct Summary 7-8'!F13</f>
        <v>571503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571503</v>
      </c>
      <c r="C2600" s="2" t="s">
        <v>573</v>
      </c>
      <c r="D2600" s="2" t="str">
        <f t="shared" si="39"/>
        <v>Error?</v>
      </c>
    </row>
    <row r="2601" spans="1:4" x14ac:dyDescent="0.2">
      <c r="A2601" s="5">
        <v>2540</v>
      </c>
      <c r="B2601" s="138">
        <f>'Acct Summary 7-8'!F20</f>
        <v>133347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533648</v>
      </c>
      <c r="C2603" s="2" t="s">
        <v>573</v>
      </c>
      <c r="D2603" s="2" t="str">
        <f t="shared" si="39"/>
        <v>Error?</v>
      </c>
    </row>
    <row r="2604" spans="1:4" x14ac:dyDescent="0.2">
      <c r="A2604" s="5">
        <v>2543</v>
      </c>
      <c r="B2604" s="138">
        <f>'Acct Summary 7-8'!G6</f>
        <v>1564</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535212</v>
      </c>
      <c r="C2606" s="2" t="s">
        <v>573</v>
      </c>
      <c r="D2606" s="2" t="str">
        <f t="shared" si="39"/>
        <v>Error?</v>
      </c>
    </row>
    <row r="2607" spans="1:4" x14ac:dyDescent="0.2">
      <c r="A2607" s="5">
        <v>2546</v>
      </c>
      <c r="B2607" s="138">
        <f>'Acct Summary 7-8'!G12</f>
        <v>135598</v>
      </c>
      <c r="C2607" s="2" t="s">
        <v>573</v>
      </c>
      <c r="D2607" s="2" t="str">
        <f t="shared" si="39"/>
        <v>Error?</v>
      </c>
    </row>
    <row r="2608" spans="1:4" x14ac:dyDescent="0.2">
      <c r="A2608" s="5">
        <v>2547</v>
      </c>
      <c r="B2608" s="138">
        <f>'Acct Summary 7-8'!G13</f>
        <v>192459</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328057</v>
      </c>
      <c r="C2612" s="2" t="s">
        <v>573</v>
      </c>
      <c r="D2612" s="2" t="str">
        <f t="shared" si="39"/>
        <v>Error?</v>
      </c>
    </row>
    <row r="2613" spans="1:4" x14ac:dyDescent="0.2">
      <c r="A2613" s="5">
        <v>2552</v>
      </c>
      <c r="B2613" s="138">
        <f>'Acct Summary 7-8'!G20</f>
        <v>207155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143653</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143653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87152</v>
      </c>
      <c r="C2634" s="2" t="s">
        <v>573</v>
      </c>
      <c r="D2634" s="2" t="str">
        <f t="shared" si="40"/>
        <v>Error?</v>
      </c>
    </row>
    <row r="2635" spans="1:4" x14ac:dyDescent="0.2">
      <c r="A2635" s="5">
        <v>2574</v>
      </c>
      <c r="B2635" s="138">
        <f>'Acct Summary 7-8'!E17</f>
        <v>87152</v>
      </c>
      <c r="C2635" s="2" t="s">
        <v>573</v>
      </c>
      <c r="D2635" s="2" t="str">
        <f t="shared" si="40"/>
        <v>Error?</v>
      </c>
    </row>
    <row r="2636" spans="1:4" x14ac:dyDescent="0.2">
      <c r="A2636" s="5">
        <v>2575</v>
      </c>
      <c r="B2636" s="138">
        <f>'Acct Summary 7-8'!E20</f>
        <v>56501</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1482</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1482</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1482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430741</v>
      </c>
      <c r="C2789" s="2" t="s">
        <v>573</v>
      </c>
      <c r="D2789" s="2" t="str">
        <f t="shared" si="42"/>
        <v>Error?</v>
      </c>
    </row>
    <row r="2790" spans="1:4" x14ac:dyDescent="0.2">
      <c r="A2790" s="5">
        <v>2729</v>
      </c>
      <c r="B2790" s="138">
        <f>'Expenditures 15-22'!E102</f>
        <v>430741</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139753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199647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139753</v>
      </c>
      <c r="D2912" s="2" t="str">
        <f t="shared" si="44"/>
        <v>Error?</v>
      </c>
    </row>
    <row r="2913" spans="1:4" x14ac:dyDescent="0.2">
      <c r="A2913" s="5">
        <v>2852</v>
      </c>
      <c r="B2913" s="138">
        <f>'Assets-Liab 5-6'!I41</f>
        <v>139753</v>
      </c>
      <c r="C2913" s="2" t="s">
        <v>573</v>
      </c>
      <c r="D2913" s="2" t="str">
        <f t="shared" si="44"/>
        <v>Error?</v>
      </c>
    </row>
    <row r="2914" spans="1:4" x14ac:dyDescent="0.2">
      <c r="A2914" s="5">
        <v>2853</v>
      </c>
      <c r="B2914" s="138">
        <f>'Assets-Liab 5-6'!L33</f>
        <v>199647</v>
      </c>
      <c r="D2914" s="2" t="str">
        <f t="shared" si="44"/>
        <v>Error?</v>
      </c>
    </row>
    <row r="2915" spans="1:4" x14ac:dyDescent="0.2">
      <c r="A2915" s="10">
        <v>2854</v>
      </c>
      <c r="D2915" s="2" t="str">
        <f t="shared" si="44"/>
        <v>OK</v>
      </c>
    </row>
    <row r="2916" spans="1:4" x14ac:dyDescent="0.2">
      <c r="A2916" s="5">
        <v>2855</v>
      </c>
      <c r="B2916" s="138">
        <f>'Assets-Liab 5-6'!L34</f>
        <v>199647</v>
      </c>
      <c r="C2916" s="2" t="s">
        <v>573</v>
      </c>
      <c r="D2916" s="2" t="str">
        <f t="shared" si="44"/>
        <v>Error?</v>
      </c>
    </row>
    <row r="2917" spans="1:4" x14ac:dyDescent="0.2">
      <c r="A2917" s="5">
        <v>2856</v>
      </c>
      <c r="B2917" s="138">
        <f>'Assets-Liab 5-6'!L41</f>
        <v>199647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398118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32623</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398118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32623</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78629</v>
      </c>
      <c r="D3055" s="2" t="str">
        <f t="shared" si="46"/>
        <v>Error?</v>
      </c>
    </row>
    <row r="3056" spans="1:4" x14ac:dyDescent="0.2">
      <c r="A3056" s="5">
        <v>2995</v>
      </c>
      <c r="B3056" s="138">
        <f>'Expenditures 15-22'!D10</f>
        <v>25143</v>
      </c>
      <c r="D3056" s="2" t="str">
        <f t="shared" si="46"/>
        <v>Error?</v>
      </c>
    </row>
    <row r="3057" spans="1:4" x14ac:dyDescent="0.2">
      <c r="A3057" s="5">
        <v>2996</v>
      </c>
      <c r="B3057" s="138">
        <f>'Expenditures 15-22'!E10</f>
        <v>11079</v>
      </c>
      <c r="D3057" s="2" t="str">
        <f t="shared" si="46"/>
        <v>Error?</v>
      </c>
    </row>
    <row r="3058" spans="1:4" x14ac:dyDescent="0.2">
      <c r="A3058" s="5">
        <v>2997</v>
      </c>
      <c r="B3058" s="138">
        <f>'Expenditures 15-22'!F10</f>
        <v>9787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124638</v>
      </c>
      <c r="C3062" s="2" t="s">
        <v>573</v>
      </c>
      <c r="D3062" s="2" t="str">
        <f t="shared" si="46"/>
        <v>Error?</v>
      </c>
    </row>
    <row r="3063" spans="1:4" x14ac:dyDescent="0.2">
      <c r="A3063" s="10">
        <v>3002</v>
      </c>
      <c r="D3063" s="2" t="str">
        <f t="shared" si="46"/>
        <v>OK</v>
      </c>
    </row>
    <row r="3064" spans="1:4" x14ac:dyDescent="0.2">
      <c r="A3064" s="5">
        <v>3003</v>
      </c>
      <c r="B3064" s="138">
        <f>'Expenditures 15-22'!D219</f>
        <v>809</v>
      </c>
      <c r="D3064" s="2" t="str">
        <f t="shared" si="46"/>
        <v>Error?</v>
      </c>
    </row>
    <row r="3065" spans="1:4" x14ac:dyDescent="0.2">
      <c r="A3065" s="5">
        <v>3004</v>
      </c>
      <c r="B3065" s="138">
        <f>'Expenditures 15-22'!K219</f>
        <v>809</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85024</v>
      </c>
      <c r="C3225" s="2" t="s">
        <v>573</v>
      </c>
      <c r="D3225" s="2" t="str">
        <f t="shared" si="49"/>
        <v>Error?</v>
      </c>
    </row>
    <row r="3226" spans="1:4" x14ac:dyDescent="0.2">
      <c r="A3226" s="5">
        <v>3165</v>
      </c>
      <c r="B3226" s="138">
        <f>'Acct Summary 7-8'!I8</f>
        <v>85024</v>
      </c>
      <c r="C3226" s="2" t="s">
        <v>573</v>
      </c>
      <c r="D3226" s="2" t="str">
        <f t="shared" si="49"/>
        <v>Error?</v>
      </c>
    </row>
    <row r="3227" spans="1:4" x14ac:dyDescent="0.2">
      <c r="A3227" s="5">
        <v>3166</v>
      </c>
      <c r="B3227" s="138">
        <f>'Acct Summary 7-8'!I20</f>
        <v>85024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2217467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520914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133347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207155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56501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1482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350000</v>
      </c>
      <c r="C3318" s="2" t="s">
        <v>573</v>
      </c>
      <c r="D3318" s="2" t="str">
        <f t="shared" si="50"/>
        <v>Error?</v>
      </c>
    </row>
    <row r="3319" spans="1:4" x14ac:dyDescent="0.2">
      <c r="A3319" s="5">
        <v>3258</v>
      </c>
      <c r="B3319" s="138">
        <f>'Acct Summary 7-8'!I77</f>
        <v>-350000</v>
      </c>
      <c r="C3319" s="2" t="s">
        <v>573</v>
      </c>
      <c r="D3319" s="2" t="str">
        <f t="shared" si="50"/>
        <v>Error?</v>
      </c>
    </row>
    <row r="3320" spans="1:4" x14ac:dyDescent="0.2">
      <c r="A3320" s="5">
        <v>3259</v>
      </c>
      <c r="B3320" s="138">
        <f>'Acct Summary 7-8'!I78</f>
        <v>-264976</v>
      </c>
      <c r="C3320" s="2" t="s">
        <v>573</v>
      </c>
      <c r="D3320" s="2" t="str">
        <f t="shared" si="50"/>
        <v>Error?</v>
      </c>
    </row>
    <row r="3321" spans="1:4" x14ac:dyDescent="0.2">
      <c r="A3321" s="5">
        <v>3260</v>
      </c>
      <c r="B3321" s="138">
        <f>'Acct Summary 7-8'!I79</f>
        <v>404729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139753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681278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200131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545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852</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882806</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38231</v>
      </c>
      <c r="D3387" s="2" t="str">
        <f t="shared" si="51"/>
        <v>Error?</v>
      </c>
    </row>
    <row r="3388" spans="1:4" x14ac:dyDescent="0.2">
      <c r="A3388" s="5">
        <v>3327</v>
      </c>
      <c r="B3388" s="138">
        <f>'Expenditures 15-22'!D217</f>
        <v>88037</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38231</v>
      </c>
      <c r="C3390" s="2" t="s">
        <v>573</v>
      </c>
      <c r="D3390" s="2" t="str">
        <f t="shared" si="51"/>
        <v>Error?</v>
      </c>
    </row>
    <row r="3391" spans="1:4" x14ac:dyDescent="0.2">
      <c r="A3391" s="5">
        <v>3330</v>
      </c>
      <c r="B3391" s="138">
        <f>'Expenditures 15-22'!K217</f>
        <v>88037</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4850402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640404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60500</v>
      </c>
      <c r="D3417" s="2" t="str">
        <f t="shared" si="52"/>
        <v>Error?</v>
      </c>
    </row>
    <row r="3418" spans="1:4" x14ac:dyDescent="0.2">
      <c r="A3418" s="10">
        <v>3357</v>
      </c>
      <c r="D3418" s="2" t="str">
        <f t="shared" si="52"/>
        <v>OK</v>
      </c>
    </row>
    <row r="3419" spans="1:4" x14ac:dyDescent="0.2">
      <c r="A3419" s="5">
        <v>3358</v>
      </c>
      <c r="B3419" s="138">
        <f>'Assets-Liab 5-6'!F4</f>
        <v>326579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374440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2531</v>
      </c>
      <c r="D3425" s="2" t="str">
        <f t="shared" si="52"/>
        <v>Error?</v>
      </c>
    </row>
    <row r="3426" spans="1:4" x14ac:dyDescent="0.2">
      <c r="A3426" s="10">
        <v>3365</v>
      </c>
      <c r="D3426" s="2" t="str">
        <f t="shared" si="52"/>
        <v>OK</v>
      </c>
    </row>
    <row r="3427" spans="1:4" x14ac:dyDescent="0.2">
      <c r="A3427" s="5">
        <v>3366</v>
      </c>
      <c r="B3427" s="138">
        <f>'Assets-Liab 5-6'!I4</f>
        <v>139753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199647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261822</v>
      </c>
      <c r="C3446" s="2" t="s">
        <v>573</v>
      </c>
      <c r="D3446" s="2" t="str">
        <f t="shared" si="52"/>
        <v>Error?</v>
      </c>
    </row>
    <row r="3447" spans="1:4" x14ac:dyDescent="0.2">
      <c r="A3447" s="5">
        <v>3386</v>
      </c>
      <c r="B3447" s="138">
        <f>'Tax Sched 23'!D16</f>
        <v>159354</v>
      </c>
      <c r="C3447" s="2" t="s">
        <v>573</v>
      </c>
      <c r="D3447" s="2" t="str">
        <f t="shared" si="52"/>
        <v>Error?</v>
      </c>
    </row>
    <row r="3448" spans="1:4" x14ac:dyDescent="0.2">
      <c r="A3448" s="5">
        <v>3387</v>
      </c>
      <c r="B3448" s="138">
        <f>'Tax Sched 23'!C16</f>
        <v>102468</v>
      </c>
      <c r="D3448" s="2" t="str">
        <f t="shared" si="52"/>
        <v>Error?</v>
      </c>
    </row>
    <row r="3449" spans="1:4" x14ac:dyDescent="0.2">
      <c r="A3449" s="5">
        <v>3388</v>
      </c>
      <c r="B3449" s="138">
        <f>'Tax Sched 23'!F16</f>
        <v>67535</v>
      </c>
      <c r="C3449" s="2" t="s">
        <v>573</v>
      </c>
      <c r="D3449" s="2" t="str">
        <f t="shared" si="52"/>
        <v>Error?</v>
      </c>
    </row>
    <row r="3450" spans="1:4" x14ac:dyDescent="0.2">
      <c r="A3450" s="5">
        <v>3389</v>
      </c>
      <c r="B3450" s="138">
        <f>'Tax Sched 23'!E16</f>
        <v>170003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92692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92692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92692</v>
      </c>
      <c r="D3567" s="2" t="str">
        <f t="shared" si="54"/>
        <v>Error?</v>
      </c>
    </row>
    <row r="3568" spans="1:4" x14ac:dyDescent="0.2">
      <c r="A3568" s="5">
        <v>3507</v>
      </c>
      <c r="B3568" s="138">
        <f>'Assets-Liab 5-6'!K41</f>
        <v>92692</v>
      </c>
      <c r="C3568" s="2" t="s">
        <v>573</v>
      </c>
      <c r="D3568" s="2" t="str">
        <f t="shared" si="54"/>
        <v>Error?</v>
      </c>
    </row>
    <row r="3569" spans="1:4" x14ac:dyDescent="0.2">
      <c r="A3569" s="5">
        <v>3508</v>
      </c>
      <c r="B3569" s="138">
        <f>'Acct Summary 7-8'!K4</f>
        <v>85024</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85024</v>
      </c>
      <c r="C3571" s="2" t="s">
        <v>573</v>
      </c>
      <c r="D3571" s="2" t="str">
        <f t="shared" si="54"/>
        <v>Error?</v>
      </c>
    </row>
    <row r="3572" spans="1:4" x14ac:dyDescent="0.2">
      <c r="A3572" s="5">
        <v>3511</v>
      </c>
      <c r="B3572" s="138">
        <f>'Acct Summary 7-8'!K13</f>
        <v>684932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684932</v>
      </c>
      <c r="C3575" s="2" t="s">
        <v>573</v>
      </c>
      <c r="D3575" s="2" t="str">
        <f t="shared" si="54"/>
        <v>Error?</v>
      </c>
    </row>
    <row r="3576" spans="1:4" x14ac:dyDescent="0.2">
      <c r="A3576" s="5">
        <v>3515</v>
      </c>
      <c r="B3576" s="138">
        <f>'Acct Summary 7-8'!K20</f>
        <v>-599908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350000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350000</v>
      </c>
      <c r="C3587" s="2" t="s">
        <v>573</v>
      </c>
      <c r="D3587" s="2" t="str">
        <f t="shared" si="55"/>
        <v>Error?</v>
      </c>
    </row>
    <row r="3588" spans="1:4" x14ac:dyDescent="0.2">
      <c r="A3588" s="5">
        <v>3527</v>
      </c>
      <c r="B3588" s="138">
        <f>'Acct Summary 7-8'!K78</f>
        <v>-249908</v>
      </c>
      <c r="C3588" s="2" t="s">
        <v>573</v>
      </c>
      <c r="D3588" s="2" t="str">
        <f t="shared" si="55"/>
        <v>Error?</v>
      </c>
    </row>
    <row r="3589" spans="1:4" x14ac:dyDescent="0.2">
      <c r="A3589" s="5">
        <v>3528</v>
      </c>
      <c r="B3589" s="138">
        <f>'Acct Summary 7-8'!K79</f>
        <v>342600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92692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684932</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684932</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684932</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684932</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684932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684932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684932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-599908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85015</v>
      </c>
      <c r="C3725" s="2" t="s">
        <v>573</v>
      </c>
      <c r="D3725" s="2" t="str">
        <f t="shared" si="57"/>
        <v>Error?</v>
      </c>
    </row>
    <row r="3726" spans="1:4" x14ac:dyDescent="0.2">
      <c r="A3726" s="5">
        <v>3665</v>
      </c>
      <c r="B3726" s="138">
        <f>'Tax Sched 23'!D13</f>
        <v>52229</v>
      </c>
      <c r="C3726" s="2" t="s">
        <v>573</v>
      </c>
      <c r="D3726" s="2" t="str">
        <f t="shared" si="57"/>
        <v>Error?</v>
      </c>
    </row>
    <row r="3727" spans="1:4" x14ac:dyDescent="0.2">
      <c r="A3727" s="5">
        <v>3666</v>
      </c>
      <c r="B3727" s="138">
        <f>'Tax Sched 23'!C13</f>
        <v>32786</v>
      </c>
      <c r="D3727" s="2" t="str">
        <f t="shared" si="57"/>
        <v>Error?</v>
      </c>
    </row>
    <row r="3728" spans="1:4" x14ac:dyDescent="0.2">
      <c r="A3728" s="5">
        <v>3667</v>
      </c>
      <c r="B3728" s="138">
        <f>'Tax Sched 23'!F13</f>
        <v>21606</v>
      </c>
      <c r="C3728" s="2" t="s">
        <v>573</v>
      </c>
      <c r="D3728" s="2" t="str">
        <f t="shared" si="57"/>
        <v>Error?</v>
      </c>
    </row>
    <row r="3729" spans="1:4" x14ac:dyDescent="0.2">
      <c r="A3729" s="5">
        <v>3668</v>
      </c>
      <c r="B3729" s="138">
        <f>'Tax Sched 23'!E13</f>
        <v>54392</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2715587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11892055</v>
      </c>
      <c r="C4122" s="2" t="s">
        <v>573</v>
      </c>
      <c r="D4122" s="2" t="str">
        <f t="shared" si="63"/>
        <v>Error?</v>
      </c>
    </row>
    <row r="4123" spans="1:4" x14ac:dyDescent="0.2">
      <c r="A4123" s="5">
        <v>4062</v>
      </c>
      <c r="B4123" s="138">
        <f>'Acct Summary 7-8'!D10</f>
        <v>1882397</v>
      </c>
      <c r="C4123" s="2" t="s">
        <v>573</v>
      </c>
      <c r="D4123" s="2" t="str">
        <f t="shared" si="63"/>
        <v>Error?</v>
      </c>
    </row>
    <row r="4124" spans="1:4" x14ac:dyDescent="0.2">
      <c r="A4124" s="5">
        <v>4063</v>
      </c>
      <c r="B4124" s="138">
        <f>'Acct Summary 7-8'!E10</f>
        <v>143653</v>
      </c>
      <c r="C4124" s="2" t="s">
        <v>573</v>
      </c>
      <c r="D4124" s="2" t="str">
        <f t="shared" si="63"/>
        <v>Error?</v>
      </c>
    </row>
    <row r="4125" spans="1:4" x14ac:dyDescent="0.2">
      <c r="A4125" s="5">
        <v>4064</v>
      </c>
      <c r="B4125" s="138">
        <f>'Acct Summary 7-8'!F10</f>
        <v>704850</v>
      </c>
      <c r="C4125" s="2" t="s">
        <v>573</v>
      </c>
      <c r="D4125" s="2" t="str">
        <f t="shared" si="63"/>
        <v>Error?</v>
      </c>
    </row>
    <row r="4126" spans="1:4" x14ac:dyDescent="0.2">
      <c r="A4126" s="5">
        <v>4065</v>
      </c>
      <c r="B4126" s="138">
        <f>'Acct Summary 7-8'!G10</f>
        <v>535212</v>
      </c>
      <c r="C4126" s="2" t="s">
        <v>573</v>
      </c>
      <c r="D4126" s="2" t="str">
        <f t="shared" si="63"/>
        <v>Error?</v>
      </c>
    </row>
    <row r="4127" spans="1:4" x14ac:dyDescent="0.2">
      <c r="A4127" s="5">
        <v>4066</v>
      </c>
      <c r="B4127" s="138">
        <f>'Acct Summary 7-8'!H10</f>
        <v>1482</v>
      </c>
      <c r="C4127" s="2" t="s">
        <v>573</v>
      </c>
      <c r="D4127" s="2" t="str">
        <f t="shared" si="63"/>
        <v>Error?</v>
      </c>
    </row>
    <row r="4128" spans="1:4" x14ac:dyDescent="0.2">
      <c r="A4128" s="5">
        <v>4067</v>
      </c>
      <c r="B4128" s="138">
        <f>'Acct Summary 7-8'!I10</f>
        <v>85024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85024</v>
      </c>
      <c r="C4130" s="2" t="s">
        <v>573</v>
      </c>
      <c r="D4130" s="2" t="str">
        <f t="shared" si="63"/>
        <v>Error?</v>
      </c>
    </row>
    <row r="4131" spans="1:4" x14ac:dyDescent="0.2">
      <c r="A4131" s="5">
        <v>4070</v>
      </c>
      <c r="B4131" s="138">
        <f>'Acct Summary 7-8'!C18</f>
        <v>2715587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9674588</v>
      </c>
      <c r="C4136" s="2" t="s">
        <v>573</v>
      </c>
      <c r="D4136" s="2" t="str">
        <f t="shared" si="63"/>
        <v>Error?</v>
      </c>
    </row>
    <row r="4137" spans="1:4" x14ac:dyDescent="0.2">
      <c r="A4137" s="5">
        <v>4076</v>
      </c>
      <c r="B4137" s="138">
        <f>'Acct Summary 7-8'!D19</f>
        <v>1361483</v>
      </c>
      <c r="C4137" s="2" t="s">
        <v>573</v>
      </c>
      <c r="D4137" s="2" t="str">
        <f t="shared" si="63"/>
        <v>Error?</v>
      </c>
    </row>
    <row r="4138" spans="1:4" x14ac:dyDescent="0.2">
      <c r="A4138" s="5">
        <v>4077</v>
      </c>
      <c r="B4138" s="138">
        <f>'Acct Summary 7-8'!E19</f>
        <v>87152</v>
      </c>
      <c r="C4138" s="2" t="s">
        <v>573</v>
      </c>
      <c r="D4138" s="2" t="str">
        <f t="shared" si="63"/>
        <v>Error?</v>
      </c>
    </row>
    <row r="4139" spans="1:4" x14ac:dyDescent="0.2">
      <c r="A4139" s="5">
        <v>4078</v>
      </c>
      <c r="B4139" s="138">
        <f>'Acct Summary 7-8'!F19</f>
        <v>571503</v>
      </c>
      <c r="C4139" s="2" t="s">
        <v>573</v>
      </c>
      <c r="D4139" s="2" t="str">
        <f t="shared" si="63"/>
        <v>Error?</v>
      </c>
    </row>
    <row r="4140" spans="1:4" x14ac:dyDescent="0.2">
      <c r="A4140" s="5">
        <v>4079</v>
      </c>
      <c r="B4140" s="138">
        <f>'Acct Summary 7-8'!G19</f>
        <v>328057</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684932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655000</v>
      </c>
      <c r="C4171" s="2" t="s">
        <v>573</v>
      </c>
      <c r="D4171" s="2" t="str">
        <f t="shared" si="64"/>
        <v>Error?</v>
      </c>
    </row>
    <row r="4172" spans="1:4" x14ac:dyDescent="0.2">
      <c r="A4172" s="5">
        <v>4111</v>
      </c>
      <c r="B4172" s="138">
        <f>'Short-Term Long-Term Debt 24'!J49</f>
        <v>594500</v>
      </c>
      <c r="C4172" s="2" t="s">
        <v>573</v>
      </c>
      <c r="D4172" s="2" t="str">
        <f t="shared" si="64"/>
        <v>Error?</v>
      </c>
    </row>
    <row r="4173" spans="1:4" x14ac:dyDescent="0.2">
      <c r="A4173" s="5">
        <v>4112</v>
      </c>
      <c r="B4173" s="138">
        <f>'Short-Term Long-Term Debt 24'!H49</f>
        <v>60000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3116.29</v>
      </c>
      <c r="C4265" s="2" t="s">
        <v>573</v>
      </c>
      <c r="D4265" s="2" t="str">
        <f t="shared" si="65"/>
        <v>Error?</v>
      </c>
      <c r="E4265" s="128"/>
    </row>
    <row r="4266" spans="1:5" x14ac:dyDescent="0.2">
      <c r="A4266" s="12">
        <v>4205</v>
      </c>
      <c r="B4266" s="138">
        <f>('FP Info 3'!F10)*100000</f>
        <v>741.98</v>
      </c>
      <c r="C4266" s="2" t="s">
        <v>573</v>
      </c>
      <c r="D4266" s="2" t="str">
        <f t="shared" si="65"/>
        <v>Error?</v>
      </c>
      <c r="E4266" s="128"/>
    </row>
    <row r="4267" spans="1:5" x14ac:dyDescent="0.2">
      <c r="A4267" s="12">
        <v>4206</v>
      </c>
      <c r="B4267" s="138">
        <f>('FP Info 3'!H10)*100000</f>
        <v>217.65</v>
      </c>
      <c r="C4267" s="2" t="s">
        <v>573</v>
      </c>
      <c r="D4267" s="2" t="str">
        <f t="shared" si="65"/>
        <v>Error?</v>
      </c>
      <c r="E4267" s="128"/>
    </row>
    <row r="4268" spans="1:5" x14ac:dyDescent="0.2">
      <c r="A4268" s="12">
        <v>4207</v>
      </c>
      <c r="B4268" s="138">
        <f>('FP Info 3'!J10)*100000</f>
        <v>4075.9999999999995</v>
      </c>
      <c r="C4268" s="2" t="s">
        <v>573</v>
      </c>
      <c r="D4268" s="2" t="str">
        <f t="shared" si="65"/>
        <v>Error?</v>
      </c>
    </row>
    <row r="4269" spans="1:5" x14ac:dyDescent="0.2">
      <c r="A4269" s="12">
        <v>4208</v>
      </c>
      <c r="B4269" s="138">
        <f>'FP Info 3'!J16</f>
        <v>5967138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2100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59137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18289</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49.470000000000006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109948924</v>
      </c>
      <c r="D4995" s="2" t="str">
        <f t="shared" si="77"/>
        <v>Error?</v>
      </c>
    </row>
    <row r="4996" spans="1:4" x14ac:dyDescent="0.2">
      <c r="A4996" s="12">
        <v>4935</v>
      </c>
      <c r="B4996" s="138">
        <f>'FP Info 3'!H31</f>
        <v>15172951.512000002</v>
      </c>
      <c r="D4996" s="2" t="str">
        <f t="shared" si="77"/>
        <v>Error?</v>
      </c>
    </row>
    <row r="4997" spans="1:4" x14ac:dyDescent="0.2">
      <c r="A4997" s="12">
        <v>4936</v>
      </c>
      <c r="B4997" s="138">
        <f>'FP Info 3'!H37</f>
        <v>655000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85015</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5355657</v>
      </c>
      <c r="D5061" s="2" t="str">
        <f t="shared" si="78"/>
        <v>Error?</v>
      </c>
    </row>
    <row r="5062" spans="1:4" x14ac:dyDescent="0.2">
      <c r="A5062" s="10">
        <v>5001</v>
      </c>
      <c r="D5062" s="2" t="str">
        <f t="shared" si="78"/>
        <v>OK</v>
      </c>
    </row>
    <row r="5063" spans="1:4" x14ac:dyDescent="0.2">
      <c r="A5063" s="5">
        <v>5002</v>
      </c>
      <c r="B5063" s="138">
        <f>'Revenues 9-14'!C7</f>
        <v>85015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5525687</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189032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189032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575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575</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5815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144955</v>
      </c>
      <c r="C5096" s="2" t="s">
        <v>573</v>
      </c>
      <c r="D5096" s="2" t="str">
        <f t="shared" si="78"/>
        <v>Error?</v>
      </c>
    </row>
    <row r="5097" spans="1:4" x14ac:dyDescent="0.2">
      <c r="A5097" s="5">
        <v>5036</v>
      </c>
      <c r="B5097" s="138">
        <f>'Revenues 9-14'!C77</f>
        <v>15134</v>
      </c>
      <c r="D5097" s="2" t="str">
        <f t="shared" si="78"/>
        <v>Error?</v>
      </c>
    </row>
    <row r="5098" spans="1:4" x14ac:dyDescent="0.2">
      <c r="A5098" s="5">
        <v>5037</v>
      </c>
      <c r="B5098" s="138">
        <f>'Revenues 9-14'!C78</f>
        <v>288</v>
      </c>
      <c r="D5098" s="2" t="str">
        <f t="shared" si="78"/>
        <v>Error?</v>
      </c>
    </row>
    <row r="5099" spans="1:4" x14ac:dyDescent="0.2">
      <c r="A5099" s="5">
        <v>5038</v>
      </c>
      <c r="B5099" s="138">
        <f>'Revenues 9-14'!C79</f>
        <v>12198</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27620</v>
      </c>
      <c r="C5102" s="2" t="s">
        <v>573</v>
      </c>
      <c r="D5102" s="2" t="str">
        <f t="shared" si="78"/>
        <v>Error?</v>
      </c>
    </row>
    <row r="5103" spans="1:4" x14ac:dyDescent="0.2">
      <c r="A5103" s="5">
        <v>5042</v>
      </c>
      <c r="B5103" s="138">
        <f>'Revenues 9-14'!C84</f>
        <v>34460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34460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5321</v>
      </c>
      <c r="D5119" s="2" t="str">
        <f t="shared" ref="D5119:D5182" si="79">IF(ISBLANK(B5119),"OK",IF(A5119-B5119=0,"OK","Error?"))</f>
        <v>Error?</v>
      </c>
    </row>
    <row r="5120" spans="1:4" x14ac:dyDescent="0.2">
      <c r="A5120" s="5">
        <v>5059</v>
      </c>
      <c r="B5120" s="138">
        <f>'Revenues 9-14'!C108</f>
        <v>5621</v>
      </c>
      <c r="C5120" s="2" t="s">
        <v>573</v>
      </c>
      <c r="D5120" s="2" t="str">
        <f t="shared" si="79"/>
        <v>Error?</v>
      </c>
    </row>
    <row r="5121" spans="1:4" x14ac:dyDescent="0.2">
      <c r="A5121" s="5">
        <v>5060</v>
      </c>
      <c r="B5121" s="138">
        <f>'Revenues 9-14'!C109</f>
        <v>5927950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2141182</v>
      </c>
      <c r="D5126" s="2" t="str">
        <f t="shared" si="79"/>
        <v>Error?</v>
      </c>
    </row>
    <row r="5127" spans="1:4" x14ac:dyDescent="0.2">
      <c r="A5127" s="5">
        <v>5066</v>
      </c>
      <c r="B5127" s="138">
        <f>'Revenues 9-14'!C119</f>
        <v>588767</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2729949</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29152</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29152</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4346</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2713</v>
      </c>
      <c r="D5167" s="2" t="str">
        <f t="shared" si="79"/>
        <v>Error?</v>
      </c>
    </row>
    <row r="5168" spans="1:4" x14ac:dyDescent="0.2">
      <c r="A5168" s="5">
        <v>5107</v>
      </c>
      <c r="B5168" s="138">
        <f>'Revenues 9-14'!C148</f>
        <v>9321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91588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137870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2867819</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151298</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40103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191401</v>
      </c>
      <c r="C5246" s="2" t="s">
        <v>573</v>
      </c>
      <c r="D5246" s="2" t="str">
        <f t="shared" si="80"/>
        <v>Error?</v>
      </c>
    </row>
    <row r="5247" spans="1:4" x14ac:dyDescent="0.2">
      <c r="A5247" s="5">
        <v>5186</v>
      </c>
      <c r="B5247" s="138">
        <f>'Revenues 9-14'!C200</f>
        <v>79205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81305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30567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30567</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380699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380699</v>
      </c>
      <c r="C5326" s="2" t="s">
        <v>573</v>
      </c>
      <c r="D5326" s="2" t="str">
        <f t="shared" si="82"/>
        <v>Error?</v>
      </c>
    </row>
    <row r="5327" spans="1:5" x14ac:dyDescent="0.2">
      <c r="A5327" s="5">
        <v>5266</v>
      </c>
      <c r="B5327" s="138">
        <f>'Revenues 9-14'!C268</f>
        <v>9176468</v>
      </c>
      <c r="C5327" s="2" t="s">
        <v>573</v>
      </c>
      <c r="D5327" s="2" t="str">
        <f t="shared" si="82"/>
        <v>Error?</v>
      </c>
    </row>
    <row r="5328" spans="1:5" x14ac:dyDescent="0.2">
      <c r="A5328" s="5">
        <v>5267</v>
      </c>
      <c r="B5328" s="138">
        <f>'Revenues 9-14'!D5</f>
        <v>1275159</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1275159</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132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132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131288</v>
      </c>
      <c r="D5354" s="2" t="str">
        <f t="shared" si="82"/>
        <v>Error?</v>
      </c>
    </row>
    <row r="5355" spans="1:4" x14ac:dyDescent="0.2">
      <c r="A5355" s="5">
        <v>5294</v>
      </c>
      <c r="B5355" s="138">
        <f>'Revenues 9-14'!D108</f>
        <v>131288</v>
      </c>
      <c r="C5355" s="2" t="s">
        <v>573</v>
      </c>
      <c r="D5355" s="2" t="str">
        <f t="shared" si="82"/>
        <v>Error?</v>
      </c>
    </row>
    <row r="5356" spans="1:4" x14ac:dyDescent="0.2">
      <c r="A5356" s="5">
        <v>5295</v>
      </c>
      <c r="B5356" s="138">
        <f>'Revenues 9-14'!D109</f>
        <v>1406579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475818</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475818</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475818</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1882397</v>
      </c>
      <c r="C5508" s="2" t="s">
        <v>573</v>
      </c>
      <c r="D5508" s="2" t="str">
        <f t="shared" si="85"/>
        <v>Error?</v>
      </c>
    </row>
    <row r="5509" spans="1:4" x14ac:dyDescent="0.2">
      <c r="A5509" s="5">
        <v>5448</v>
      </c>
      <c r="B5509" s="138">
        <f>'Revenues 9-14'!E5</f>
        <v>143638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143638</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143653</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143653</v>
      </c>
      <c r="C5552" s="2" t="s">
        <v>573</v>
      </c>
      <c r="D5552" s="2" t="str">
        <f t="shared" si="85"/>
        <v>Error?</v>
      </c>
    </row>
    <row r="5553" spans="1:4" x14ac:dyDescent="0.2">
      <c r="A5553" s="5">
        <v>5492</v>
      </c>
      <c r="B5553" s="138">
        <f>'Revenues 9-14'!F5</f>
        <v>374051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374051</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73</v>
      </c>
      <c r="D5586" s="2" t="str">
        <f t="shared" si="86"/>
        <v>Error?</v>
      </c>
    </row>
    <row r="5587" spans="1:4" x14ac:dyDescent="0.2">
      <c r="A5587" s="5">
        <v>5526</v>
      </c>
      <c r="B5587" s="138">
        <f>'Revenues 9-14'!F108</f>
        <v>73</v>
      </c>
      <c r="C5587" s="2" t="s">
        <v>573</v>
      </c>
      <c r="D5587" s="2" t="str">
        <f t="shared" si="86"/>
        <v>Error?</v>
      </c>
    </row>
    <row r="5588" spans="1:4" x14ac:dyDescent="0.2">
      <c r="A5588" s="5">
        <v>5527</v>
      </c>
      <c r="B5588" s="138">
        <f>'Revenues 9-14'!F109</f>
        <v>374163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232902</v>
      </c>
      <c r="D5615" s="2" t="str">
        <f t="shared" si="86"/>
        <v>Error?</v>
      </c>
    </row>
    <row r="5616" spans="1:4" x14ac:dyDescent="0.2">
      <c r="A5616" s="10">
        <v>5555</v>
      </c>
      <c r="D5616" s="2" t="str">
        <f t="shared" si="86"/>
        <v>OK</v>
      </c>
    </row>
    <row r="5617" spans="1:5" x14ac:dyDescent="0.2">
      <c r="A5617" s="5">
        <v>5556</v>
      </c>
      <c r="B5617" s="138">
        <f>'Revenues 9-14'!F153</f>
        <v>81813</v>
      </c>
      <c r="D5617" s="2" t="str">
        <f t="shared" si="86"/>
        <v>Error?</v>
      </c>
    </row>
    <row r="5618" spans="1:5" x14ac:dyDescent="0.2">
      <c r="A5618" s="5">
        <v>5557</v>
      </c>
      <c r="B5618" s="138">
        <f>'Revenues 9-14'!F155</f>
        <v>314715</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15972</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330687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330687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704850</v>
      </c>
      <c r="C5720" s="2" t="s">
        <v>573</v>
      </c>
      <c r="D5720" s="2" t="str">
        <f t="shared" si="88"/>
        <v>Error?</v>
      </c>
    </row>
    <row r="5721" spans="1:4" x14ac:dyDescent="0.2">
      <c r="A5721" s="5">
        <v>5660</v>
      </c>
      <c r="B5721" s="138">
        <f>'Revenues 9-14'!G5</f>
        <v>261822</v>
      </c>
      <c r="D5721" s="2" t="str">
        <f t="shared" si="88"/>
        <v>Error?</v>
      </c>
    </row>
    <row r="5722" spans="1:4" x14ac:dyDescent="0.2">
      <c r="A5722" s="5">
        <v>5661</v>
      </c>
      <c r="B5722" s="138">
        <f>'Revenues 9-14'!G7</f>
        <v>0</v>
      </c>
      <c r="D5722" s="2" t="str">
        <f t="shared" si="88"/>
        <v>Error?</v>
      </c>
    </row>
    <row r="5723" spans="1:4" x14ac:dyDescent="0.2">
      <c r="A5723" s="5">
        <v>5662</v>
      </c>
      <c r="B5723" s="138">
        <f>'Revenues 9-14'!G8</f>
        <v>261822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523644</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9950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9950</v>
      </c>
      <c r="C5730" s="2" t="s">
        <v>573</v>
      </c>
      <c r="D5730" s="2" t="str">
        <f t="shared" si="88"/>
        <v>Error?</v>
      </c>
    </row>
    <row r="5731" spans="1:4" x14ac:dyDescent="0.2">
      <c r="A5731" s="5">
        <v>5670</v>
      </c>
      <c r="B5731" s="138">
        <f>'Revenues 9-14'!G65</f>
        <v>54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54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1564</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1564</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1564</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535212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1482</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1482</v>
      </c>
      <c r="C5915" s="2" t="s">
        <v>573</v>
      </c>
      <c r="D5915" s="2" t="str">
        <f t="shared" si="91"/>
        <v>Error?</v>
      </c>
    </row>
    <row r="5916" spans="1:4" x14ac:dyDescent="0.2">
      <c r="A5916" s="5">
        <v>5855</v>
      </c>
      <c r="B5916" s="138">
        <f>'Revenues 9-14'!I5</f>
        <v>85015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85015</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85024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85015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85015</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85024</v>
      </c>
      <c r="C6023" s="2" t="s">
        <v>573</v>
      </c>
      <c r="D6023" s="2" t="str">
        <f t="shared" si="93"/>
        <v>Error?</v>
      </c>
    </row>
    <row r="6024" spans="1:5" x14ac:dyDescent="0.2">
      <c r="A6024" s="5">
        <v>5963</v>
      </c>
      <c r="B6024" s="138">
        <f>'Revenues 9-14'!G109</f>
        <v>533648</v>
      </c>
      <c r="C6024" s="2" t="s">
        <v>573</v>
      </c>
      <c r="D6024" s="2" t="str">
        <f t="shared" si="93"/>
        <v>Error?</v>
      </c>
    </row>
    <row r="6025" spans="1:5" x14ac:dyDescent="0.2">
      <c r="A6025" s="5">
        <v>5964</v>
      </c>
      <c r="B6025" s="138">
        <f>'Revenues 9-14'!H109</f>
        <v>1482</v>
      </c>
      <c r="C6025" s="2" t="s">
        <v>573</v>
      </c>
      <c r="D6025" s="2" t="str">
        <f t="shared" si="93"/>
        <v>Error?</v>
      </c>
    </row>
    <row r="6026" spans="1:5" x14ac:dyDescent="0.2">
      <c r="A6026" s="5">
        <v>5965</v>
      </c>
      <c r="B6026" s="138">
        <f>'Revenues 9-14'!I109</f>
        <v>85024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85024</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139140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812.5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649725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649725</v>
      </c>
      <c r="D6215" s="2" t="str">
        <f t="shared" si="96"/>
        <v>Error?</v>
      </c>
      <c r="E6215" s="2" t="s">
        <v>190</v>
      </c>
    </row>
    <row r="6216" spans="1:5" x14ac:dyDescent="0.2">
      <c r="A6216">
        <v>6155</v>
      </c>
      <c r="B6216" s="138">
        <f>'Assets-Liab 5-6'!J41</f>
        <v>649725</v>
      </c>
      <c r="D6216" s="2" t="str">
        <f t="shared" si="96"/>
        <v>Error?</v>
      </c>
      <c r="E6216" s="2" t="s">
        <v>190</v>
      </c>
    </row>
    <row r="6217" spans="1:5" x14ac:dyDescent="0.2">
      <c r="A6217">
        <v>6156</v>
      </c>
      <c r="B6217" s="138">
        <f>'Assets-Liab 5-6'!J4</f>
        <v>649725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851652</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851652</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851652</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534925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534925</v>
      </c>
      <c r="D6229" s="2" t="str">
        <f t="shared" si="96"/>
        <v>Error?</v>
      </c>
      <c r="E6229" s="2" t="s">
        <v>190</v>
      </c>
    </row>
    <row r="6230" spans="1:5" x14ac:dyDescent="0.2">
      <c r="A6230">
        <v>6169</v>
      </c>
      <c r="B6230" s="138">
        <f>'Acct Summary 7-8'!J20</f>
        <v>316727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316727</v>
      </c>
      <c r="D6263" s="2" t="str">
        <f t="shared" si="96"/>
        <v>Error?</v>
      </c>
      <c r="E6263" s="2" t="s">
        <v>190</v>
      </c>
    </row>
    <row r="6264" spans="1:5" x14ac:dyDescent="0.2">
      <c r="A6264">
        <v>6203</v>
      </c>
      <c r="B6264" s="138">
        <f>'Acct Summary 7-8'!J79</f>
        <v>332998</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649725</v>
      </c>
      <c r="D6266" s="2" t="str">
        <f t="shared" si="96"/>
        <v>Error?</v>
      </c>
      <c r="E6266" s="2" t="s">
        <v>190</v>
      </c>
    </row>
    <row r="6267" spans="1:5" x14ac:dyDescent="0.2">
      <c r="A6267">
        <v>6206</v>
      </c>
      <c r="B6267" s="138">
        <f>'Acct Summary 7-8'!C82</f>
        <v>2217467</v>
      </c>
      <c r="D6267" s="2" t="str">
        <f t="shared" si="96"/>
        <v>Error?</v>
      </c>
      <c r="E6267" s="2" t="s">
        <v>190</v>
      </c>
    </row>
    <row r="6268" spans="1:5" x14ac:dyDescent="0.2">
      <c r="A6268">
        <v>6207</v>
      </c>
      <c r="B6268" s="138">
        <f>'Acct Summary 7-8'!D82</f>
        <v>520914</v>
      </c>
      <c r="D6268" s="2" t="str">
        <f t="shared" si="96"/>
        <v>Error?</v>
      </c>
      <c r="E6268" s="2" t="s">
        <v>190</v>
      </c>
    </row>
    <row r="6269" spans="1:5" x14ac:dyDescent="0.2">
      <c r="A6269">
        <v>6208</v>
      </c>
      <c r="B6269" s="138">
        <f>'Acct Summary 7-8'!E82</f>
        <v>56501</v>
      </c>
      <c r="D6269" s="2" t="str">
        <f t="shared" si="96"/>
        <v>Error?</v>
      </c>
      <c r="E6269" s="2" t="s">
        <v>190</v>
      </c>
    </row>
    <row r="6270" spans="1:5" x14ac:dyDescent="0.2">
      <c r="A6270">
        <v>6209</v>
      </c>
      <c r="B6270" s="138">
        <f>'Acct Summary 7-8'!F82</f>
        <v>133347</v>
      </c>
      <c r="D6270" s="2" t="str">
        <f t="shared" si="96"/>
        <v>Error?</v>
      </c>
      <c r="E6270" s="2" t="s">
        <v>190</v>
      </c>
    </row>
    <row r="6271" spans="1:5" x14ac:dyDescent="0.2">
      <c r="A6271">
        <v>6210</v>
      </c>
      <c r="B6271" s="138">
        <f>'Acct Summary 7-8'!G82</f>
        <v>207155</v>
      </c>
      <c r="D6271" s="2" t="str">
        <f t="shared" ref="D6271:D6334" si="97">IF(ISBLANK(B6271),"OK",IF(A6271-B6271=0,"OK","Error?"))</f>
        <v>Error?</v>
      </c>
      <c r="E6271" s="2" t="s">
        <v>190</v>
      </c>
    </row>
    <row r="6272" spans="1:5" x14ac:dyDescent="0.2">
      <c r="A6272">
        <v>6211</v>
      </c>
      <c r="B6272" s="138">
        <f>'Acct Summary 7-8'!H82</f>
        <v>1482</v>
      </c>
      <c r="D6272" s="2" t="str">
        <f t="shared" si="97"/>
        <v>Error?</v>
      </c>
      <c r="E6272" s="2" t="s">
        <v>190</v>
      </c>
    </row>
    <row r="6273" spans="1:5" x14ac:dyDescent="0.2">
      <c r="A6273">
        <v>6212</v>
      </c>
      <c r="B6273" s="138">
        <f>'Acct Summary 7-8'!I82</f>
        <v>-264976</v>
      </c>
      <c r="D6273" s="2" t="str">
        <f t="shared" si="97"/>
        <v>Error?</v>
      </c>
      <c r="E6273" s="2" t="s">
        <v>190</v>
      </c>
    </row>
    <row r="6274" spans="1:5" x14ac:dyDescent="0.2">
      <c r="A6274">
        <v>6213</v>
      </c>
      <c r="B6274" s="138">
        <f>'Acct Summary 7-8'!J82</f>
        <v>316727</v>
      </c>
      <c r="D6274" s="2" t="str">
        <f t="shared" si="97"/>
        <v>Error?</v>
      </c>
      <c r="E6274" s="2" t="s">
        <v>190</v>
      </c>
    </row>
    <row r="6275" spans="1:5" x14ac:dyDescent="0.2">
      <c r="A6275">
        <v>6214</v>
      </c>
      <c r="B6275" s="138">
        <f>'Acct Summary 7-8'!K82</f>
        <v>-249908</v>
      </c>
      <c r="D6275" s="2" t="str">
        <f t="shared" si="97"/>
        <v>Error?</v>
      </c>
      <c r="E6275" s="2" t="s">
        <v>190</v>
      </c>
    </row>
    <row r="6276" spans="1:5" x14ac:dyDescent="0.2">
      <c r="A6276">
        <v>6215</v>
      </c>
      <c r="B6276" s="138">
        <f>'Acct Summary 7-8'!C83</f>
        <v>0.45717179730669749</v>
      </c>
      <c r="D6276" s="2" t="str">
        <f t="shared" si="97"/>
        <v>Error?</v>
      </c>
      <c r="E6276" s="2" t="s">
        <v>190</v>
      </c>
    </row>
    <row r="6277" spans="1:5" x14ac:dyDescent="0.2">
      <c r="A6277">
        <v>6216</v>
      </c>
      <c r="B6277" s="138">
        <f>'Acct Summary 7-8'!D83</f>
        <v>0.80090835849718023</v>
      </c>
      <c r="D6277" s="2" t="str">
        <f t="shared" si="97"/>
        <v>Error?</v>
      </c>
      <c r="E6277" s="2" t="s">
        <v>190</v>
      </c>
    </row>
    <row r="6278" spans="1:5" x14ac:dyDescent="0.2">
      <c r="A6278">
        <v>6217</v>
      </c>
      <c r="B6278" s="138">
        <f>'Acct Summary 7-8'!E83</f>
        <v>0.93390082644628103</v>
      </c>
      <c r="D6278" s="2" t="str">
        <f t="shared" si="97"/>
        <v>Error?</v>
      </c>
      <c r="E6278" s="2" t="s">
        <v>190</v>
      </c>
    </row>
    <row r="6279" spans="1:5" x14ac:dyDescent="0.2">
      <c r="A6279">
        <v>6218</v>
      </c>
      <c r="B6279" s="138">
        <f>'Acct Summary 7-8'!F83</f>
        <v>0.40831468036830293</v>
      </c>
      <c r="D6279" s="2" t="str">
        <f t="shared" si="97"/>
        <v>Error?</v>
      </c>
      <c r="E6279" s="2" t="s">
        <v>190</v>
      </c>
    </row>
    <row r="6280" spans="1:5" x14ac:dyDescent="0.2">
      <c r="A6280">
        <v>6219</v>
      </c>
      <c r="B6280" s="138">
        <f>'Acct Summary 7-8'!G83</f>
        <v>0.55323950432646085</v>
      </c>
      <c r="D6280" s="2" t="str">
        <f t="shared" si="97"/>
        <v>Error?</v>
      </c>
      <c r="E6280" s="2" t="s">
        <v>190</v>
      </c>
    </row>
    <row r="6281" spans="1:5" x14ac:dyDescent="0.2">
      <c r="A6281">
        <v>6220</v>
      </c>
      <c r="B6281" s="138">
        <f>'Acct Summary 7-8'!H83</f>
        <v>0.58553931252469382</v>
      </c>
      <c r="D6281" s="2" t="str">
        <f t="shared" si="97"/>
        <v>Error?</v>
      </c>
      <c r="E6281" s="2" t="s">
        <v>190</v>
      </c>
    </row>
    <row r="6282" spans="1:5" x14ac:dyDescent="0.2">
      <c r="A6282">
        <v>6221</v>
      </c>
      <c r="B6282" s="138">
        <f>'Acct Summary 7-8'!I83</f>
        <v>-1.8960308544360407</v>
      </c>
      <c r="D6282" s="2" t="str">
        <f t="shared" si="97"/>
        <v>Error?</v>
      </c>
      <c r="E6282" s="2" t="s">
        <v>190</v>
      </c>
    </row>
    <row r="6283" spans="1:5" x14ac:dyDescent="0.2">
      <c r="A6283">
        <v>6222</v>
      </c>
      <c r="B6283" s="138">
        <f>'Acct Summary 7-8'!J83</f>
        <v>0.48747854861672246</v>
      </c>
      <c r="D6283" s="2" t="str">
        <f t="shared" si="97"/>
        <v>Error?</v>
      </c>
      <c r="E6283" s="2" t="s">
        <v>190</v>
      </c>
    </row>
    <row r="6284" spans="1:5" x14ac:dyDescent="0.2">
      <c r="A6284">
        <v>6223</v>
      </c>
      <c r="B6284" s="138">
        <f>'Acct Summary 7-8'!K83</f>
        <v>-2.6961118543132092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850186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850186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90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90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1376</v>
      </c>
      <c r="D6350" s="2" t="str">
        <f t="shared" si="98"/>
        <v>Error?</v>
      </c>
      <c r="E6350" s="2" t="s">
        <v>190</v>
      </c>
    </row>
    <row r="6351" spans="1:5" x14ac:dyDescent="0.2">
      <c r="A6351">
        <v>6290</v>
      </c>
      <c r="B6351" s="138">
        <f>'Revenues 9-14'!J108</f>
        <v>1376</v>
      </c>
      <c r="D6351" s="2" t="str">
        <f t="shared" si="98"/>
        <v>Error?</v>
      </c>
      <c r="E6351" s="2" t="s">
        <v>190</v>
      </c>
    </row>
    <row r="6352" spans="1:5" x14ac:dyDescent="0.2">
      <c r="A6352">
        <v>6291</v>
      </c>
      <c r="B6352" s="138">
        <f>'Revenues 9-14'!J109</f>
        <v>851652</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4346</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750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73063</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109373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13861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534925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851652</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5821</v>
      </c>
      <c r="D7073" s="2" t="str">
        <f t="shared" si="109"/>
        <v>Error?</v>
      </c>
    </row>
    <row r="7074" spans="1:4" x14ac:dyDescent="0.2">
      <c r="A7074">
        <v>7013</v>
      </c>
      <c r="B7074" s="138">
        <f>'Expenditures 15-22'!K216</f>
        <v>5821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21709</v>
      </c>
      <c r="D7093" s="2" t="str">
        <f t="shared" si="109"/>
        <v>Error?</v>
      </c>
    </row>
    <row r="7094" spans="1:4" x14ac:dyDescent="0.2">
      <c r="A7094">
        <v>7033</v>
      </c>
      <c r="B7094" s="138">
        <f>'Expenditures 15-22'!K254</f>
        <v>21709</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43057</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43057</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303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303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66378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66378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349175</v>
      </c>
      <c r="D7172" s="2" t="str">
        <f t="shared" si="111"/>
        <v>Error?</v>
      </c>
    </row>
    <row r="7173" spans="1:4" x14ac:dyDescent="0.2">
      <c r="A7173">
        <v>7112</v>
      </c>
      <c r="B7173" s="138">
        <f>'Expenditures 15-22'!D325</f>
        <v>70512</v>
      </c>
      <c r="D7173" s="2" t="str">
        <f t="shared" si="111"/>
        <v>Error?</v>
      </c>
    </row>
    <row r="7174" spans="1:4" x14ac:dyDescent="0.2">
      <c r="A7174">
        <v>7113</v>
      </c>
      <c r="B7174" s="138">
        <f>'Expenditures 15-22'!E325</f>
        <v>5500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425187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349175</v>
      </c>
      <c r="D7199" s="2" t="str">
        <f t="shared" si="111"/>
        <v>Error?</v>
      </c>
    </row>
    <row r="7200" spans="1:4" x14ac:dyDescent="0.2">
      <c r="A7200">
        <v>7139</v>
      </c>
      <c r="B7200" s="138">
        <f>'Expenditures 15-22'!D330</f>
        <v>70512</v>
      </c>
      <c r="D7200" s="2" t="str">
        <f t="shared" si="111"/>
        <v>Error?</v>
      </c>
    </row>
    <row r="7201" spans="1:4" x14ac:dyDescent="0.2">
      <c r="A7201">
        <v>7140</v>
      </c>
      <c r="B7201" s="138">
        <f>'Expenditures 15-22'!E330</f>
        <v>115238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534925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349175</v>
      </c>
      <c r="D7216" s="2" t="str">
        <f t="shared" si="111"/>
        <v>Error?</v>
      </c>
    </row>
    <row r="7217" spans="1:4" x14ac:dyDescent="0.2">
      <c r="A7217">
        <v>7156</v>
      </c>
      <c r="B7217" s="138">
        <f>'Expenditures 15-22'!D342</f>
        <v>70512</v>
      </c>
      <c r="D7217" s="2" t="str">
        <f t="shared" si="111"/>
        <v>Error?</v>
      </c>
    </row>
    <row r="7218" spans="1:4" x14ac:dyDescent="0.2">
      <c r="A7218">
        <v>7157</v>
      </c>
      <c r="B7218" s="138">
        <f>'Expenditures 15-22'!E342</f>
        <v>115238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534925</v>
      </c>
      <c r="D7224" s="2" t="str">
        <f t="shared" si="111"/>
        <v>Error?</v>
      </c>
    </row>
    <row r="7225" spans="1:4" x14ac:dyDescent="0.2">
      <c r="A7225">
        <v>7164</v>
      </c>
      <c r="B7225" s="138">
        <f>'Expenditures 15-22'!K343</f>
        <v>316727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23500</v>
      </c>
      <c r="D7246" s="2" t="str">
        <f t="shared" si="112"/>
        <v>Error?</v>
      </c>
    </row>
    <row r="7247" spans="1:4" x14ac:dyDescent="0.2">
      <c r="A7247">
        <f t="shared" si="113"/>
        <v>7186</v>
      </c>
      <c r="B7247" s="138">
        <f>'Expenditures 15-22'!E7</f>
        <v>103</v>
      </c>
      <c r="D7247" s="2" t="str">
        <f t="shared" si="112"/>
        <v>Error?</v>
      </c>
    </row>
    <row r="7248" spans="1:4" x14ac:dyDescent="0.2">
      <c r="A7248">
        <f t="shared" si="113"/>
        <v>7187</v>
      </c>
      <c r="B7248" s="138">
        <f>'Expenditures 15-22'!F7</f>
        <v>12707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13861</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338535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1482</v>
      </c>
      <c r="D7713" s="2" t="str">
        <f t="shared" si="126"/>
        <v>Error?</v>
      </c>
      <c r="E7713" s="2" t="s">
        <v>827</v>
      </c>
    </row>
    <row r="7714" spans="1:6" x14ac:dyDescent="0.2">
      <c r="A7714">
        <v>7653</v>
      </c>
      <c r="B7714" s="138">
        <f>'Rest Tax Levies-Tort Im 25'!K9</f>
        <v>9321</v>
      </c>
      <c r="D7714" s="2" t="str">
        <f t="shared" si="126"/>
        <v>Error?</v>
      </c>
      <c r="E7714" s="2" t="s">
        <v>827</v>
      </c>
    </row>
    <row r="7715" spans="1:6" x14ac:dyDescent="0.2">
      <c r="A7715">
        <v>7654</v>
      </c>
      <c r="B7715" s="138">
        <f>'Rest Tax Levies-Tort Im 25'!J10</f>
        <v>1049</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2531</v>
      </c>
      <c r="D7718" s="2" t="str">
        <f t="shared" si="126"/>
        <v>Error?</v>
      </c>
      <c r="E7718" s="2" t="s">
        <v>827</v>
      </c>
    </row>
    <row r="7719" spans="1:6" x14ac:dyDescent="0.2">
      <c r="A7719">
        <v>7658</v>
      </c>
      <c r="B7719" s="138">
        <f>'Rest Tax Levies-Tort Im 25'!K12</f>
        <v>9321</v>
      </c>
      <c r="D7719" s="2" t="str">
        <f t="shared" si="126"/>
        <v>Error?</v>
      </c>
      <c r="E7719" s="2" t="s">
        <v>827</v>
      </c>
    </row>
    <row r="7720" spans="1:6" x14ac:dyDescent="0.2">
      <c r="A7720">
        <v>7659</v>
      </c>
      <c r="B7720" s="138">
        <f>'Rest Tax Levies-Tort Im 25'!H14</f>
        <v>85015</v>
      </c>
      <c r="D7720" s="2" t="str">
        <f t="shared" si="126"/>
        <v>Error?</v>
      </c>
      <c r="E7720" s="2" t="s">
        <v>827</v>
      </c>
    </row>
    <row r="7721" spans="1:6" x14ac:dyDescent="0.2">
      <c r="A7721">
        <v>7660</v>
      </c>
      <c r="B7721" s="138">
        <f>'Rest Tax Levies-Tort Im 25'!K14</f>
        <v>9321</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1482</v>
      </c>
      <c r="D7731" s="2" t="str">
        <f t="shared" si="126"/>
        <v>Error?</v>
      </c>
      <c r="E7731" s="2" t="s">
        <v>827</v>
      </c>
    </row>
    <row r="7732" spans="1:6" x14ac:dyDescent="0.2">
      <c r="A7732">
        <v>7671</v>
      </c>
      <c r="B7732" s="138">
        <f>'Rest Tax Levies-Tort Im 25'!J24</f>
        <v>2531</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2531</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350000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8" t="s">
        <v>1191</v>
      </c>
      <c r="B2" s="2408"/>
      <c r="C2" s="2408"/>
      <c r="D2" s="2408"/>
      <c r="E2" s="2408"/>
      <c r="F2" s="2408"/>
      <c r="G2" s="2408"/>
      <c r="H2" s="2408"/>
      <c r="I2" s="2408"/>
      <c r="J2" s="2408"/>
      <c r="K2" s="2408"/>
      <c r="L2" s="2408"/>
    </row>
    <row r="3" spans="1:29" ht="13.5" customHeight="1" x14ac:dyDescent="0.2">
      <c r="A3" s="2394" t="s">
        <v>1190</v>
      </c>
      <c r="B3" s="2394"/>
      <c r="C3" s="2394"/>
      <c r="D3" s="2394"/>
      <c r="E3" s="2394"/>
      <c r="F3" s="2394"/>
      <c r="G3" s="2394"/>
      <c r="H3" s="2394"/>
      <c r="I3" s="2394"/>
      <c r="J3" s="2394"/>
      <c r="K3" s="2394"/>
      <c r="L3" s="2394"/>
    </row>
    <row r="4" spans="1:29" ht="13.5" customHeight="1" x14ac:dyDescent="0.2">
      <c r="A4" s="2408" t="s">
        <v>1987</v>
      </c>
      <c r="B4" s="2425"/>
      <c r="C4" s="2425"/>
      <c r="D4" s="2425"/>
      <c r="E4" s="2425"/>
      <c r="F4" s="2425"/>
      <c r="G4" s="2425"/>
      <c r="H4" s="2425"/>
      <c r="I4" s="2425"/>
      <c r="J4" s="2425"/>
      <c r="K4" s="2425"/>
      <c r="L4" s="242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8" t="str">
        <f>COVER!A17</f>
        <v>Salt Fork CUSD 512</v>
      </c>
      <c r="B7" s="2389"/>
      <c r="C7" s="2389"/>
      <c r="D7" s="2426"/>
      <c r="E7" s="2427">
        <f>COVER!A13</f>
        <v>54092512026</v>
      </c>
      <c r="F7" s="2428"/>
      <c r="G7" s="2395" t="str">
        <f>COVER!T23</f>
        <v>065.018319</v>
      </c>
      <c r="H7" s="2396"/>
      <c r="I7" s="2396"/>
      <c r="J7" s="2396"/>
      <c r="K7" s="2396"/>
      <c r="L7" s="239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8"/>
      <c r="B9" s="2399"/>
      <c r="C9" s="2399"/>
      <c r="D9" s="2399"/>
      <c r="E9" s="2399"/>
      <c r="F9" s="2400"/>
      <c r="G9" s="2401" t="str">
        <f>COVER!T13</f>
        <v>RUSSELL LEIGH &amp; ASSOCIATES LLC</v>
      </c>
      <c r="H9" s="2402"/>
      <c r="I9" s="2402"/>
      <c r="J9" s="2402"/>
      <c r="K9" s="2402"/>
      <c r="L9" s="2403"/>
    </row>
    <row r="10" spans="1:29" ht="13.5" customHeight="1" x14ac:dyDescent="0.2">
      <c r="A10" s="2385" t="str">
        <f>COVER!A38</f>
        <v>PHILLIP COX</v>
      </c>
      <c r="B10" s="2386"/>
      <c r="C10" s="2386"/>
      <c r="D10" s="2386"/>
      <c r="E10" s="2386"/>
      <c r="F10" s="2387"/>
      <c r="G10" s="2401" t="str">
        <f>COVER!T17</f>
        <v>228 E MAIN ST</v>
      </c>
      <c r="H10" s="2414"/>
      <c r="I10" s="2414"/>
      <c r="J10" s="2414"/>
      <c r="K10" s="2414"/>
      <c r="L10" s="2415"/>
    </row>
    <row r="11" spans="1:29" ht="13.5" customHeight="1" x14ac:dyDescent="0.2">
      <c r="A11" s="1184" t="s">
        <v>1519</v>
      </c>
      <c r="B11" s="1185"/>
      <c r="C11" s="1186"/>
      <c r="D11" s="1191"/>
      <c r="E11" s="1186"/>
      <c r="F11" s="1190"/>
      <c r="G11" s="2401" t="str">
        <f>COVER!T19</f>
        <v>HOOPESTON</v>
      </c>
      <c r="H11" s="2414"/>
      <c r="I11" s="2414"/>
      <c r="J11" s="2414"/>
      <c r="K11" s="2414"/>
      <c r="L11" s="2415"/>
    </row>
    <row r="12" spans="1:29" ht="13.5" customHeight="1" x14ac:dyDescent="0.2">
      <c r="A12" s="2419" t="s">
        <v>1518</v>
      </c>
      <c r="B12" s="2420"/>
      <c r="C12" s="2420"/>
      <c r="D12" s="2420"/>
      <c r="E12" s="2420"/>
      <c r="F12" s="2421"/>
      <c r="G12" s="2416"/>
      <c r="H12" s="2417"/>
      <c r="I12" s="2417"/>
      <c r="J12" s="2417"/>
      <c r="K12" s="2417"/>
      <c r="L12" s="2418"/>
    </row>
    <row r="13" spans="1:29" ht="13.5" customHeight="1" x14ac:dyDescent="0.2">
      <c r="A13" s="2401"/>
      <c r="B13" s="2414"/>
      <c r="C13" s="2414"/>
      <c r="D13" s="2414"/>
      <c r="E13" s="2414"/>
      <c r="F13" s="2415"/>
      <c r="G13" s="2409" t="s">
        <v>1520</v>
      </c>
      <c r="H13" s="2410"/>
      <c r="I13" s="2422" t="str">
        <f>COVER!T25</f>
        <v>admin@russleigh.com</v>
      </c>
      <c r="J13" s="2423"/>
      <c r="K13" s="2423"/>
      <c r="L13" s="2424"/>
    </row>
    <row r="14" spans="1:29" ht="13.5" customHeight="1" x14ac:dyDescent="0.2">
      <c r="A14" s="2401" t="str">
        <f>COVER!A19</f>
        <v>7087 N 600 E RD</v>
      </c>
      <c r="B14" s="2414"/>
      <c r="C14" s="2414"/>
      <c r="D14" s="2414"/>
      <c r="E14" s="2414"/>
      <c r="F14" s="2415"/>
      <c r="G14" s="1195" t="s">
        <v>1185</v>
      </c>
      <c r="H14" s="1193"/>
      <c r="I14" s="1193"/>
      <c r="J14" s="1193"/>
      <c r="K14" s="1193"/>
      <c r="L14" s="1194"/>
    </row>
    <row r="15" spans="1:29" ht="13.5" customHeight="1" x14ac:dyDescent="0.2">
      <c r="A15" s="2401" t="str">
        <f>COVER!A21</f>
        <v>SIDELL</v>
      </c>
      <c r="B15" s="2414"/>
      <c r="C15" s="2414"/>
      <c r="D15" s="2414"/>
      <c r="E15" s="2414"/>
      <c r="F15" s="2415"/>
      <c r="G15" s="2411" t="str">
        <f>COVER!T15</f>
        <v>RUSS LEIGH</v>
      </c>
      <c r="H15" s="2412"/>
      <c r="I15" s="2412"/>
      <c r="J15" s="2412"/>
      <c r="K15" s="2412"/>
      <c r="L15" s="2413"/>
    </row>
    <row r="16" spans="1:29" ht="12.2" customHeight="1" x14ac:dyDescent="0.2">
      <c r="A16" s="2391">
        <f>COVER!A25</f>
        <v>61876</v>
      </c>
      <c r="B16" s="2392"/>
      <c r="C16" s="2392"/>
      <c r="D16" s="2392"/>
      <c r="E16" s="2392"/>
      <c r="F16" s="2393"/>
      <c r="G16" s="2404"/>
      <c r="H16" s="2405"/>
      <c r="I16" s="2405"/>
      <c r="J16" s="2405"/>
      <c r="K16" s="2405"/>
      <c r="L16" s="2406"/>
    </row>
    <row r="17" spans="1:13" ht="12.2" customHeight="1" x14ac:dyDescent="0.2">
      <c r="A17" s="2407"/>
      <c r="B17" s="2392"/>
      <c r="C17" s="2392"/>
      <c r="D17" s="2392"/>
      <c r="E17" s="2392"/>
      <c r="F17" s="2393"/>
      <c r="G17" s="1195" t="s">
        <v>1184</v>
      </c>
      <c r="H17" s="1193"/>
      <c r="I17" s="1193"/>
      <c r="J17" s="1193"/>
      <c r="K17" s="1197" t="s">
        <v>1183</v>
      </c>
      <c r="L17" s="1190"/>
      <c r="M17" s="1183"/>
    </row>
    <row r="18" spans="1:13" ht="12.2" customHeight="1" x14ac:dyDescent="0.2">
      <c r="A18" s="2385"/>
      <c r="B18" s="2386"/>
      <c r="C18" s="2386"/>
      <c r="D18" s="2386"/>
      <c r="E18" s="2386"/>
      <c r="F18" s="2387"/>
      <c r="G18" s="2388" t="str">
        <f>COVER!T21</f>
        <v>217-283-9336</v>
      </c>
      <c r="H18" s="2389"/>
      <c r="I18" s="2389"/>
      <c r="J18" s="2389"/>
      <c r="K18" s="2388" t="str">
        <f>COVER!X21</f>
        <v>217-283-9736</v>
      </c>
      <c r="L18" s="239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Salt Fork CUSD 512</v>
      </c>
      <c r="B1" s="2425"/>
      <c r="C1" s="2425"/>
      <c r="D1" s="2425"/>
    </row>
    <row r="2" spans="1:11" s="1212" customFormat="1" ht="12.75" x14ac:dyDescent="0.2">
      <c r="A2" s="2430">
        <f>'Single Audit Cover'!E7</f>
        <v>54092512026</v>
      </c>
      <c r="B2" s="2431"/>
      <c r="C2" s="2431"/>
      <c r="D2" s="2431"/>
    </row>
    <row r="3" spans="1:11" s="1212" customFormat="1" ht="12.75" x14ac:dyDescent="0.2">
      <c r="A3" s="2429" t="s">
        <v>1513</v>
      </c>
      <c r="B3" s="2425"/>
      <c r="C3" s="2425"/>
      <c r="D3" s="242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Salt Fork CUSD 512</v>
      </c>
      <c r="B1" s="2433"/>
      <c r="C1" s="2433"/>
      <c r="D1" s="2433"/>
      <c r="E1" s="2433"/>
    </row>
    <row r="2" spans="1:5" x14ac:dyDescent="0.2">
      <c r="A2" s="2434">
        <f>'Single Audit Cover'!E7</f>
        <v>54092512026</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380699</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-59137</v>
      </c>
    </row>
    <row r="19" spans="1:4" ht="13.5" thickBot="1" x14ac:dyDescent="0.25">
      <c r="A19" s="1262" t="s">
        <v>1235</v>
      </c>
      <c r="D19" s="1263">
        <f>SUM(D10:D17)</f>
        <v>321562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321562</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0</v>
      </c>
    </row>
    <row r="49" spans="2:4" x14ac:dyDescent="0.2">
      <c r="B49" s="1269" t="s">
        <v>1226</v>
      </c>
      <c r="C49" s="1269"/>
      <c r="D49" s="1270">
        <f>D32-D47</f>
        <v>321562</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4" t="str">
        <f>'Single Audit Cover'!A7</f>
        <v>Salt Fork CUSD 512</v>
      </c>
      <c r="C1" s="2437"/>
      <c r="D1" s="2437"/>
      <c r="E1" s="2437"/>
      <c r="F1" s="2437"/>
      <c r="G1" s="2437"/>
      <c r="H1" s="2437"/>
      <c r="I1" s="2437"/>
      <c r="J1" s="2437"/>
      <c r="K1" s="2437"/>
      <c r="L1" s="2437"/>
      <c r="M1" s="2437"/>
    </row>
    <row r="2" spans="2:14" ht="15" x14ac:dyDescent="0.2">
      <c r="B2" s="2438">
        <f>'Single Audit Cover'!E7</f>
        <v>54092512026</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Salt Fork CUSD 512</v>
      </c>
      <c r="B1" s="2442"/>
      <c r="C1" s="2442"/>
      <c r="D1" s="2442"/>
      <c r="E1" s="2442"/>
      <c r="F1" s="2442"/>
    </row>
    <row r="2" spans="1:7" ht="13.5" customHeight="1" x14ac:dyDescent="0.2">
      <c r="A2" s="2438">
        <f>'Single Audit Cover'!E7</f>
        <v>54092512026</v>
      </c>
      <c r="B2" s="2438"/>
      <c r="C2" s="2438"/>
      <c r="D2" s="2438"/>
      <c r="E2" s="2438"/>
      <c r="F2" s="2438"/>
      <c r="G2" s="1272"/>
    </row>
    <row r="3" spans="1:7" ht="15.75" customHeight="1" x14ac:dyDescent="0.2">
      <c r="A3" s="2443" t="s">
        <v>1271</v>
      </c>
      <c r="B3" s="2443"/>
      <c r="C3" s="2443"/>
      <c r="D3" s="2443"/>
      <c r="E3" s="2443"/>
      <c r="F3" s="2443"/>
    </row>
    <row r="4" spans="1:7" ht="13.5" customHeight="1" x14ac:dyDescent="0.2">
      <c r="A4" s="2444" t="str">
        <f>'Single Audit Cover'!A4</f>
        <v>Year Ending June 30, 2019</v>
      </c>
      <c r="B4" s="2444"/>
      <c r="C4" s="2444"/>
      <c r="D4" s="2444"/>
      <c r="E4" s="2444"/>
      <c r="F4" s="2444"/>
    </row>
    <row r="5" spans="1:7" ht="8.25" customHeight="1" x14ac:dyDescent="0.2">
      <c r="C5" s="317"/>
      <c r="D5" s="317"/>
    </row>
    <row r="6" spans="1:7" ht="13.5" customHeight="1" x14ac:dyDescent="0.2">
      <c r="A6" s="1273" t="s">
        <v>1728</v>
      </c>
      <c r="C6" s="317"/>
      <c r="D6" s="317"/>
    </row>
    <row r="7" spans="1:7" ht="60.95" customHeight="1" x14ac:dyDescent="0.2">
      <c r="A7" s="2441" t="s">
        <v>1729</v>
      </c>
      <c r="B7" s="2441"/>
      <c r="C7" s="2441"/>
      <c r="D7" s="2441"/>
      <c r="E7" s="2441"/>
      <c r="F7" s="2441"/>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1" t="s">
        <v>1731</v>
      </c>
      <c r="B13" s="2441"/>
      <c r="C13" s="2441"/>
      <c r="D13" s="2441"/>
      <c r="E13" s="2441"/>
      <c r="F13" s="2441"/>
    </row>
    <row r="14" spans="1:7" ht="9.75" customHeight="1" x14ac:dyDescent="0.2">
      <c r="C14" s="1257"/>
      <c r="D14" s="1257"/>
    </row>
    <row r="15" spans="1:7" ht="13.5" customHeight="1" x14ac:dyDescent="0.2">
      <c r="C15" s="1846" t="s">
        <v>1270</v>
      </c>
      <c r="D15" s="2446" t="s">
        <v>1269</v>
      </c>
      <c r="E15" s="2446"/>
      <c r="F15" s="2446"/>
    </row>
    <row r="16" spans="1:7" ht="13.5" customHeight="1" x14ac:dyDescent="0.2">
      <c r="A16" s="1279"/>
      <c r="B16" s="1273" t="s">
        <v>1268</v>
      </c>
      <c r="C16" s="1846" t="s">
        <v>1267</v>
      </c>
      <c r="D16" s="2447" t="s">
        <v>1588</v>
      </c>
      <c r="E16" s="2447"/>
      <c r="F16" s="2447"/>
    </row>
    <row r="17" spans="1:6" ht="20.45" customHeight="1" x14ac:dyDescent="0.2">
      <c r="A17" s="1280"/>
      <c r="B17" s="1281"/>
      <c r="C17" s="1282"/>
      <c r="D17" s="2445"/>
      <c r="E17" s="2445"/>
      <c r="F17" s="2445"/>
    </row>
    <row r="18" spans="1:6" ht="20.65" customHeight="1" x14ac:dyDescent="0.2">
      <c r="A18" s="1280"/>
      <c r="B18" s="1281"/>
      <c r="C18" s="1282"/>
      <c r="D18" s="2445"/>
      <c r="E18" s="2445"/>
      <c r="F18" s="2445"/>
    </row>
    <row r="19" spans="1:6" ht="20.65" customHeight="1" x14ac:dyDescent="0.2">
      <c r="A19" s="1280"/>
      <c r="B19" s="1281"/>
      <c r="C19" s="1282"/>
      <c r="D19" s="2445"/>
      <c r="E19" s="2445"/>
      <c r="F19" s="2445"/>
    </row>
    <row r="20" spans="1:6" ht="20.65" customHeight="1" x14ac:dyDescent="0.2">
      <c r="A20" s="1280"/>
      <c r="B20" s="1281"/>
      <c r="C20" s="1282"/>
      <c r="D20" s="2445"/>
      <c r="E20" s="2445"/>
      <c r="F20" s="2445"/>
    </row>
    <row r="21" spans="1:6" ht="20.65" customHeight="1" x14ac:dyDescent="0.2">
      <c r="A21" s="1280"/>
      <c r="B21" s="1281"/>
      <c r="C21" s="1282"/>
      <c r="D21" s="2445"/>
      <c r="E21" s="2445"/>
      <c r="F21" s="2445"/>
    </row>
    <row r="22" spans="1:6" ht="20.65" customHeight="1" x14ac:dyDescent="0.2">
      <c r="A22" s="1280"/>
      <c r="B22" s="1281"/>
      <c r="C22" s="1282"/>
      <c r="D22" s="2445"/>
      <c r="E22" s="2445"/>
      <c r="F22" s="2445"/>
    </row>
    <row r="23" spans="1:6" ht="20.65" customHeight="1" x14ac:dyDescent="0.2">
      <c r="A23" s="1280"/>
      <c r="B23" s="1281"/>
      <c r="C23" s="1282"/>
      <c r="D23" s="2445"/>
      <c r="E23" s="2445"/>
      <c r="F23" s="2445"/>
    </row>
    <row r="24" spans="1:6" ht="20.65" customHeight="1" x14ac:dyDescent="0.2">
      <c r="A24" s="1280"/>
      <c r="B24" s="1281"/>
      <c r="C24" s="1282"/>
      <c r="D24" s="2445"/>
      <c r="E24" s="2445"/>
      <c r="F24" s="2445"/>
    </row>
    <row r="25" spans="1:6" ht="20.65" customHeight="1" x14ac:dyDescent="0.2">
      <c r="A25" s="1280"/>
      <c r="B25" s="1281"/>
      <c r="C25" s="1282"/>
      <c r="D25" s="2445"/>
      <c r="E25" s="2445"/>
      <c r="F25" s="2445"/>
    </row>
    <row r="26" spans="1:6" ht="20.65" customHeight="1" x14ac:dyDescent="0.2">
      <c r="A26" s="1280"/>
      <c r="B26" s="1281"/>
      <c r="C26" s="1282"/>
      <c r="D26" s="2445"/>
      <c r="E26" s="2445"/>
      <c r="F26" s="2445"/>
    </row>
    <row r="27" spans="1:6" ht="20.65" customHeight="1" x14ac:dyDescent="0.2">
      <c r="A27" s="1280"/>
      <c r="B27" s="1281"/>
      <c r="C27" s="1282"/>
      <c r="D27" s="2445"/>
      <c r="E27" s="2445"/>
      <c r="F27" s="2445"/>
    </row>
    <row r="28" spans="1:6" ht="20.65" customHeight="1" x14ac:dyDescent="0.2">
      <c r="A28" s="1280"/>
      <c r="B28" s="1281"/>
      <c r="C28" s="1282"/>
      <c r="D28" s="2445"/>
      <c r="E28" s="2445"/>
      <c r="F28" s="2445"/>
    </row>
    <row r="29" spans="1:6" ht="20.65" customHeight="1" x14ac:dyDescent="0.2">
      <c r="A29" s="1280"/>
      <c r="B29" s="1281"/>
      <c r="C29" s="1282"/>
      <c r="D29" s="2445"/>
      <c r="E29" s="2445"/>
      <c r="F29" s="2445"/>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9" t="s">
        <v>1732</v>
      </c>
      <c r="B32" s="2449"/>
      <c r="C32" s="2449"/>
      <c r="D32" s="2449"/>
      <c r="E32" s="2449"/>
      <c r="F32" s="2449"/>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50">
        <f>+C33+C34</f>
        <v>0</v>
      </c>
      <c r="F34" s="2451"/>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2" t="s">
        <v>1590</v>
      </c>
      <c r="C49" s="2452"/>
      <c r="D49" s="2452"/>
      <c r="E49" s="1396"/>
    </row>
    <row r="50" spans="1:5" s="1297" customFormat="1" ht="3.75" customHeight="1" x14ac:dyDescent="0.2">
      <c r="A50" s="1296"/>
      <c r="B50" s="1845"/>
      <c r="C50" s="1845"/>
      <c r="D50" s="1845"/>
      <c r="E50" s="1396"/>
    </row>
    <row r="51" spans="1:5" s="1297" customFormat="1" ht="20.25" customHeight="1" x14ac:dyDescent="0.2">
      <c r="A51" s="1298">
        <v>6</v>
      </c>
      <c r="B51" s="2448" t="s">
        <v>1551</v>
      </c>
      <c r="C51" s="2448"/>
      <c r="D51" s="2448"/>
    </row>
    <row r="52" spans="1:5" ht="14.25" customHeight="1" x14ac:dyDescent="0.2">
      <c r="A52" s="1298"/>
      <c r="B52" s="2448"/>
      <c r="C52" s="2448"/>
      <c r="D52" s="244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Salt Fork CUSD 512</v>
      </c>
      <c r="C1" s="2458"/>
      <c r="D1" s="2458"/>
      <c r="E1" s="2458"/>
      <c r="F1" s="2458"/>
      <c r="G1" s="2458"/>
      <c r="H1" s="2458"/>
      <c r="I1" s="2458"/>
      <c r="J1" s="1406"/>
    </row>
    <row r="2" spans="2:10" s="317" customFormat="1" ht="12.75" customHeight="1" x14ac:dyDescent="0.2">
      <c r="B2" s="2459">
        <f>'Single Audit Cover'!E7</f>
        <v>54092512026</v>
      </c>
      <c r="C2" s="2460"/>
      <c r="D2" s="2460"/>
      <c r="E2" s="2460"/>
      <c r="F2" s="2460"/>
      <c r="G2" s="2460"/>
      <c r="H2" s="2460"/>
      <c r="I2" s="2460"/>
      <c r="J2" s="1406"/>
    </row>
    <row r="3" spans="2:10" s="317" customFormat="1" ht="12.75" customHeight="1" x14ac:dyDescent="0.2">
      <c r="B3" s="2461" t="s">
        <v>1285</v>
      </c>
      <c r="C3" s="2462"/>
      <c r="D3" s="2462"/>
      <c r="E3" s="2462"/>
      <c r="F3" s="2462"/>
      <c r="G3" s="2462"/>
      <c r="H3" s="2462"/>
      <c r="I3" s="2462"/>
      <c r="J3" s="1407"/>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1" t="s">
        <v>1284</v>
      </c>
      <c r="C7" s="2462"/>
      <c r="D7" s="2462"/>
      <c r="E7" s="2462"/>
      <c r="F7" s="2462"/>
      <c r="G7" s="2462"/>
      <c r="H7" s="2462"/>
      <c r="I7" s="2462"/>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3"/>
      <c r="D11" s="2463"/>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4"/>
      <c r="E29" s="2464"/>
      <c r="F29" s="2464"/>
      <c r="G29" s="2464"/>
      <c r="H29" s="2464"/>
      <c r="I29" s="2464"/>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5" t="s">
        <v>1751</v>
      </c>
      <c r="D37" s="2466"/>
      <c r="E37" s="2466"/>
      <c r="F37" s="2467"/>
      <c r="G37" s="2465" t="s">
        <v>1592</v>
      </c>
      <c r="H37" s="2466"/>
      <c r="I37" s="2467"/>
    </row>
    <row r="38" spans="2:9" ht="16.5" customHeight="1" x14ac:dyDescent="0.2">
      <c r="B38" s="1428"/>
      <c r="C38" s="2453"/>
      <c r="D38" s="2454"/>
      <c r="E38" s="2454"/>
      <c r="F38" s="2455"/>
      <c r="G38" s="2468"/>
      <c r="H38" s="2469"/>
      <c r="I38" s="2470"/>
    </row>
    <row r="39" spans="2:9" ht="16.5" customHeight="1" x14ac:dyDescent="0.2">
      <c r="B39" s="1428"/>
      <c r="C39" s="2453"/>
      <c r="D39" s="2454"/>
      <c r="E39" s="2454"/>
      <c r="F39" s="2455"/>
      <c r="G39" s="2456"/>
      <c r="H39" s="2456"/>
      <c r="I39" s="2456"/>
    </row>
    <row r="40" spans="2:9" ht="16.5" customHeight="1" x14ac:dyDescent="0.2">
      <c r="B40" s="1428"/>
      <c r="C40" s="2453"/>
      <c r="D40" s="2454"/>
      <c r="E40" s="2454"/>
      <c r="F40" s="2455"/>
      <c r="G40" s="2456"/>
      <c r="H40" s="2456"/>
      <c r="I40" s="2456"/>
    </row>
    <row r="41" spans="2:9" ht="16.5" customHeight="1" x14ac:dyDescent="0.2">
      <c r="B41" s="1428"/>
      <c r="C41" s="2453"/>
      <c r="D41" s="2454"/>
      <c r="E41" s="2454"/>
      <c r="F41" s="2455"/>
      <c r="G41" s="2456"/>
      <c r="H41" s="2456"/>
      <c r="I41" s="2456"/>
    </row>
    <row r="42" spans="2:9" ht="16.5" customHeight="1" x14ac:dyDescent="0.2">
      <c r="B42" s="1428"/>
      <c r="C42" s="2453"/>
      <c r="D42" s="2454"/>
      <c r="E42" s="2454"/>
      <c r="F42" s="2455"/>
      <c r="G42" s="2456"/>
      <c r="H42" s="2456"/>
      <c r="I42" s="2456"/>
    </row>
    <row r="43" spans="2:9" ht="16.5" customHeight="1" x14ac:dyDescent="0.2">
      <c r="B43" s="1428"/>
      <c r="C43" s="2471" t="s">
        <v>1593</v>
      </c>
      <c r="D43" s="2472"/>
      <c r="E43" s="2472"/>
      <c r="F43" s="2473"/>
      <c r="G43" s="2474">
        <f>SUM(G38:I42)</f>
        <v>0</v>
      </c>
      <c r="H43" s="2474"/>
      <c r="I43" s="2474"/>
    </row>
    <row r="44" spans="2:9" ht="12.75" customHeight="1" x14ac:dyDescent="0.2"/>
    <row r="45" spans="2:9" ht="12.75" customHeight="1" x14ac:dyDescent="0.2">
      <c r="B45" s="1419" t="s">
        <v>2062</v>
      </c>
      <c r="D45" s="2475">
        <v>0</v>
      </c>
      <c r="E45" s="2476"/>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7"/>
      <c r="F49" s="2477"/>
      <c r="G49" s="2477"/>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Salt Fork CUSD 512</v>
      </c>
      <c r="C1" s="2457"/>
      <c r="D1" s="2457"/>
      <c r="E1" s="2457"/>
      <c r="F1" s="2457"/>
      <c r="G1" s="2457"/>
      <c r="H1" s="2457"/>
      <c r="I1" s="2457"/>
      <c r="J1" s="2457"/>
      <c r="K1" s="2457"/>
      <c r="L1" s="1371"/>
      <c r="M1" s="1371"/>
    </row>
    <row r="2" spans="1:13" ht="12" customHeight="1" x14ac:dyDescent="0.2">
      <c r="B2" s="2459">
        <f>'Single Audit Cover'!E7</f>
        <v>54092512026</v>
      </c>
      <c r="C2" s="2459"/>
      <c r="D2" s="2459"/>
      <c r="E2" s="2459"/>
      <c r="F2" s="2459"/>
      <c r="G2" s="2459"/>
      <c r="H2" s="2459"/>
      <c r="I2" s="2459"/>
      <c r="J2" s="2459"/>
      <c r="K2" s="2459"/>
      <c r="L2" s="1372"/>
      <c r="M2" s="1373"/>
    </row>
    <row r="3" spans="1:13" ht="10.35" customHeight="1" x14ac:dyDescent="0.2">
      <c r="B3" s="2480" t="s">
        <v>1285</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1296</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9"/>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3"/>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4" t="str">
        <f>'Single Audit Cover'!A7</f>
        <v>Salt Fork CUSD 512</v>
      </c>
      <c r="C1" s="2484"/>
      <c r="D1" s="2484"/>
      <c r="E1" s="2484"/>
      <c r="F1" s="2484"/>
      <c r="G1" s="2484"/>
      <c r="H1" s="2484"/>
      <c r="I1" s="2484"/>
      <c r="J1" s="2484"/>
      <c r="K1" s="2484"/>
      <c r="L1" s="1449"/>
    </row>
    <row r="2" spans="1:12" ht="12.75" customHeight="1" x14ac:dyDescent="0.2">
      <c r="B2" s="2485">
        <f>'Single Audit Cover'!E7</f>
        <v>54092512026</v>
      </c>
      <c r="C2" s="2485"/>
      <c r="D2" s="2485"/>
      <c r="E2" s="2485"/>
      <c r="F2" s="2485"/>
      <c r="G2" s="2485"/>
      <c r="H2" s="2485"/>
      <c r="I2" s="2485"/>
      <c r="J2" s="2485"/>
      <c r="K2" s="2485"/>
      <c r="L2" s="1450"/>
    </row>
    <row r="3" spans="1:12" ht="12.75" customHeight="1" x14ac:dyDescent="0.2">
      <c r="B3" s="2480" t="s">
        <v>1285</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1169</v>
      </c>
      <c r="C5" s="1257"/>
      <c r="L5" s="322"/>
    </row>
    <row r="6" spans="1:12" ht="30.75" customHeight="1" x14ac:dyDescent="0.2">
      <c r="A6" s="322"/>
      <c r="B6" s="2486" t="s">
        <v>1308</v>
      </c>
      <c r="C6" s="2486"/>
      <c r="D6" s="2486"/>
      <c r="E6" s="2486"/>
      <c r="F6" s="2486"/>
      <c r="G6" s="2486"/>
      <c r="H6" s="2486"/>
      <c r="I6" s="2486"/>
      <c r="J6" s="2486"/>
      <c r="K6" s="2486"/>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4"/>
      <c r="G12" s="2464"/>
      <c r="H12" s="2464"/>
      <c r="I12" s="2464"/>
      <c r="J12" s="2464"/>
      <c r="K12" s="246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7"/>
      <c r="E14" s="2487"/>
      <c r="F14" s="2487"/>
      <c r="H14" s="1459" t="s">
        <v>1303</v>
      </c>
      <c r="I14" s="2488"/>
      <c r="J14" s="2488"/>
      <c r="K14" s="2488"/>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8"/>
      <c r="E16" s="2488"/>
      <c r="F16" s="2488"/>
      <c r="G16" s="2488"/>
      <c r="H16" s="2488"/>
      <c r="I16" s="2488"/>
      <c r="J16" s="2488"/>
      <c r="K16" s="2488"/>
      <c r="L16" s="322"/>
    </row>
    <row r="17" spans="2:12" ht="13.5" customHeight="1" x14ac:dyDescent="0.2">
      <c r="B17" s="1384" t="s">
        <v>1301</v>
      </c>
      <c r="C17" s="1384"/>
      <c r="D17" s="2489"/>
      <c r="E17" s="2489"/>
      <c r="F17" s="2489"/>
      <c r="G17" s="2489"/>
      <c r="H17" s="2489"/>
      <c r="I17" s="2489"/>
      <c r="J17" s="2489"/>
      <c r="K17" s="2489"/>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9"/>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7" t="str">
        <f>'Single Audit Cover'!A7</f>
        <v>Salt Fork CUSD 512</v>
      </c>
      <c r="C1" s="2457"/>
      <c r="D1" s="2457"/>
      <c r="E1" s="1469"/>
    </row>
    <row r="2" spans="2:5" s="1279" customFormat="1" ht="12.75" customHeight="1" x14ac:dyDescent="0.2">
      <c r="B2" s="2459">
        <f>'Single Audit Cover'!E7</f>
        <v>54092512026</v>
      </c>
      <c r="C2" s="2459"/>
      <c r="D2" s="2459"/>
      <c r="E2" s="1470"/>
    </row>
    <row r="3" spans="2:5" ht="12.75" customHeight="1" x14ac:dyDescent="0.2">
      <c r="B3" s="2480" t="s">
        <v>1766</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http://purl.org/dc/dcmitype/"/>
    <ds:schemaRef ds:uri="http://purl.org/dc/elements/1.1/"/>
    <ds:schemaRef ds:uri="http://schemas.microsoft.com/office/2006/documentManagement/types"/>
    <ds:schemaRef ds:uri="http://schemas.microsoft.com/sharepoint/v3"/>
    <ds:schemaRef ds:uri="http://schemas.microsoft.com/office/infopath/2007/PartnerControls"/>
    <ds:schemaRef ds:uri="http://schemas.openxmlformats.org/package/2006/metadata/core-properties"/>
    <ds:schemaRef ds:uri="4d435f69-8686-490b-bd6d-b153bf22ab50"/>
    <ds:schemaRef ds:uri="http://purl.org/dc/terms/"/>
    <ds:schemaRef ds:uri="d21dc803-237d-4c68-8692-8d731fd2911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2019-10-14T02:02:08Z</cp:lastPrinted>
  <dcterms:created xsi:type="dcterms:W3CDTF">2003-10-29T19:06:34Z</dcterms:created>
  <dcterms:modified xsi:type="dcterms:W3CDTF">2019-12-23T21:36:38Z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