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ADDE4C9-5C7A-42A1-B8AC-AD8FC7DFD6D1}" xr6:coauthVersionLast="36" xr6:coauthVersionMax="36" xr10:uidLastSave="{00000000-0000-0000-0000-000000000000}"/>
  <bookViews>
    <workbookView xWindow="0" yWindow="0" windowWidth="28800" windowHeight="13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Short-Term Long-Term Debt 2 (2" sheetId="183"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8" r:id="rId32"/>
    <sheet name=" SEFA (5)" sheetId="187" r:id="rId33"/>
    <sheet name="SEFA NOTES" sheetId="173" r:id="rId34"/>
    <sheet name="SF&amp;QC Sec-1" sheetId="174" r:id="rId35"/>
    <sheet name="SF&amp;QC Sec-2" sheetId="175" r:id="rId36"/>
    <sheet name="SF&amp;QC Sec-2 (2)" sheetId="184" r:id="rId37"/>
    <sheet name="SF&amp;QC Sec-3" sheetId="176" r:id="rId38"/>
    <sheet name="SSPAF" sheetId="177" r:id="rId39"/>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7">'SF&amp;QC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8">#REF!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37">#REF!</definedName>
    <definedName name="SCHADDRS" localSheetId="11">#REF!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8">#REF!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37">#REF!</definedName>
    <definedName name="SCHCTY" localSheetId="11">#REF!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8">#REF!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37">#REF!</definedName>
    <definedName name="SCHNMBR" localSheetId="11">#REF!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8">#REF!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37">#REF!</definedName>
    <definedName name="SCHNME" localSheetId="11">#REF!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8">#REF!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37">#REF!</definedName>
    <definedName name="SUPT" localSheetId="11">#REF!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7" i="188" l="1"/>
  <c r="L18" i="188"/>
  <c r="F19" i="188"/>
  <c r="I19" i="188"/>
  <c r="L21" i="188"/>
  <c r="L22" i="188"/>
  <c r="F23" i="188"/>
  <c r="I23" i="188"/>
  <c r="L25" i="188"/>
  <c r="L26" i="188"/>
  <c r="F27" i="188"/>
  <c r="I27" i="188"/>
  <c r="I23" i="186"/>
  <c r="F23" i="186"/>
  <c r="C39" i="3" l="1"/>
  <c r="C8" i="3"/>
  <c r="C180" i="5"/>
  <c r="E75" i="29" l="1"/>
  <c r="I23" i="179" l="1"/>
  <c r="F23" i="179"/>
  <c r="D27" i="3" l="1"/>
  <c r="D24" i="171" l="1"/>
  <c r="I13" i="187"/>
  <c r="F13" i="187"/>
  <c r="I13" i="188"/>
  <c r="I15" i="188" s="1"/>
  <c r="F13" i="188"/>
  <c r="L12" i="188"/>
  <c r="L11" i="188"/>
  <c r="B4" i="188"/>
  <c r="L21" i="186"/>
  <c r="I19" i="186"/>
  <c r="F19" i="186"/>
  <c r="I15" i="186"/>
  <c r="I15" i="187" s="1"/>
  <c r="F15" i="186"/>
  <c r="F15" i="188" l="1"/>
  <c r="F15" i="187"/>
  <c r="G38" i="174"/>
  <c r="L12" i="187"/>
  <c r="L11" i="187"/>
  <c r="B4" i="187"/>
  <c r="I19" i="185"/>
  <c r="F19" i="185"/>
  <c r="I15" i="185"/>
  <c r="F15" i="185"/>
  <c r="I19" i="179"/>
  <c r="F19" i="179"/>
  <c r="I15" i="179"/>
  <c r="F15" i="179"/>
  <c r="I25" i="179" l="1"/>
  <c r="I21" i="185"/>
  <c r="F25" i="179"/>
  <c r="F27" i="179" s="1"/>
  <c r="F21" i="185"/>
  <c r="D60" i="29"/>
  <c r="D5" i="29"/>
  <c r="F17" i="187" l="1"/>
  <c r="F19" i="187" s="1"/>
  <c r="D35" i="171" s="1"/>
  <c r="I27" i="179"/>
  <c r="I17" i="187" s="1"/>
  <c r="G39" i="174"/>
  <c r="I19" i="187" l="1"/>
  <c r="D45" i="174" s="1"/>
  <c r="L4" i="3"/>
  <c r="K9" i="12" l="1"/>
  <c r="K7" i="12"/>
  <c r="H5" i="12"/>
  <c r="L22" i="186"/>
  <c r="L18" i="186"/>
  <c r="L17" i="186"/>
  <c r="L14" i="186"/>
  <c r="L13" i="186"/>
  <c r="B4" i="186"/>
  <c r="L18" i="185"/>
  <c r="L17" i="185"/>
  <c r="L14" i="185"/>
  <c r="L13" i="185"/>
  <c r="B4" i="185"/>
  <c r="B4" i="184"/>
  <c r="D75" i="29"/>
  <c r="C200" i="5"/>
  <c r="C168" i="5"/>
  <c r="H46" i="8"/>
  <c r="H45" i="8"/>
  <c r="H44" i="8"/>
  <c r="H49" i="183"/>
  <c r="G49" i="183"/>
  <c r="F49" i="183"/>
  <c r="F47" i="8" s="1"/>
  <c r="E49" i="183"/>
  <c r="C49" i="183"/>
  <c r="I48" i="183"/>
  <c r="I47" i="183"/>
  <c r="I46" i="183"/>
  <c r="I45" i="183"/>
  <c r="I44" i="183"/>
  <c r="I43" i="183"/>
  <c r="I42" i="183"/>
  <c r="I41" i="183"/>
  <c r="I40" i="183"/>
  <c r="I39" i="183"/>
  <c r="I38" i="183"/>
  <c r="I37" i="183"/>
  <c r="I36" i="183"/>
  <c r="I35" i="183"/>
  <c r="I34" i="183"/>
  <c r="I33" i="183"/>
  <c r="I32" i="183"/>
  <c r="I31" i="183"/>
  <c r="J49" i="183" s="1"/>
  <c r="J47" i="8" s="1"/>
  <c r="F27" i="183"/>
  <c r="F25" i="183"/>
  <c r="F23" i="183"/>
  <c r="E21" i="183"/>
  <c r="D21" i="183"/>
  <c r="C21" i="183"/>
  <c r="F20" i="183"/>
  <c r="F19" i="183"/>
  <c r="F18" i="183"/>
  <c r="F17" i="183"/>
  <c r="E15" i="183"/>
  <c r="D15" i="183"/>
  <c r="C15" i="183"/>
  <c r="F14" i="183"/>
  <c r="F13" i="183"/>
  <c r="F12" i="183"/>
  <c r="F11" i="183"/>
  <c r="F10" i="183"/>
  <c r="F9" i="183"/>
  <c r="F8" i="183"/>
  <c r="F7" i="183"/>
  <c r="F6" i="183"/>
  <c r="F4" i="183"/>
  <c r="N21" i="3"/>
  <c r="M19" i="3"/>
  <c r="M17" i="3"/>
  <c r="L33" i="3"/>
  <c r="F15" i="183" l="1"/>
  <c r="F21" i="183"/>
  <c r="I49" i="183"/>
  <c r="D235" i="29"/>
  <c r="F200" i="5"/>
  <c r="F27"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3" i="179" l="1"/>
  <c r="L21" i="179"/>
  <c r="L18" i="179"/>
  <c r="L17" i="179"/>
  <c r="L14" i="179"/>
  <c r="L13" i="179"/>
  <c r="D14" i="171" l="1"/>
  <c r="D40" i="171" s="1"/>
  <c r="D47"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8" l="1"/>
  <c r="B2" i="187"/>
  <c r="B1" i="188"/>
  <c r="B1" i="187"/>
  <c r="B1" i="186"/>
  <c r="B1" i="184"/>
  <c r="B1" i="185"/>
  <c r="B2" i="179"/>
  <c r="B2" i="184"/>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B7719" i="106" s="1"/>
  <c r="D7719" i="106" s="1"/>
  <c r="J12" i="12"/>
  <c r="B7718" i="106" s="1"/>
  <c r="D7718" i="106" s="1"/>
  <c r="J21" i="12"/>
  <c r="J23" i="12"/>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G26" i="108"/>
  <c r="E27" i="108"/>
  <c r="G27" i="108"/>
  <c r="F31" i="108"/>
  <c r="G28" i="108"/>
  <c r="D31" i="108"/>
  <c r="E31" i="108"/>
  <c r="G31"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D24" i="37" l="1"/>
  <c r="B4270" i="106" s="1"/>
  <c r="D4270" i="106" s="1"/>
  <c r="D69" i="36"/>
  <c r="G38" i="108"/>
  <c r="E26" i="108"/>
  <c r="B7078" i="106"/>
  <c r="D7078" i="106" s="1"/>
  <c r="L5" i="11"/>
  <c r="B2056" i="106" s="1"/>
  <c r="D2056" i="106" s="1"/>
  <c r="D6103" i="106"/>
  <c r="B6995" i="106"/>
  <c r="D6995" i="106" s="1"/>
  <c r="F52" i="34"/>
  <c r="E33" i="108"/>
  <c r="D27" i="108"/>
  <c r="B7047" i="106"/>
  <c r="D7047" i="106" s="1"/>
  <c r="E38" i="108"/>
  <c r="B6289" i="106"/>
  <c r="D6289" i="106" s="1"/>
  <c r="B1274" i="106"/>
  <c r="D1274" i="106" s="1"/>
  <c r="B6871" i="106"/>
  <c r="D6871" i="106" s="1"/>
  <c r="K14" i="12"/>
  <c r="F36" i="108"/>
  <c r="F70" i="34"/>
  <c r="D36" i="108"/>
  <c r="B5246" i="106"/>
  <c r="D5246" i="106" s="1"/>
  <c r="E10" i="108"/>
  <c r="F46" i="34"/>
  <c r="I24" i="12"/>
  <c r="F19" i="7"/>
  <c r="B1807" i="106" s="1"/>
  <c r="D1807" i="106" s="1"/>
  <c r="F14" i="4"/>
  <c r="B2597" i="106" s="1"/>
  <c r="D2597" i="106" s="1"/>
  <c r="G39" i="108"/>
  <c r="G29" i="108"/>
  <c r="F36" i="34"/>
  <c r="B7076" i="106"/>
  <c r="D7076" i="106" s="1"/>
  <c r="B2724" i="106"/>
  <c r="D2724" i="106" s="1"/>
  <c r="F34" i="34"/>
  <c r="E35" i="108"/>
  <c r="B4172" i="106"/>
  <c r="D4172" i="106" s="1"/>
  <c r="N22" i="3"/>
  <c r="B283" i="106" s="1"/>
  <c r="D283" i="106" s="1"/>
  <c r="H28" i="118"/>
  <c r="L22" i="37"/>
  <c r="J22" i="37"/>
  <c r="L15" i="11"/>
  <c r="B3459" i="106" s="1"/>
  <c r="D3459" i="106" s="1"/>
  <c r="L13" i="11"/>
  <c r="B2060" i="106" s="1"/>
  <c r="D2060" i="106" s="1"/>
  <c r="B279" i="106"/>
  <c r="D279" i="106" s="1"/>
  <c r="M40" i="3"/>
  <c r="J210" i="29"/>
  <c r="B7072" i="106" s="1"/>
  <c r="D7072" i="106" s="1"/>
  <c r="F44" i="34"/>
  <c r="E29" i="108"/>
  <c r="F26" i="108"/>
  <c r="F50" i="34"/>
  <c r="F42" i="34"/>
  <c r="F37" i="34"/>
  <c r="F28" i="108"/>
  <c r="B2836" i="106"/>
  <c r="D2836" i="106" s="1"/>
  <c r="G35" i="108"/>
  <c r="D37" i="108"/>
  <c r="F37" i="108"/>
  <c r="E28" i="108"/>
  <c r="D26" i="108"/>
  <c r="B1126" i="106"/>
  <c r="D1126" i="106" s="1"/>
  <c r="G14" i="4"/>
  <c r="B2609" i="106" s="1"/>
  <c r="D2609" i="106" s="1"/>
  <c r="F72" i="34"/>
  <c r="F71" i="34"/>
  <c r="K76" i="4"/>
  <c r="B3586" i="106" s="1"/>
  <c r="D3586" i="106" s="1"/>
  <c r="G15" i="145"/>
  <c r="D9" i="7"/>
  <c r="B1767" i="106" s="1"/>
  <c r="D1767" i="106" s="1"/>
  <c r="J77" i="4"/>
  <c r="B6262" i="106" s="1"/>
  <c r="D6262" i="106" s="1"/>
  <c r="K41" i="3"/>
  <c r="J41" i="3"/>
  <c r="B6216" i="106" s="1"/>
  <c r="D6216" i="106" s="1"/>
  <c r="J352" i="29"/>
  <c r="J367" i="29" s="1"/>
  <c r="B7245" i="106" s="1"/>
  <c r="D7245" i="106" s="1"/>
  <c r="H342" i="29"/>
  <c r="B7221" i="106" s="1"/>
  <c r="D7221" i="106" s="1"/>
  <c r="H112" i="29"/>
  <c r="B7018" i="106" s="1"/>
  <c r="D7018" i="106" s="1"/>
  <c r="C352" i="29"/>
  <c r="C367" i="29" s="1"/>
  <c r="C129" i="29"/>
  <c r="B1225" i="106" s="1"/>
  <c r="D1225" i="106" s="1"/>
  <c r="I210" i="29"/>
  <c r="B7071" i="106" s="1"/>
  <c r="D7071" i="106" s="1"/>
  <c r="H76" i="4"/>
  <c r="B3298" i="106" s="1"/>
  <c r="D3298" i="106" s="1"/>
  <c r="F77" i="4"/>
  <c r="B3255" i="106" s="1"/>
  <c r="D3255" i="106" s="1"/>
  <c r="D11" i="37"/>
  <c r="H29" i="118"/>
  <c r="D31" i="36"/>
  <c r="H33" i="118"/>
  <c r="D17" i="7"/>
  <c r="B4104" i="106" s="1"/>
  <c r="D4104" i="106" s="1"/>
  <c r="L367" i="29"/>
  <c r="L342" i="29"/>
  <c r="C342" i="29"/>
  <c r="B7216" i="106" s="1"/>
  <c r="D7216" i="106" s="1"/>
  <c r="H365" i="29"/>
  <c r="B7242" i="106" s="1"/>
  <c r="D7242" i="106" s="1"/>
  <c r="K184" i="29"/>
  <c r="F13" i="4" s="1"/>
  <c r="B2596" i="106" s="1"/>
  <c r="D2596" i="106" s="1"/>
  <c r="G210" i="29"/>
  <c r="B3647" i="106"/>
  <c r="D3647"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D7256" i="106"/>
  <c r="D7251" i="106"/>
  <c r="D7255" i="106"/>
  <c r="D7250" i="106"/>
  <c r="D7254" i="106"/>
  <c r="D7253" i="106"/>
  <c r="D7252" i="106"/>
  <c r="K365" i="29"/>
  <c r="K16" i="4" s="1"/>
  <c r="D44" i="36"/>
  <c r="C151" i="29"/>
  <c r="B1226" i="106" s="1"/>
  <c r="D1226" i="106" s="1"/>
  <c r="B1266" i="106"/>
  <c r="D1266" i="106" s="1"/>
  <c r="B7721" i="106"/>
  <c r="D7721" i="106" s="1"/>
  <c r="K23" i="12"/>
  <c r="K24" i="12" s="1"/>
  <c r="K26" i="12" s="1"/>
  <c r="B7743" i="106" s="1"/>
  <c r="D7743" i="106" s="1"/>
  <c r="I7" i="4"/>
  <c r="B4444" i="106" s="1"/>
  <c r="D4444" i="106" s="1"/>
  <c r="B3730" i="106"/>
  <c r="D3730" i="106" s="1"/>
  <c r="E30" i="108"/>
  <c r="G30" i="108"/>
  <c r="B1996" i="106"/>
  <c r="D1996" i="106" s="1"/>
  <c r="I26" i="12"/>
  <c r="B7741" i="106" s="1"/>
  <c r="D7741" i="106" s="1"/>
  <c r="H77" i="4"/>
  <c r="B3299" i="106" s="1"/>
  <c r="D3299" i="106" s="1"/>
  <c r="F41" i="108"/>
  <c r="G43" i="108" s="1"/>
  <c r="D41" i="108"/>
  <c r="E43" i="108" s="1"/>
  <c r="N23" i="3"/>
  <c r="B284" i="106" s="1"/>
  <c r="D284" i="106" s="1"/>
  <c r="L16" i="11"/>
  <c r="B2061" i="106" s="1"/>
  <c r="D2061" i="106" s="1"/>
  <c r="B280" i="106"/>
  <c r="D280" i="106" s="1"/>
  <c r="M41" i="3"/>
  <c r="B3621" i="106"/>
  <c r="D3621" i="106" s="1"/>
  <c r="B7235" i="106"/>
  <c r="D7235" i="106" s="1"/>
  <c r="B1328" i="106"/>
  <c r="D1328" i="106" s="1"/>
  <c r="K77" i="4"/>
  <c r="B3587" i="106" s="1"/>
  <c r="D3587" i="106" s="1"/>
  <c r="D51" i="36"/>
  <c r="B1381" i="106"/>
  <c r="D1381" i="106" s="1"/>
  <c r="B1365" i="106"/>
  <c r="D1365" i="106" s="1"/>
  <c r="F65" i="34"/>
  <c r="B3568" i="106"/>
  <c r="D3568" i="106" s="1"/>
  <c r="D52" i="36"/>
  <c r="K342" i="29"/>
  <c r="F13" i="34" s="1"/>
  <c r="C114" i="29"/>
  <c r="B757" i="106" s="1"/>
  <c r="D757" i="106" s="1"/>
  <c r="G170" i="5"/>
  <c r="B5527" i="106"/>
  <c r="D5527" i="106" s="1"/>
  <c r="F174" i="34"/>
  <c r="J16" i="4"/>
  <c r="B6226" i="106" s="1"/>
  <c r="D6226" i="106" s="1"/>
  <c r="B7215" i="106"/>
  <c r="D7215" i="106" s="1"/>
  <c r="L114" i="29"/>
  <c r="B7733" i="106"/>
  <c r="D773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B281" i="106"/>
  <c r="D281" i="106" s="1"/>
  <c r="D54" i="36"/>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B6223" i="106"/>
  <c r="D6223" i="106" s="1"/>
  <c r="J20" i="4"/>
  <c r="J78" i="4" s="1"/>
  <c r="K17" i="4"/>
  <c r="B3575" i="106" s="1"/>
  <c r="D3575" i="106" s="1"/>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C11" i="14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D58" i="36" l="1"/>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<sst xmlns="http://schemas.openxmlformats.org/spreadsheetml/2006/main" count="5505" uniqueCount="2197">
  <si>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</si>
  <si>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</si>
  <si>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</si>
  <si>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</si>
  <si>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</si>
  <si>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</si>
  <si>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</si>
  <si>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</si>
  <si>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</si>
  <si>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</si>
  <si>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</si>
  <si>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</si>
  <si>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</si>
  <si>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</si>
  <si>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</si>
  <si>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</si>
  <si>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</si>
  <si>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</si>
  <si>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</si>
  <si>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</si>
  <si>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</si>
  <si>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</si>
  <si>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</si>
  <si>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</si>
  <si>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</si>
  <si>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</si>
  <si>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</si>
  <si>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</si>
  <si>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</si>
  <si>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</si>
  <si>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</si>
  <si>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</si>
  <si>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</si>
  <si>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</si>
  <si>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</si>
  <si>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</si>
  <si>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</si>
  <si>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</si>
  <si>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</si>
  <si>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</si>
  <si>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</si>
  <si>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</si>
  <si>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</si>
  <si>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</si>
  <si>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</si>
  <si>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</si>
  <si>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</si>
  <si>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</si>
  <si>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</si>
  <si>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</si>
  <si>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</si>
  <si>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</si>
  <si>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</si>
  <si>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</si>
  <si>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</si>
  <si>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</si>
  <si>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</si>
  <si>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</si>
  <si>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</si>
  <si>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</si>
  <si>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</si>
  <si>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</si>
  <si>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</si>
  <si>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</si>
  <si>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</si>
  <si>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</si>
  <si>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</si>
  <si>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</si>
  <si>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</si>
  <si>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</si>
  <si>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</si>
  <si>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</si>
  <si>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</si>
  <si>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</si>
  <si>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</si>
  <si>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</si>
  <si>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</si>
  <si>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</si>
  <si>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</si>
  <si>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</si>
  <si>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</si>
  <si>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</si>
  <si>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</si>
  <si>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</si>
  <si>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</si>
  <si>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</si>
  <si>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</si>
  <si>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</si>
  <si>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</si>
  <si>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</si>
  <si>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</si>
  <si>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</si>
  <si>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</si>
  <si>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</si>
  <si>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</si>
  <si>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</si>
  <si>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</si>
  <si>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</si>
  <si>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</si>
  <si>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</si>
  <si>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</si>
  <si>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</si>
  <si>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</si>
  <si>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</si>
  <si>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</si>
  <si>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</si>
  <si>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</si>
  <si>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</si>
  <si>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</si>
  <si>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</si>
  <si>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</si>
  <si>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</si>
  <si>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</si>
  <si>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</si>
  <si>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</si>
  <si>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</si>
  <si>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</si>
  <si>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</si>
  <si>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</si>
  <si>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</si>
  <si>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</si>
  <si>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</si>
  <si>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</si>
  <si>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</si>
  <si>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</si>
  <si>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</si>
  <si>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</si>
  <si>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</si>
  <si>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</si>
  <si>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</si>
  <si>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</si>
  <si>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</si>
  <si>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</si>
  <si>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</si>
  <si>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</si>
  <si>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</si>
  <si>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</si>
  <si>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</si>
  <si>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</si>
  <si>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</si>
  <si>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</si>
  <si>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</si>
  <si>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</si>
  <si>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</si>
  <si>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</si>
  <si>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</si>
  <si>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</si>
  <si>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</si>
  <si>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</si>
  <si>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</si>
  <si>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</si>
  <si>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</si>
  <si>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</si>
  <si>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</si>
  <si>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</si>
  <si>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</si>
  <si>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</si>
  <si>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</si>
  <si>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</si>
  <si>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</si>
  <si>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</si>
  <si>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</si>
  <si>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</si>
  <si>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</si>
  <si>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</si>
  <si>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</si>
  <si>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</si>
  <si>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</si>
  <si>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</si>
  <si>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</si>
  <si>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</si>
  <si>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</si>
  <si>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</si>
  <si>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</si>
  <si>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</si>
  <si>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</si>
  <si>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</si>
  <si>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</si>
  <si>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</si>
  <si>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</si>
  <si>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</si>
  <si>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</si>
  <si>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</si>
  <si>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</si>
  <si>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</si>
  <si>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</si>
  <si>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</si>
  <si>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</si>
  <si>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</si>
  <si>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</si>
  <si>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</si>
  <si>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</si>
  <si>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</si>
  <si>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</si>
  <si>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</si>
  <si>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</si>
  <si>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</si>
  <si>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</si>
  <si>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</si>
  <si>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</si>
  <si>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</si>
  <si>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</si>
  <si>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</si>
  <si>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</si>
  <si>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</si>
  <si>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</si>
  <si>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</si>
  <si>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</si>
  <si>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</si>
  <si>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</si>
  <si>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</si>
  <si>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</si>
  <si>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</si>
  <si>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</si>
  <si>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</si>
  <si>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</si>
  <si>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</si>
  <si>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</si>
  <si>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</si>
  <si>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</si>
  <si>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</si>
  <si>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</si>
  <si>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</si>
  <si>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</si>
  <si>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</si>
  <si>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</si>
  <si>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</si>
  <si>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</si>
  <si>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</si>
  <si>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</si>
  <si>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</si>
  <si>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</si>
  <si>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</si>
  <si>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</si>
  <si>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</si>
  <si>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</si>
  <si>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</si>
  <si>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</si>
  <si>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</si>
  <si>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</si>
  <si>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</si>
  <si>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</si>
  <si>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</si>
  <si>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</si>
  <si>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</si>
  <si>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</si>
  <si>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</si>
  <si>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</si>
  <si>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</si>
  <si>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</si>
  <si>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</si>
  <si>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</si>
  <si>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</si>
  <si>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</si>
  <si>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</si>
  <si>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</si>
  <si>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</si>
  <si>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</si>
  <si>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</si>
  <si>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</si>
  <si>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</si>
  <si>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</si>
  <si>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</si>
  <si>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</si>
  <si>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</si>
  <si>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</si>
  <si>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</si>
  <si>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</si>
  <si>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</si>
  <si>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</si>
  <si>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</si>
  <si>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</si>
  <si>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</si>
  <si>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</si>
  <si>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</si>
  <si>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</si>
  <si>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</si>
  <si>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</si>
  <si>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</si>
  <si>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</si>
  <si>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</si>
  <si>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</si>
  <si>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</si>
  <si>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</si>
  <si>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</si>
  <si>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</si>
  <si>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</si>
  <si>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</si>
  <si>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</si>
  <si>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</si>
  <si>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</si>
  <si>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</si>
  <si>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</si>
  <si>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</si>
  <si>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</si>
  <si>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</si>
  <si>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</si>
  <si>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</si>
  <si>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</si>
  <si>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</si>
  <si>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</si>
  <si>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</si>
  <si>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</si>
  <si>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</si>
  <si>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</si>
  <si>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</si>
  <si>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</si>
  <si>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</si>
  <si>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</si>
  <si>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</si>
  <si>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</si>
  <si>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</si>
  <si>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</si>
  <si>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</si>
  <si>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</si>
  <si>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</si>
  <si>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</si>
  <si>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</si>
  <si>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</si>
  <si>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</si>
  <si>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</si>
  <si>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</si>
  <si>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</si>
  <si>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</si>
  <si>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</si>
  <si>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</si>
  <si>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</si>
  <si>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</si>
  <si>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</si>
  <si>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</si>
  <si>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</si>
  <si>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</si>
  <si>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</si>
  <si>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</si>
  <si>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</si>
  <si>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</si>
  <si>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</si>
  <si>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</si>
  <si>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</si>
  <si>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</si>
  <si>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</si>
  <si>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</si>
  <si>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</si>
  <si>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</si>
  <si>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</si>
  <si>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</si>
  <si>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</si>
  <si>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</si>
  <si>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</si>
  <si>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</si>
  <si>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</si>
  <si>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</si>
  <si>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</si>
  <si>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</si>
  <si>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</si>
  <si>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</si>
  <si>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</si>
  <si>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</si>
  <si>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</si>
  <si>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</si>
  <si>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</si>
  <si>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</si>
  <si>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</si>
  <si>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</si>
  <si>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</si>
  <si>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</si>
  <si>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</si>
  <si>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</si>
  <si>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</si>
  <si>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</si>
  <si>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</si>
  <si>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</si>
  <si>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</si>
  <si>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</si>
  <si>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</si>
  <si>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</si>
  <si>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</si>
  <si>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</si>
  <si>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</si>
  <si>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</si>
  <si>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</si>
  <si>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</si>
  <si>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</si>
  <si>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</si>
  <si>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</si>
  <si>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</si>
  <si>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</si>
  <si>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</si>
  <si>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</si>
  <si>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</si>
  <si>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</si>
  <si>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</si>
  <si>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</si>
  <si>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</si>
  <si>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</si>
  <si>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</si>
  <si>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</si>
  <si>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</si>
  <si>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</si>
  <si>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</si>
  <si>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</si>
  <si>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</si>
  <si>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</si>
  <si>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</si>
  <si>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</si>
  <si>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</si>
  <si>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</si>
  <si>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</si>
  <si>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</si>
  <si>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</si>
  <si>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</si>
  <si>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</si>
  <si>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</si>
  <si>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</si>
  <si>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</si>
  <si>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</si>
  <si>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</si>
  <si>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</si>
  <si>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</si>
  <si>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</si>
  <si>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</si>
  <si>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</si>
  <si>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</si>
  <si>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</si>
  <si>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</si>
  <si>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</si>
  <si>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</si>
  <si>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</si>
  <si>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</si>
  <si>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</si>
  <si>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</si>
  <si>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</si>
  <si>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</si>
  <si>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</si>
  <si>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</si>
  <si>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</si>
  <si>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</si>
  <si>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</si>
  <si>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</si>
  <si>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</si>
  <si>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</si>
  <si>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</si>
  <si>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</si>
  <si>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</si>
  <si>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</si>
  <si>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</si>
  <si>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</si>
  <si>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</si>
  <si>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</si>
  <si>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</si>
  <si>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</si>
  <si>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</si>
  <si>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</si>
  <si>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</si>
  <si>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</si>
  <si>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</si>
  <si>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</si>
  <si>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</si>
  <si>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</si>
  <si>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</si>
  <si>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</si>
  <si>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</si>
  <si>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</si>
  <si>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</si>
  <si>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</si>
  <si>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</si>
  <si>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</si>
  <si>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</si>
  <si>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</si>
  <si>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</si>
  <si>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</si>
  <si>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</si>
  <si>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</si>
  <si>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</si>
  <si>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</si>
  <si>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</si>
  <si>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</si>
  <si>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</si>
  <si>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</si>
  <si>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</si>
  <si>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</si>
  <si>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</si>
  <si>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</si>
  <si>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</si>
  <si>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</si>
  <si>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</si>
  <si>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</si>
  <si>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</si>
  <si>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</si>
  <si>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</si>
  <si>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</si>
  <si>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</si>
  <si>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</si>
  <si>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</si>
  <si>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</si>
  <si>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</si>
  <si>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</si>
  <si>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</si>
  <si>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</si>
  <si>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</si>
  <si>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</si>
  <si>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</si>
  <si>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</si>
  <si>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</si>
  <si>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</si>
  <si>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</si>
  <si>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</si>
  <si>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</si>
  <si>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</si>
  <si>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</si>
  <si>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</si>
  <si>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</si>
  <si>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</si>
  <si>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</si>
  <si>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</si>
  <si>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</si>
  <si>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</si>
  <si>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</si>
  <si>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</si>
  <si>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</si>
  <si>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</si>
  <si>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</si>
  <si>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</si>
  <si>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</si>
  <si>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</si>
  <si>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</si>
  <si>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</si>
  <si>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</si>
  <si>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</si>
  <si>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</si>
  <si>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</si>
  <si>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</si>
  <si>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</si>
  <si>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</si>
  <si>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</si>
  <si>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</si>
  <si>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</si>
  <si>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</si>
  <si>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</si>
  <si>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</si>
  <si>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</si>
  <si>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</si>
  <si>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</si>
  <si>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</si>
  <si>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</si>
  <si>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</si>
  <si>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</si>
  <si>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</si>
  <si>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</si>
  <si>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</si>
  <si>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</si>
  <si>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</si>
  <si>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</si>
  <si>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</si>
  <si>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</si>
  <si>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</si>
  <si>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</si>
  <si>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</si>
  <si>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</si>
  <si>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</si>
  <si>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</si>
  <si>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</si>
  <si>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</si>
  <si>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</si>
  <si>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</si>
  <si>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</si>
  <si>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</si>
  <si>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</si>
  <si>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</si>
  <si>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</si>
  <si>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</si>
  <si>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</si>
  <si>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</si>
  <si>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</si>
  <si>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</si>
  <si>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</si>
  <si>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</si>
  <si>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</si>
  <si>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</si>
  <si>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</si>
  <si>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</si>
  <si>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</si>
  <si>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</si>
  <si>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</si>
  <si>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</si>
  <si>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</si>
  <si>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</si>
  <si>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</si>
  <si>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</si>
  <si>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</si>
  <si>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</si>
  <si>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</si>
  <si>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</si>
  <si>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</si>
  <si>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</si>
  <si>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</si>
  <si>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</si>
  <si>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</si>
  <si>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</si>
  <si>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</si>
  <si>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</si>
  <si>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</si>
  <si>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</si>
  <si>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</si>
  <si>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</si>
  <si>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</si>
  <si>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</si>
  <si>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</si>
  <si>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</si>
  <si>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</si>
  <si>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</si>
  <si>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</si>
  <si>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</si>
  <si>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</si>
  <si>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</si>
  <si>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</si>
  <si>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</si>
  <si>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</si>
  <si>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</si>
  <si>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</si>
  <si>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</si>
  <si>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</si>
  <si>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</si>
  <si>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</si>
  <si>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</si>
  <si>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</si>
  <si>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</si>
  <si>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</si>
  <si>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</si>
  <si>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</si>
  <si>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</si>
  <si>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</si>
  <si>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</si>
  <si>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</si>
  <si>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</si>
  <si>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</si>
  <si>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</si>
  <si>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</si>
  <si>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</si>
  <si>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</si>
  <si>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</si>
  <si>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</si>
  <si>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</si>
  <si>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</si>
  <si>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</si>
  <si>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</si>
  <si>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</si>
  <si>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</si>
  <si>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</si>
  <si>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</si>
  <si>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</si>
  <si>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</si>
  <si>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</si>
  <si>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</si>
  <si>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</si>
  <si>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</si>
  <si>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</si>
  <si>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</si>
  <si>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</si>
  <si>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</si>
  <si>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</si>
  <si>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</si>
  <si>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</si>
  <si>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</si>
  <si>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</si>
  <si>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</si>
  <si>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</si>
  <si>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</si>
  <si>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</si>
  <si>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</si>
  <si>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</si>
  <si>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</si>
  <si>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</si>
  <si>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</si>
  <si>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</si>
  <si>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</si>
  <si>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</si>
  <si>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</si>
  <si>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</si>
  <si>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</si>
  <si>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</si>
  <si>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</si>
  <si>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</si>
  <si>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</si>
  <si>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</si>
  <si>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</si>
  <si>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</si>
  <si>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</si>
  <si>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</si>
  <si>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</si>
  <si>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</si>
  <si>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</si>
  <si>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</si>
  <si>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</si>
  <si>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</si>
  <si>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</si>
  <si>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</si>
  <si>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</si>
  <si>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</si>
  <si>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</si>
  <si>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</si>
  <si>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</si>
  <si>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</si>
  <si>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</si>
  <si>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</si>
  <si>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</si>
  <si>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</si>
  <si>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</si>
  <si>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</si>
  <si>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</si>
  <si>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</si>
  <si>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</si>
  <si>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</si>
  <si>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</si>
  <si>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</si>
  <si>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</si>
  <si>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</si>
  <si>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</si>
  <si>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</si>
  <si>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</si>
  <si>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</si>
  <si>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</si>
  <si>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</si>
  <si>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</si>
  <si>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</si>
  <si>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</si>
  <si>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</si>
  <si>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</si>
  <si>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</si>
  <si>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</si>
  <si>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</si>
  <si>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</si>
  <si>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</si>
  <si>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</si>
  <si>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</si>
  <si>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</si>
  <si>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</si>
  <si>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</si>
  <si>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</si>
  <si>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</si>
  <si>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</si>
  <si>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</si>
  <si>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</si>
  <si>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</si>
  <si>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</si>
  <si>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</si>
  <si>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</si>
  <si>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</si>
  <si>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</si>
  <si>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</si>
  <si>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</si>
  <si>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</si>
  <si>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</si>
  <si>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</si>
  <si>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</si>
  <si>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</si>
  <si>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</si>
  <si>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</si>
  <si>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</si>
  <si>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</si>
  <si>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</si>
  <si>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</si>
  <si>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</si>
  <si>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</si>
  <si>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</si>
  <si>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</si>
  <si>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</si>
  <si>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</si>
  <si>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</si>
  <si>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</si>
  <si>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</si>
  <si>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</si>
  <si>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</si>
  <si>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</si>
  <si>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</si>
  <si>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</si>
  <si>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</si>
  <si>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</si>
  <si>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</si>
  <si>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</si>
  <si>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</si>
  <si>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</si>
  <si>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</si>
  <si>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</si>
  <si>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</si>
  <si>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</si>
  <si>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</si>
  <si>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</si>
  <si>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</si>
  <si>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</si>
  <si>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</si>
  <si>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</si>
  <si>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</si>
  <si>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</si>
  <si>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</si>
  <si>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</si>
  <si>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</si>
  <si>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</si>
  <si>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</si>
  <si>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</si>
  <si>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</si>
  <si>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</si>
  <si>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</si>
  <si>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</si>
  <si>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</si>
  <si>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</si>
  <si>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</si>
  <si>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</si>
  <si>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</si>
  <si>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</si>
  <si>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</si>
  <si>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</si>
  <si>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</si>
  <si>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</si>
  <si>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</si>
  <si>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</si>
  <si>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</si>
  <si>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</si>
  <si>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</si>
  <si>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</si>
  <si>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</si>
  <si>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</si>
  <si>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</si>
  <si>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</si>
  <si>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</si>
  <si>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</si>
  <si>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</si>
  <si>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</si>
  <si>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</si>
  <si>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</si>
  <si>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</si>
  <si>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</si>
  <si>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</si>
  <si>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</si>
  <si>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</si>
  <si>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</si>
  <si>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</si>
  <si>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</si>
  <si>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</si>
  <si>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</si>
  <si>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</si>
  <si>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</si>
  <si>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</si>
  <si>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</si>
  <si>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</si>
  <si>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</si>
  <si>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</si>
  <si>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</si>
  <si>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</si>
  <si>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</si>
  <si>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</si>
  <si>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</si>
  <si>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</si>
  <si>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</si>
  <si>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</si>
  <si>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</si>
  <si>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</si>
  <si>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</si>
  <si>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</si>
  <si>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</si>
  <si>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</si>
  <si>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</si>
  <si>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</si>
  <si>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</si>
  <si>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</si>
  <si>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</si>
  <si>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</si>
  <si>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</si>
  <si>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</si>
  <si>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</si>
  <si>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</si>
  <si>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</si>
  <si>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</si>
  <si>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</si>
  <si>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</si>
  <si>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</si>
  <si>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</si>
  <si>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</si>
  <si>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</si>
  <si>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</si>
  <si>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</si>
  <si>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</si>
  <si>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</si>
  <si>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</si>
  <si>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</si>
  <si>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</si>
  <si>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</si>
  <si>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</si>
  <si>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</si>
  <si>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</si>
  <si>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</si>
  <si>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</si>
  <si>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</si>
  <si>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</si>
  <si>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</si>
  <si>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</si>
  <si>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</si>
  <si>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</si>
  <si>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</si>
  <si>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</si>
  <si>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</si>
  <si>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</si>
  <si>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</si>
  <si>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</si>
  <si>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</si>
  <si>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</si>
  <si>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</si>
  <si>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</si>
  <si>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</si>
  <si>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</si>
  <si>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</si>
  <si>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</si>
  <si>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</si>
  <si>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</si>
  <si>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</si>
  <si>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</si>
  <si>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</si>
  <si>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</si>
  <si>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</si>
  <si>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</si>
  <si>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</si>
  <si>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</si>
  <si>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</si>
  <si>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</si>
  <si>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</si>
  <si>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</si>
  <si>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</si>
  <si>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</si>
  <si>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</si>
  <si>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</si>
  <si>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</si>
  <si>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</si>
  <si>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</si>
  <si>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</si>
  <si>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</si>
  <si>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</si>
  <si>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</si>
  <si>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</si>
  <si>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</si>
  <si>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</si>
  <si>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</si>
  <si>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</si>
  <si>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</si>
  <si>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</si>
  <si>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</si>
  <si>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</si>
  <si>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</si>
  <si>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</si>
  <si>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</si>
  <si>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</si>
  <si>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</si>
  <si>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</si>
  <si>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</si>
  <si>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</si>
  <si>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</si>
  <si>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</si>
  <si>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</si>
  <si>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</si>
  <si>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</si>
  <si>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</si>
  <si>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</si>
  <si>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</si>
  <si>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</si>
  <si>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</si>
  <si>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</si>
  <si>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</si>
  <si>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</si>
  <si>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</si>
  <si>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</si>
  <si>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</si>
  <si>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</si>
  <si>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</si>
  <si>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</si>
  <si>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</si>
  <si>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</si>
  <si>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</si>
  <si>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</si>
  <si>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</si>
  <si>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</si>
  <si>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</si>
  <si>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</si>
  <si>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</si>
  <si>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</si>
  <si>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</si>
  <si>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</si>
  <si>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</si>
  <si>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</si>
  <si>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</si>
  <si>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</si>
  <si>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</si>
  <si>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</si>
  <si>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</si>
  <si>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</si>
  <si>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</si>
  <si>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</si>
  <si>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</si>
  <si>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</si>
  <si>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</si>
  <si>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</si>
  <si>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</si>
  <si>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</si>
  <si>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</si>
  <si>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</si>
  <si>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</si>
  <si>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</si>
  <si>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</si>
  <si>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</si>
  <si>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</si>
  <si>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</si>
  <si>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</si>
  <si>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</si>
  <si>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</si>
  <si>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</si>
  <si>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</si>
  <si>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</si>
  <si>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</si>
  <si>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</si>
  <si>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</si>
  <si>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</si>
  <si>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</si>
  <si>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</si>
  <si>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</si>
  <si>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</si>
  <si>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</si>
  <si>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</si>
  <si>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</si>
  <si>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</si>
  <si>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</si>
  <si>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</si>
  <si>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</si>
  <si>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</si>
  <si>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</si>
  <si>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</si>
  <si>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</si>
  <si>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</si>
  <si>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</si>
  <si>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</si>
  <si>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</si>
  <si>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</si>
  <si>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</si>
  <si>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</si>
  <si>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</si>
  <si>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</si>
  <si>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</si>
  <si>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</si>
  <si>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</si>
  <si>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</si>
  <si>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</si>
  <si>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</si>
  <si>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</si>
  <si>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</si>
  <si>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</si>
  <si>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</si>
  <si>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</si>
  <si>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</si>
  <si>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</si>
  <si>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</si>
  <si>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</si>
  <si>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</si>
  <si>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</si>
  <si>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</si>
  <si>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</si>
  <si>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</si>
  <si>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</si>
  <si>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</si>
  <si>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</si>
  <si>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</si>
  <si>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</si>
  <si>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</si>
  <si>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</si>
  <si>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</si>
  <si>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</si>
  <si>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</si>
  <si>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</si>
  <si>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</si>
  <si>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</si>
  <si>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</si>
  <si>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</si>
  <si>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</si>
  <si>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</si>
  <si>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</si>
  <si>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</si>
  <si>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</si>
  <si>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</si>
  <si>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</si>
  <si>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</si>
  <si>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</si>
  <si>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</si>
  <si>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</si>
  <si>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</si>
  <si>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</si>
  <si>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</si>
  <si>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</si>
  <si>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</si>
  <si>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</si>
  <si>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</si>
  <si>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</si>
  <si>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</si>
  <si>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</si>
  <si>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</si>
  <si>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</si>
  <si>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</si>
  <si>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</si>
  <si>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</si>
  <si>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</si>
  <si>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</si>
  <si>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</si>
  <si>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</si>
  <si>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</si>
  <si>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</si>
  <si>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</si>
  <si>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</si>
  <si>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</si>
  <si>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</si>
  <si>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</si>
  <si>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</si>
  <si>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</si>
  <si>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</si>
  <si>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</si>
  <si>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</si>
  <si>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</si>
  <si>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</si>
  <si>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</si>
  <si>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</si>
  <si>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</si>
  <si>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</si>
  <si>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</si>
  <si>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</si>
  <si>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</si>
  <si>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</si>
  <si>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</si>
  <si>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</si>
  <si>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</si>
  <si>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</si>
  <si>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</si>
  <si>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</si>
  <si>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</si>
  <si>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</si>
  <si>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</si>
  <si>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</si>
  <si>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</si>
  <si>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</si>
  <si>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</si>
  <si>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</si>
  <si>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</si>
  <si>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</si>
  <si>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</si>
  <si>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</si>
  <si>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</si>
  <si>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</si>
  <si>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</si>
  <si>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</si>
  <si>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</si>
  <si>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</si>
  <si>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</si>
  <si>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</si>
  <si>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</si>
  <si>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</si>
  <si>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</si>
  <si>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</si>
  <si>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</si>
  <si>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</si>
  <si>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</si>
  <si>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</si>
  <si>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</si>
  <si>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</si>
  <si>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</si>
  <si>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</si>
  <si>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</si>
  <si>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</si>
  <si>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</si>
  <si>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</si>
  <si>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</si>
  <si>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</si>
  <si>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</si>
  <si>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</si>
  <si>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</si>
  <si>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</si>
  <si>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</si>
  <si>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</si>
  <si>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</si>
  <si>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</si>
  <si>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</si>
  <si>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</si>
  <si>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</si>
  <si>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</si>
  <si>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</si>
  <si>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</si>
  <si>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</si>
  <si>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</si>
  <si>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</si>
  <si>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</si>
  <si>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</si>
  <si>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</si>
  <si>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</si>
  <si>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</si>
  <si>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</si>
  <si>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</si>
  <si>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</si>
  <si>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</si>
  <si>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</si>
  <si>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</si>
  <si>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</si>
  <si>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</si>
  <si>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</si>
  <si>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</si>
  <si>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</si>
  <si>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</si>
  <si>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</si>
  <si>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</si>
  <si>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</si>
  <si>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</si>
  <si>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</si>
  <si>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</si>
  <si>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</si>
  <si>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</si>
  <si>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</si>
  <si>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</si>
  <si>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</si>
  <si>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</si>
  <si>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</si>
  <si>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</si>
  <si>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</si>
  <si>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</si>
  <si>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</si>
  <si>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</si>
  <si>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</si>
  <si>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</si>
  <si>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</si>
  <si>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</si>
  <si>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</si>
  <si>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</si>
  <si>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</si>
  <si>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</si>
  <si>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</si>
  <si>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</si>
  <si>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</si>
  <si>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</si>
  <si>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</si>
  <si>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</si>
  <si>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</si>
  <si>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</si>
  <si>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</si>
  <si>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</si>
  <si>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</si>
  <si>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</si>
  <si>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</si>
  <si>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</si>
  <si>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</si>
  <si>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</si>
  <si>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</si>
  <si>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</si>
  <si>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</si>
  <si>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</si>
  <si>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</si>
  <si>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</si>
  <si>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</si>
  <si>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</si>
  <si>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</si>
  <si>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</si>
  <si>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</si>
  <si>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</si>
  <si>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</si>
  <si>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</si>
  <si>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</si>
  <si>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</si>
  <si>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</si>
  <si>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</si>
  <si>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</si>
  <si>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</si>
  <si>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</si>
  <si>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</si>
  <si>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</si>
  <si>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</si>
  <si>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</si>
  <si>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</si>
  <si>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</si>
  <si>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</si>
  <si>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</si>
  <si>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</si>
  <si>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</si>
  <si>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</si>
  <si>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</si>
  <si>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</si>
  <si>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</si>
  <si>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</si>
  <si>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</si>
  <si>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</si>
  <si>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</si>
  <si>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</si>
  <si>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</si>
  <si>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</si>
  <si>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</si>
  <si>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</si>
  <si>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</si>
  <si>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</si>
  <si>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</si>
  <si>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</si>
  <si>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</si>
  <si>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</si>
  <si>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</si>
  <si>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</si>
  <si>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</si>
  <si>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</si>
  <si>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</si>
  <si>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</si>
  <si>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</si>
  <si>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</si>
  <si>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</si>
  <si>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</si>
  <si>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</si>
  <si>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</si>
  <si>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</si>
  <si>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</si>
  <si>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</si>
  <si>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</si>
  <si>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</si>
  <si>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</si>
  <si>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</si>
  <si>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</si>
  <si>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</si>
  <si>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</si>
  <si>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</si>
  <si>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</si>
  <si>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</si>
  <si>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</si>
  <si>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</si>
  <si>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</si>
  <si>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</si>
  <si>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</si>
  <si>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</si>
  <si>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</si>
  <si>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</si>
  <si>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</si>
  <si>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</si>
  <si>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</si>
  <si>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</si>
  <si>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</si>
  <si>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</si>
  <si>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</si>
  <si>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</si>
  <si>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</si>
  <si>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</si>
  <si>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</si>
  <si>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</si>
  <si>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</si>
  <si>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</si>
  <si>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</si>
  <si>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</si>
  <si>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</si>
  <si>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</si>
  <si>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</si>
  <si>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</si>
  <si>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</si>
  <si>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</si>
  <si>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</si>
  <si>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</si>
  <si>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</si>
  <si>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</si>
  <si>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</si>
  <si>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</si>
  <si>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</si>
  <si>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</si>
  <si>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</si>
  <si>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</si>
  <si>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</si>
  <si>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</si>
  <si>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</si>
  <si>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</si>
  <si>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</si>
  <si>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</si>
  <si>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</si>
  <si>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</si>
  <si>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</si>
  <si>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</si>
  <si>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</si>
  <si>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</si>
  <si>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</si>
  <si>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</si>
  <si>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</si>
  <si>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</si>
  <si>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</si>
  <si>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</si>
  <si>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</si>
  <si>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</si>
  <si>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</si>
  <si>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</si>
  <si>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</si>
  <si>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</si>
  <si>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</si>
  <si>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</si>
  <si>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</si>
  <si>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</si>
  <si>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</si>
  <si>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</si>
  <si>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</si>
  <si>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</si>
  <si>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</si>
  <si>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</si>
  <si>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</si>
  <si>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</si>
  <si>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</si>
  <si>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</si>
  <si>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</si>
  <si>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</si>
  <si>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</si>
  <si>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</si>
  <si>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</si>
  <si>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</si>
  <si>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</si>
  <si>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</si>
  <si>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</si>
  <si>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</si>
  <si>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</si>
  <si>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</si>
  <si>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</si>
  <si>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</si>
  <si>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</si>
  <si>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</si>
  <si>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</si>
  <si>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</si>
  <si>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</si>
  <si>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</si>
  <si>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</si>
  <si>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</si>
  <si>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</si>
  <si>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</si>
  <si>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</si>
  <si>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</si>
  <si>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</si>
  <si>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</si>
  <si>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</si>
  <si>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</si>
  <si>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</si>
  <si>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</si>
  <si>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</si>
  <si>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</si>
  <si>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</si>
  <si>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</si>
  <si>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</si>
  <si>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</si>
  <si>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</si>
  <si>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</si>
  <si>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</si>
  <si>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</si>
  <si>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</si>
  <si>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</si>
  <si>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</si>
  <si>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</si>
  <si>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</si>
  <si>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</si>
  <si>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</si>
  <si>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</si>
  <si>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</si>
  <si>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</si>
  <si>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</si>
  <si>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</si>
  <si>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</si>
  <si>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</si>
  <si>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</si>
  <si>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</si>
  <si>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</si>
  <si>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</si>
  <si>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</si>
  <si>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</si>
  <si>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</si>
  <si>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</si>
  <si>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</si>
  <si>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</si>
  <si>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</si>
  <si>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</si>
  <si>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</si>
  <si>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</si>
  <si>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</si>
  <si>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</si>
  <si>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</si>
  <si>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</si>
  <si>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</si>
  <si>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</si>
  <si>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</si>
  <si>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</si>
  <si>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</si>
  <si>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</si>
  <si>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</si>
  <si>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</si>
  <si>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</si>
  <si>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</si>
  <si>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</si>
  <si>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</si>
  <si>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</si>
  <si>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</si>
  <si>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</si>
  <si>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</si>
  <si>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</si>
  <si>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</si>
  <si>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</si>
  <si>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</si>
  <si>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</si>
  <si>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</si>
  <si>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</si>
  <si>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</si>
  <si>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</si>
  <si>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</si>
  <si>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</si>
  <si>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</si>
  <si>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</si>
  <si>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</si>
  <si>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</si>
  <si>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</si>
  <si>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</si>
  <si>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</si>
  <si>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</si>
  <si>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</si>
  <si>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</si>
  <si>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</si>
  <si>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</si>
  <si>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</si>
  <si>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</si>
  <si>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</si>
  <si>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</si>
  <si>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</si>
  <si>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</si>
  <si>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</si>
  <si>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</si>
  <si>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</si>
  <si>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</si>
  <si>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</si>
  <si>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</si>
  <si>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</si>
  <si>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</si>
  <si>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</si>
  <si>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</si>
  <si>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</si>
  <si>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</si>
  <si>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</si>
  <si>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</si>
  <si>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</si>
  <si>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</si>
  <si>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</si>
  <si>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</si>
  <si>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</si>
  <si>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</si>
  <si>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</si>
  <si>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</si>
  <si>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</si>
  <si>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</si>
  <si>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</si>
  <si>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</si>
  <si>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</si>
  <si>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</si>
  <si>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</si>
  <si>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</si>
  <si>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</si>
  <si>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</si>
  <si>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</si>
  <si>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</si>
  <si>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</si>
  <si>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</si>
  <si>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</si>
  <si>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</si>
  <si>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</si>
  <si>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</si>
  <si>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</si>
  <si>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</si>
  <si>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</si>
  <si>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</si>
  <si>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</si>
  <si>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</si>
  <si>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</si>
  <si>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</si>
  <si>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</si>
  <si>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</si>
  <si>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</si>
  <si>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</si>
  <si>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</si>
  <si>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</si>
  <si>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</si>
  <si>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</si>
  <si>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</si>
  <si>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</si>
  <si>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</si>
  <si>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</si>
  <si>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</si>
  <si>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</si>
  <si>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</si>
  <si>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</si>
  <si>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</si>
  <si>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</si>
  <si>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</si>
  <si>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</si>
  <si>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</si>
  <si>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</si>
  <si>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</si>
  <si>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</si>
  <si>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</si>
  <si>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</si>
  <si>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</si>
  <si>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</si>
  <si>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</si>
  <si>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</si>
  <si>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</si>
  <si>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</si>
  <si>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</si>
  <si>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</si>
  <si>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</si>
  <si>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</si>
  <si>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</si>
  <si>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</si>
  <si>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</si>
  <si>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</si>
  <si>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</si>
  <si>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</si>
  <si>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</si>
  <si>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</si>
  <si>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</si>
  <si>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</si>
  <si>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</si>
  <si>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</si>
  <si>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</si>
  <si>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</si>
  <si>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</si>
  <si>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</si>
  <si>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</si>
  <si>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</si>
  <si>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</si>
  <si>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</si>
  <si>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</si>
  <si>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</si>
  <si>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</si>
  <si>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</si>
  <si>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</si>
  <si>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</si>
  <si>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</si>
  <si>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</si>
  <si>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</si>
  <si>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</si>
  <si>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</si>
  <si>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</si>
  <si>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</si>
  <si>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</si>
  <si>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</si>
  <si>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</si>
  <si>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</si>
  <si>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</si>
  <si>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</si>
  <si>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</si>
  <si>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</si>
  <si>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</si>
  <si>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</si>
  <si>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</si>
  <si>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</si>
  <si>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</si>
  <si>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</si>
  <si>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</si>
  <si>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</si>
  <si>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</si>
  <si>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</si>
  <si>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</si>
  <si>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</si>
  <si>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</si>
  <si>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</si>
  <si>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</si>
  <si>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</si>
  <si>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</si>
  <si>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</si>
  <si>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</si>
  <si>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</si>
  <si>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</si>
  <si>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</si>
  <si>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</si>
  <si>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</si>
  <si>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</si>
  <si>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</si>
  <si>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</si>
  <si>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</si>
  <si>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</si>
  <si>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</si>
  <si>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</si>
  <si>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</si>
  <si>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</si>
  <si>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</si>
  <si>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</si>
  <si>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</si>
  <si>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</si>
  <si>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</si>
  <si>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</si>
  <si>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</si>
  <si>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</si>
  <si>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</si>
  <si>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</si>
  <si>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</si>
  <si>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</si>
  <si>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</si>
  <si>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</si>
  <si>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</si>
  <si>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</si>
  <si>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</si>
  <si>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</si>
  <si>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</si>
  <si>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</si>
  <si>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</si>
  <si>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</si>
  <si>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</si>
  <si>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</si>
  <si>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</si>
  <si>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</si>
  <si>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</si>
  <si>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</si>
  <si>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</si>
  <si>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</si>
  <si>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</si>
  <si>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</si>
  <si>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</si>
  <si>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</si>
  <si>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</si>
  <si>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</si>
  <si>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</si>
  <si>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</si>
  <si>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</si>
  <si>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</si>
  <si>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</si>
  <si>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</si>
  <si>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</si>
  <si>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</si>
  <si>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</si>
  <si>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</si>
  <si>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</si>
  <si>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</si>
  <si>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</si>
  <si>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</si>
  <si>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</si>
  <si>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</si>
  <si>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</si>
  <si>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</si>
  <si>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</si>
  <si>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</si>
  <si>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</si>
  <si>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</si>
  <si>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</si>
  <si>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</si>
  <si>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</si>
  <si>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</si>
  <si>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</si>
  <si>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</si>
  <si>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</si>
  <si>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</si>
  <si>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</si>
  <si>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</si>
  <si>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</si>
  <si>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</si>
  <si>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</si>
  <si>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</si>
  <si>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</si>
  <si>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</si>
  <si>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</si>
  <si>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</si>
  <si>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</si>
  <si>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</si>
  <si>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</si>
  <si>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</si>
  <si>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</si>
  <si>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</si>
  <si>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</si>
  <si>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</si>
  <si>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</si>
  <si>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</si>
  <si>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</si>
  <si>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</si>
  <si>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</si>
  <si>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</si>
  <si>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</si>
  <si>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</si>
  <si>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</si>
  <si>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</si>
  <si>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</si>
  <si>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</si>
  <si>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</si>
  <si>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</si>
  <si>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</si>
  <si>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</si>
  <si>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</si>
  <si>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</si>
  <si>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</si>
  <si>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</si>
  <si>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</si>
  <si>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</si>
  <si>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</si>
  <si>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</si>
  <si>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</si>
  <si>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</si>
  <si>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</si>
  <si>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</si>
  <si>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</si>
  <si>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</si>
  <si>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</si>
  <si>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</si>
  <si>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</si>
  <si>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</si>
  <si>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</si>
  <si>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</si>
  <si>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</si>
  <si>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</si>
  <si>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</si>
  <si>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</si>
  <si>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</si>
  <si>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</si>
  <si>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</si>
  <si>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</si>
  <si>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</si>
  <si>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</si>
  <si>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</si>
  <si>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</si>
  <si>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</si>
  <si>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</si>
  <si>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</si>
  <si>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</si>
  <si>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</si>
  <si>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</si>
  <si>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</si>
  <si>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</si>
  <si>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</si>
  <si>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</si>
  <si>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</si>
  <si>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</si>
  <si>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</si>
  <si>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</si>
  <si>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</si>
  <si>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</si>
  <si>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</si>
  <si>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</si>
  <si>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</si>
  <si>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</si>
  <si>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</si>
  <si>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</si>
  <si>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</si>
  <si>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</si>
  <si>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</si>
  <si>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</si>
  <si>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</si>
  <si>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</si>
  <si>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</si>
  <si>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</si>
  <si>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</si>
  <si>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</si>
  <si>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</si>
  <si>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</si>
  <si>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</si>
  <si>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</si>
  <si>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</si>
  <si>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</si>
  <si>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</si>
  <si>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</si>
  <si>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</si>
  <si>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</si>
  <si>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</si>
  <si>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</si>
  <si>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</si>
  <si>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</si>
  <si>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</si>
  <si>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</si>
  <si>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</si>
  <si>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</si>
  <si>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</si>
  <si>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</si>
  <si>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</si>
  <si>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</si>
  <si>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</si>
  <si>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</si>
  <si>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</si>
  <si>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</si>
  <si>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</si>
  <si>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</si>
  <si>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</si>
  <si>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</si>
  <si>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</si>
  <si>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</si>
  <si>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</si>
  <si>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</si>
  <si>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</si>
  <si>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</si>
  <si>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</si>
  <si>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</si>
  <si>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</si>
  <si>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</si>
  <si>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</si>
  <si>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</si>
  <si>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</si>
  <si>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</si>
  <si>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</si>
  <si>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</si>
  <si>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</si>
  <si>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</si>
  <si>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</si>
  <si>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</si>
  <si>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</si>
  <si>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</si>
  <si>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</si>
  <si>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</si>
  <si>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</si>
  <si>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</si>
  <si>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</si>
  <si>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</si>
  <si>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</si>
  <si>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</si>
  <si>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</si>
  <si>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</si>
  <si>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</si>
  <si>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</si>
  <si>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</si>
  <si>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</si>
  <si>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</si>
  <si>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</si>
  <si>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</si>
  <si>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</si>
  <si>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</si>
  <si>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</si>
  <si>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</si>
  <si>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</si>
  <si>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</si>
  <si>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</si>
  <si>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</si>
  <si>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</si>
  <si>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</si>
  <si>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</si>
  <si>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</si>
  <si>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</si>
  <si>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</si>
  <si>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</si>
  <si>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</si>
  <si>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</si>
  <si>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</si>
  <si>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</si>
  <si>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</si>
  <si>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</si>
  <si>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</si>
  <si>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</si>
  <si>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</si>
  <si>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</si>
  <si>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</si>
  <si>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</si>
  <si>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</si>
  <si>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</si>
  <si>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</si>
  <si>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</si>
  <si>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</si>
  <si>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</si>
  <si>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</si>
  <si>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</si>
  <si>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</si>
  <si>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</si>
  <si>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</si>
  <si>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</si>
  <si>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</si>
  <si>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</si>
  <si>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</si>
  <si>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</si>
  <si>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</si>
  <si>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</si>
  <si>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</si>
  <si>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</si>
  <si>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</si>
  <si>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</si>
  <si>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</si>
  <si>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</si>
  <si>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</si>
  <si>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</si>
  <si>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</si>
  <si>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</si>
  <si>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</si>
  <si>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</si>
  <si>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</si>
  <si>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</si>
  <si>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</si>
  <si>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</si>
  <si>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</si>
  <si>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</si>
  <si>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</si>
  <si>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</si>
  <si>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</si>
  <si>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</si>
  <si>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</si>
  <si>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</si>
  <si>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</si>
  <si>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</si>
  <si>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</si>
  <si>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</si>
  <si>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</si>
  <si>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</si>
  <si>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</si>
  <si>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</si>
  <si>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</si>
  <si>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</si>
  <si>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</si>
  <si>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</si>
  <si>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</si>
  <si>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</si>
  <si>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</si>
  <si>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</si>
  <si>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</si>
  <si>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</si>
  <si>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</si>
  <si>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</si>
  <si>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</si>
  <si>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</si>
  <si>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</si>
  <si>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</si>
  <si>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</si>
  <si>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</si>
  <si>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</si>
  <si>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</si>
  <si>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</si>
  <si>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</si>
  <si>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</si>
  <si>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</si>
  <si>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</si>
  <si>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</si>
  <si>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</si>
  <si>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</si>
  <si>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</si>
  <si>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</si>
  <si>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</si>
  <si>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</si>
  <si>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</si>
  <si>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</si>
  <si>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</si>
  <si>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</si>
  <si>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</si>
  <si>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</si>
  <si>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</si>
  <si>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</si>
  <si>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</si>
  <si>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</si>
  <si>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</si>
  <si>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</si>
  <si>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</si>
  <si>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</si>
  <si>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</si>
  <si>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</si>
  <si>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</si>
  <si>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</si>
  <si>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</si>
  <si>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</si>
  <si>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</si>
  <si>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</si>
  <si>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</si>
  <si>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</si>
  <si>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</si>
  <si>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</si>
  <si>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</si>
  <si>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</si>
  <si>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</si>
  <si>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</si>
  <si>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</si>
  <si>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</si>
  <si>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</si>
  <si>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</si>
  <si>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</si>
  <si>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</si>
  <si>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</si>
  <si>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</si>
  <si>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</si>
  <si>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Vermilion</t>
  </si>
  <si>
    <t>115 E. Williams</t>
  </si>
  <si>
    <t>Danville</t>
  </si>
  <si>
    <t>GeddisA@danville118.org</t>
  </si>
  <si>
    <t>Dr. Alicia Geddis</t>
  </si>
  <si>
    <t>217-444-1002</t>
  </si>
  <si>
    <t>217-444-1006</t>
  </si>
  <si>
    <t>CliftonLarsonAllen LLP</t>
  </si>
  <si>
    <t>2 East Main Street, Suite 120</t>
  </si>
  <si>
    <t>IL</t>
  </si>
  <si>
    <t>217-442-1643</t>
  </si>
  <si>
    <t>Hope Wheeler</t>
  </si>
  <si>
    <t>066-004450</t>
  </si>
  <si>
    <t>hope.wheeler@claconnect.com</t>
  </si>
  <si>
    <t>X</t>
  </si>
  <si>
    <t>General Obligation Issue - 2011A</t>
  </si>
  <si>
    <t>General Obligation Issue - 2011B QZAB</t>
  </si>
  <si>
    <t>General Obligation Issue - 2012BQ</t>
  </si>
  <si>
    <t>General Obligation Issue - 2012QZAB</t>
  </si>
  <si>
    <t>General Obligation Issue - 2016A</t>
  </si>
  <si>
    <t>General Obligation Issue - 2016B</t>
  </si>
  <si>
    <t>Computers Lease</t>
  </si>
  <si>
    <t>Switches Capital Lease</t>
  </si>
  <si>
    <t>Capital Lease</t>
  </si>
  <si>
    <t>1, 4</t>
  </si>
  <si>
    <t>Additional computers leases (see next tab)</t>
  </si>
  <si>
    <t>Vermilion Association for Special Education</t>
  </si>
  <si>
    <t>None.</t>
  </si>
  <si>
    <t>2018-001</t>
  </si>
  <si>
    <t>Repeated as finding 2019-001.</t>
  </si>
  <si>
    <t xml:space="preserve">The District engages the external auditors to </t>
  </si>
  <si>
    <t xml:space="preserve">assist in preparing its financial statements and </t>
  </si>
  <si>
    <t xml:space="preserve">accompanying disclosures, including preparing </t>
  </si>
  <si>
    <t xml:space="preserve">adjustments from cash to modified accrual and </t>
  </si>
  <si>
    <t>full accrual basis of accounting.</t>
  </si>
  <si>
    <t>2018-002</t>
  </si>
  <si>
    <t xml:space="preserve">In our testing, we noted the investment accounts </t>
  </si>
  <si>
    <t xml:space="preserve">Fund did not reconcile to the investment </t>
  </si>
  <si>
    <t xml:space="preserve">statements. The incorrect account number was </t>
  </si>
  <si>
    <t xml:space="preserve">provided to the District's investment manager and </t>
  </si>
  <si>
    <t xml:space="preserve">an electronic transfer was processed out of the </t>
  </si>
  <si>
    <t xml:space="preserve">wrong account. In completing the monthly </t>
  </si>
  <si>
    <t xml:space="preserve">investment account reconciliation, the </t>
  </si>
  <si>
    <t xml:space="preserve">investment accounts were reconciled in total; </t>
  </si>
  <si>
    <t xml:space="preserve">therefore, it was not identified that the transfer </t>
  </si>
  <si>
    <t>was made out of the incorrect account.</t>
  </si>
  <si>
    <t>Unmodified</t>
  </si>
  <si>
    <t>84.027; 84.173</t>
  </si>
  <si>
    <t>Special Education Cluster</t>
  </si>
  <si>
    <t>10.553; 10.555</t>
  </si>
  <si>
    <t>Child Nutrition Cluster</t>
  </si>
  <si>
    <t>In an ideal control setting, the District would prepare its financial statements in accordance with generally accepted accounting principles for governments, including preparation of the adjustments from cash to modified accrual and full accrual basis of accounting.</t>
  </si>
  <si>
    <t>The Board of Education and management share the ultimate responsibility for the District's internal control system. While it is acceptable to outsource various accounting functions, the responsbilities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certain adjusting entries to prepaid expenses, accounts receivable, accounts payable, and a prior period adjustment to correct TRS deferred inflows and outflows, along with entries to prepare the government-wide financial statements.</t>
  </si>
  <si>
    <t>The Board of Education and management share the ultimate responsibility for the District's internal control system. While it is acceptable to outsource various accounting functions, the responsbilities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</si>
  <si>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It is possible that a misstatement of the District's financial statements could occur and not be prevented or detected by the District's internal control over financial reporting.</t>
  </si>
  <si>
    <t>The District has not made it a practice to record modified accrual based entries historically. This year, the District did prepare and record most of these entries, and there were just a few corrections to them.  The District still relies on the external auditor to propose government-wide adjusting entries that do not get carried to the general ledger. The District has limited staffing to address the above circumstances.</t>
  </si>
  <si>
    <t>We make no recommendation as to whether management should or should not invest in training or additional personnel to acquire the capacity to prepare the financial statements, including the necessary government-wide full accrual adjustments, and required disclosures.</t>
  </si>
  <si>
    <t>In the past and with any school district, we have relied on the auditors to prepare the final financial statements and AFR.  We give them all of the reporting necessary to complete the documents.  We provide them with Trial Balances, General Ledgers, Journal Entries, and Balance Sheets where they can pull data out and review it if they would like.  We provide them with copies of POs or any other documentation when it is requested.  We give them all of the information in order to plug it into the AFR.  Management and the Board of Education will continue to make improvements to the internal controls of the District.  With the biggest control; making sure that we have segregation of duties in order to have the necessary checks and balances.  There will still be certain accruals that cannot be completed before the audit starts because of the timing of when information is available.</t>
  </si>
  <si>
    <t>Page 10, Line 74 - Educational Fund - Other Food Service - Miscellaneous food revenues - $60,726</t>
  </si>
  <si>
    <t>Page 10, Line 91 - Educational Fund - Sales - Other - Textbook sales - $838</t>
  </si>
  <si>
    <t>Page 11, Line 106 - Educational Fund - Other Local Fees - Miscellaneous fees - $445</t>
  </si>
  <si>
    <t>Page 10, Line 72 - Educational Fund - Sales to Pupils - Other - Vending Machine Revenue $4,229</t>
  </si>
  <si>
    <t>Page 11, Line 107 - Operations &amp; Maintenance Fund - Other Local Revenues - Miscellaenous revenues - $42</t>
  </si>
  <si>
    <t>Page 12, Line 168 - Educational Fund - Other Restricted Revenue from State Sources - Orphanage Tuition $371,017; Library Grant $27,612</t>
  </si>
  <si>
    <t>Page 15, Line 41 - Educational Fund - Other Support Services - Medicaid - $38,103</t>
  </si>
  <si>
    <t>Page 16, Line 73 - Educational Fund - Other Support Services - Jackson Building for IDEA Part B - $17,416; Title I supplies - $3,417</t>
  </si>
  <si>
    <t>Page 18, Line 171 - Debt Services Fund - Debt Services - Other - Fees for General Obligation Bonds - $2,225</t>
  </si>
  <si>
    <t>Page 18, Line 180 - Transportation Fund - Transportation Salaries - $71,729; Transportation Benefits - $2,636</t>
  </si>
  <si>
    <t>Audit Checklist, Line 68 - The debt issued on the Schedule of Long-Term Debt does not equal the proceeds of bonds issued because</t>
  </si>
  <si>
    <t>of the proceeds of capital lease issuance being reported as Other Sources Not Classified Elsewhere.</t>
  </si>
  <si>
    <t>Audit Checklist, Line 80 - There were no indirect cost allocations in the current year.</t>
  </si>
  <si>
    <t>Page 11, Line 107 - Educational Fund - Other Local Revenues - E-Rate Refund - $275,035; Miscellaneous revenues - $6,518</t>
  </si>
  <si>
    <t>U.S. Department of Agriculture</t>
  </si>
  <si>
    <t>Passed through the Illinois State Board of Education</t>
  </si>
  <si>
    <t>National School Lunch Program (M)</t>
  </si>
  <si>
    <t>18-4210-00</t>
  </si>
  <si>
    <t>N/A</t>
  </si>
  <si>
    <t>19-4210-00</t>
  </si>
  <si>
    <t>School Breakfast Program (M)</t>
  </si>
  <si>
    <t>Food Commodities (M)</t>
  </si>
  <si>
    <t>Dept of Defense Fresh Fruits and Vegetables (M)</t>
  </si>
  <si>
    <t>Child Nutrition Cluster Total</t>
  </si>
  <si>
    <t>Total U.S. Department of Agriculture</t>
  </si>
  <si>
    <t>18-4220-00</t>
  </si>
  <si>
    <t>19-4220-00</t>
  </si>
  <si>
    <t>U.S. Department of Health and Human Services</t>
  </si>
  <si>
    <t>Passed through the Illinois Department of Healthcare and Family Services</t>
  </si>
  <si>
    <t>Medicaid Administrative Outreach</t>
  </si>
  <si>
    <t>Maternal, Infant, and Early Childhood Home Visiting Program</t>
  </si>
  <si>
    <t>Total U.S. Department of Health and Human Services</t>
  </si>
  <si>
    <t>U.S Deparment of Education</t>
  </si>
  <si>
    <t>18-4300-00</t>
  </si>
  <si>
    <t>19-4300-00</t>
  </si>
  <si>
    <t>18-4306-00</t>
  </si>
  <si>
    <t>19-4306-00</t>
  </si>
  <si>
    <t>18-4620-00</t>
  </si>
  <si>
    <t>19-4620-00</t>
  </si>
  <si>
    <t>18-4600-00</t>
  </si>
  <si>
    <t>19-4600-00</t>
  </si>
  <si>
    <t>School Improvement Grant</t>
  </si>
  <si>
    <t>18-4339-00</t>
  </si>
  <si>
    <t>19-4339-00</t>
  </si>
  <si>
    <t>Title III - Immigrant Education Program (EIP)</t>
  </si>
  <si>
    <t>84.365A</t>
  </si>
  <si>
    <t>18-4905-00</t>
  </si>
  <si>
    <t>19-4905-00</t>
  </si>
  <si>
    <t>Title III - Lang Inst Prog-Limited Eng LIPLEP</t>
  </si>
  <si>
    <t>18-4909-00</t>
  </si>
  <si>
    <t>19-4909-00</t>
  </si>
  <si>
    <t>18-4932-00</t>
  </si>
  <si>
    <t>19-4932-00</t>
  </si>
  <si>
    <t>Total U.S. Department of Education</t>
  </si>
  <si>
    <t>Total Passed Through the Illinois State Board of Education</t>
  </si>
  <si>
    <t>Total Expenditure of Federal Awards</t>
  </si>
  <si>
    <t>Title I - Low Income - Delinquent Private</t>
  </si>
  <si>
    <t>IDEA Part B Flow Through (M)</t>
  </si>
  <si>
    <t>IDEA Part B Pre-School Flow Through (M)</t>
  </si>
  <si>
    <t>Good internal control includes proper review of journal entries for appropriateness.</t>
  </si>
  <si>
    <t>In our testing, we noted the District recorded a journal entry to accrue for all open purchase orders as of the end of the fiscal year. However, the entry duplicated the accrual of outstanding payables as of June 30th, resulting in an overstatement of expenditures.</t>
  </si>
  <si>
    <t>Expenditures of $644,620 were erroneously accrued as of the end of the fiscal year.</t>
  </si>
  <si>
    <t>There was lack of sufficient review of the entry prior to posting.</t>
  </si>
  <si>
    <t>Value of Commodities included in Revenue on page 9-14</t>
  </si>
  <si>
    <t>Part C - #20 - See findings at pages 43 and 43a</t>
  </si>
  <si>
    <t>Page 12, Line 180 - Other Restricted Grants-In-Aid Received Directly from the Federal Govt - MIECHV - $104,770</t>
  </si>
  <si>
    <t>Page 13, Line 197 - Food Service - Other - Educational Fund - Non-cash USDA Commodities - $211,526</t>
  </si>
  <si>
    <t>The accompanying Schedule of Expenditures of Federal Awards includes the federal grant activity of Danville Community Consolidated School District #118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</si>
  <si>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Danville Community Consolidated School District #118 provided federal awards to subrecipients as follows:</t>
  </si>
  <si>
    <t>The following amounts were expended in the form of non-cash assistance by Danville Community Consolidated School District #118 and should be included in the Schedule of Expenditures of Federal Awards:</t>
  </si>
  <si>
    <t>Special Education Cluster (IDEA) Total</t>
  </si>
  <si>
    <t>Overstatement of expenditures and fund balance was the result.</t>
  </si>
  <si>
    <t>We recommend strengthening the controls over the posting and review of journal entries, especially those related to the recognition of year end accruals.</t>
  </si>
  <si>
    <t xml:space="preserve">in the Transportation Fund and Social Security </t>
  </si>
  <si>
    <t>Finding not repeated in fiscal year 2019</t>
  </si>
  <si>
    <t>Total Federal Expenditures for 7/1/18-6/30/19</t>
  </si>
  <si>
    <t>The District tried to create efficiencies at year end with Skyward.  In the past, we have closed out any open purchase orders and re-opened them as necessary in the new year.  Due to the number of open purchase orders at year-end, staff worked with Skyward to push the open purchase orders from the current year into the new year.  This caused entries to the General Ledger that were not expected; debiting the expense as if the purchase order was paid out and crediting an equity account instead of a liability account.  In doing so, when the accruals were made in the 90 day period, the accounts were misstated.  In the future, we will not continue to do this or work with Skyward to make sure that it works properly and that we are not accruing the same expenses that may hit due to this process.</t>
  </si>
  <si>
    <t>Danville CCSD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</si>
</sst>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6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37" fontId="136"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3" fillId="0" borderId="0" applyFont="0" applyFill="0" applyBorder="0" applyAlignment="0" applyProtection="0"/>
  </cellStyleXfs>
  <cellXfs count="248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vertical="center"/>
    </xf>
    <xf numFmtId="3" fontId="9" fillId="0" borderId="22" xfId="0" applyNumberFormat="1" applyFont="1" applyFill="1" applyBorder="1" applyAlignment="1" applyProtection="1">
      <alignment horizontal="left" vertical="center"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69">
    <cellStyle name="Comma" xfId="1" builtinId="3"/>
    <cellStyle name="Comma 10" xfId="19" xr:uid="{00000000-0005-0000-0000-000001000000}"/>
    <cellStyle name="Comma 11" xfId="20" xr:uid="{00000000-0005-0000-0000-000002000000}"/>
    <cellStyle name="Comma 12" xfId="21" xr:uid="{00000000-0005-0000-0000-000003000000}"/>
    <cellStyle name="Comma 13" xfId="22" xr:uid="{00000000-0005-0000-0000-000004000000}"/>
    <cellStyle name="Comma 14" xfId="23" xr:uid="{00000000-0005-0000-0000-000005000000}"/>
    <cellStyle name="Comma 2" xfId="24" xr:uid="{00000000-0005-0000-0000-000006000000}"/>
    <cellStyle name="Comma 2 2" xfId="25" xr:uid="{00000000-0005-0000-0000-000007000000}"/>
    <cellStyle name="Comma 2 3" xfId="26" xr:uid="{00000000-0005-0000-0000-000008000000}"/>
    <cellStyle name="Comma 2 4" xfId="27" xr:uid="{00000000-0005-0000-0000-000009000000}"/>
    <cellStyle name="Comma 3" xfId="28" xr:uid="{00000000-0005-0000-0000-00000A000000}"/>
    <cellStyle name="Comma 4" xfId="29" xr:uid="{00000000-0005-0000-0000-00000B000000}"/>
    <cellStyle name="Comma 5" xfId="30" xr:uid="{00000000-0005-0000-0000-00000C000000}"/>
    <cellStyle name="Comma 6" xfId="31" xr:uid="{00000000-0005-0000-0000-00000D000000}"/>
    <cellStyle name="Comma 7" xfId="32" xr:uid="{00000000-0005-0000-0000-00000E000000}"/>
    <cellStyle name="Comma 8" xfId="33" xr:uid="{00000000-0005-0000-0000-00000F000000}"/>
    <cellStyle name="Comma 9" xfId="34" xr:uid="{00000000-0005-0000-0000-000010000000}"/>
    <cellStyle name="Hyperlink" xfId="2" builtinId="8"/>
    <cellStyle name="Hyperlink 10" xfId="35" xr:uid="{00000000-0005-0000-0000-000012000000}"/>
    <cellStyle name="Hyperlink 11" xfId="36" xr:uid="{00000000-0005-0000-0000-000013000000}"/>
    <cellStyle name="Hyperlink 12" xfId="37" xr:uid="{00000000-0005-0000-0000-000014000000}"/>
    <cellStyle name="Hyperlink 13" xfId="38" xr:uid="{00000000-0005-0000-0000-000015000000}"/>
    <cellStyle name="Hyperlink 14" xfId="39" xr:uid="{00000000-0005-0000-0000-000016000000}"/>
    <cellStyle name="Hyperlink 2" xfId="15" xr:uid="{00000000-0005-0000-0000-000017000000}"/>
    <cellStyle name="Hyperlink 2 2" xfId="40" xr:uid="{00000000-0005-0000-0000-000018000000}"/>
    <cellStyle name="Hyperlink 3" xfId="41" xr:uid="{00000000-0005-0000-0000-000019000000}"/>
    <cellStyle name="Hyperlink 4" xfId="42" xr:uid="{00000000-0005-0000-0000-00001A000000}"/>
    <cellStyle name="Hyperlink 5" xfId="43" xr:uid="{00000000-0005-0000-0000-00001B000000}"/>
    <cellStyle name="Hyperlink 6" xfId="44" xr:uid="{00000000-0005-0000-0000-00001C000000}"/>
    <cellStyle name="Hyperlink 7" xfId="45" xr:uid="{00000000-0005-0000-0000-00001D000000}"/>
    <cellStyle name="Hyperlink 8" xfId="46" xr:uid="{00000000-0005-0000-0000-00001E000000}"/>
    <cellStyle name="Hyperlink 9" xfId="47" xr:uid="{00000000-0005-0000-0000-00001F000000}"/>
    <cellStyle name="Normal" xfId="0" builtinId="0"/>
    <cellStyle name="Normal 2" xfId="3" xr:uid="{00000000-0005-0000-0000-000021000000}"/>
    <cellStyle name="Normal 2 2" xfId="48" xr:uid="{00000000-0005-0000-0000-000022000000}"/>
    <cellStyle name="Normal 3" xfId="4" xr:uid="{00000000-0005-0000-0000-000023000000}"/>
    <cellStyle name="Normal 3 2" xfId="14" xr:uid="{00000000-0005-0000-0000-000024000000}"/>
    <cellStyle name="Normal 3 2 2" xfId="18" xr:uid="{00000000-0005-0000-0000-000025000000}"/>
    <cellStyle name="Normal 3 2 3" xfId="50" xr:uid="{00000000-0005-0000-0000-000026000000}"/>
    <cellStyle name="Normal 3 3" xfId="49" xr:uid="{00000000-0005-0000-0000-000027000000}"/>
    <cellStyle name="Normal 4" xfId="16" xr:uid="{00000000-0005-0000-0000-000028000000}"/>
    <cellStyle name="Normal 4 2" xfId="52" xr:uid="{00000000-0005-0000-0000-000029000000}"/>
    <cellStyle name="Normal 4 3" xfId="53" xr:uid="{00000000-0005-0000-0000-00002A000000}"/>
    <cellStyle name="Normal 4 4" xfId="54" xr:uid="{00000000-0005-0000-0000-00002B000000}"/>
    <cellStyle name="Normal 4 5" xfId="51" xr:uid="{00000000-0005-0000-0000-00002C000000}"/>
    <cellStyle name="Normal 5" xfId="17" xr:uid="{00000000-0005-0000-0000-00002D000000}"/>
    <cellStyle name="Normal 5 2" xfId="55" xr:uid="{00000000-0005-0000-0000-00002E000000}"/>
    <cellStyle name="Normal 6" xfId="56" xr:uid="{00000000-0005-0000-0000-00002F000000}"/>
    <cellStyle name="Normal 6 2" xfId="57" xr:uid="{00000000-0005-0000-0000-000030000000}"/>
    <cellStyle name="Normal 6 3" xfId="58" xr:uid="{00000000-0005-0000-0000-000031000000}"/>
    <cellStyle name="Normal 6 4" xfId="59" xr:uid="{00000000-0005-0000-0000-000032000000}"/>
    <cellStyle name="Normal 7" xfId="60" xr:uid="{00000000-0005-0000-0000-000033000000}"/>
    <cellStyle name="Normal 7 2" xfId="61" xr:uid="{00000000-0005-0000-0000-000034000000}"/>
    <cellStyle name="Normal 7 3" xfId="62" xr:uid="{00000000-0005-0000-0000-000035000000}"/>
    <cellStyle name="Normal 7 4" xfId="63" xr:uid="{00000000-0005-0000-0000-000036000000}"/>
    <cellStyle name="Normal 8 2" xfId="64" xr:uid="{00000000-0005-0000-0000-000037000000}"/>
    <cellStyle name="Normal 8 3" xfId="65" xr:uid="{00000000-0005-0000-0000-000038000000}"/>
    <cellStyle name="Normal 8 4" xfId="66" xr:uid="{00000000-0005-0000-0000-000039000000}"/>
    <cellStyle name="Normal 9" xfId="67" xr:uid="{00000000-0005-0000-0000-00003A000000}"/>
    <cellStyle name="Normal_AFRPG3" xfId="5" xr:uid="{00000000-0005-0000-0000-00003B000000}"/>
    <cellStyle name="Normal_AFRPG41" xfId="6" xr:uid="{00000000-0005-0000-0000-00003C000000}"/>
    <cellStyle name="Normal_AFRPG47" xfId="7" xr:uid="{00000000-0005-0000-0000-00003D000000}"/>
    <cellStyle name="Normal_AFRPG56" xfId="8" xr:uid="{00000000-0005-0000-0000-00003E000000}"/>
    <cellStyle name="Normal_AFRPG59" xfId="9" xr:uid="{00000000-0005-0000-0000-00003F000000}"/>
    <cellStyle name="Normal_AFRPG63" xfId="10" xr:uid="{00000000-0005-0000-0000-000040000000}"/>
    <cellStyle name="Normal_AFRPG64" xfId="11" xr:uid="{00000000-0005-0000-0000-000041000000}"/>
    <cellStyle name="Normal_COVER" xfId="12" xr:uid="{00000000-0005-0000-0000-000042000000}"/>
    <cellStyle name="Normal_THRESHOLD CALCULATOR v3" xfId="13" xr:uid="{00000000-0005-0000-0000-000043000000}"/>
    <cellStyle name="Percent 2" xfId="68" xr:uid="{00000000-0005-0000-0000-00004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2</xdr:row>
          <xdr:rowOff>152400</xdr:rowOff>
        </xdr:from>
        <xdr:to>
          <xdr:col>1</xdr:col>
          <xdr:colOff>2000250</xdr:colOff>
          <xdr:row>7</xdr:row>
          <xdr:rowOff>28575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2</xdr:row>
          <xdr:rowOff>152400</xdr:rowOff>
        </xdr:from>
        <xdr:to>
          <xdr:col>1</xdr:col>
          <xdr:colOff>3105150</xdr:colOff>
          <xdr:row>7</xdr:row>
          <xdr:rowOff>28575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3305175</xdr:colOff>
          <xdr:row>2</xdr:row>
          <xdr:rowOff>142875</xdr:rowOff>
        </xdr:from>
        <xdr:to>
          <xdr:col>2</xdr:col>
          <xdr:colOff>238125</xdr:colOff>
          <xdr:row>7</xdr:row>
          <xdr:rowOff>19050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Normal="100" workbookViewId="0">
      <selection activeCell="K14" sqref="K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2" t="s">
        <v>405</v>
      </c>
      <c r="J1" s="1983"/>
      <c r="K1" s="1983"/>
      <c r="L1" s="1983"/>
      <c r="M1" s="1983"/>
      <c r="N1" s="1983"/>
      <c r="O1" s="1983"/>
      <c r="P1" s="1983"/>
      <c r="Q1" s="1983"/>
      <c r="R1" s="1983"/>
      <c r="S1" s="1983"/>
    </row>
    <row r="2" spans="1:28" ht="12" customHeight="1" x14ac:dyDescent="0.2">
      <c r="A2" s="47" t="s">
        <v>1989</v>
      </c>
      <c r="D2" s="48"/>
      <c r="I2" s="1984" t="s">
        <v>979</v>
      </c>
      <c r="J2" s="1983"/>
      <c r="K2" s="1983"/>
      <c r="L2" s="1983"/>
      <c r="M2" s="1983"/>
      <c r="N2" s="1983"/>
      <c r="O2" s="1983"/>
      <c r="P2" s="1983"/>
      <c r="Q2" s="1983"/>
      <c r="R2" s="1983"/>
      <c r="S2" s="1983"/>
    </row>
    <row r="3" spans="1:28" ht="12" customHeight="1" x14ac:dyDescent="0.2">
      <c r="A3" s="155" t="s">
        <v>1941</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2060</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t="s">
        <v>2060</v>
      </c>
      <c r="P12" s="100" t="s">
        <v>202</v>
      </c>
      <c r="Q12" s="74"/>
      <c r="R12" s="30"/>
      <c r="S12" s="30"/>
      <c r="T12" s="85" t="s">
        <v>265</v>
      </c>
      <c r="U12" s="51"/>
      <c r="V12" s="51"/>
      <c r="W12" s="51"/>
      <c r="X12" s="51"/>
      <c r="Y12" s="45"/>
      <c r="Z12" s="45"/>
      <c r="AA12" s="46"/>
    </row>
    <row r="13" spans="1:28" ht="13.5" customHeight="1" x14ac:dyDescent="0.2">
      <c r="A13" s="2017">
        <v>54092118024</v>
      </c>
      <c r="B13" s="2018"/>
      <c r="C13" s="2018"/>
      <c r="D13" s="2018"/>
      <c r="E13" s="2018"/>
      <c r="F13" s="2018"/>
      <c r="G13" s="2018"/>
      <c r="H13" s="2019"/>
      <c r="I13" s="31"/>
      <c r="J13" s="30"/>
      <c r="K13" s="28"/>
      <c r="L13" s="30"/>
      <c r="M13" s="30"/>
      <c r="N13" s="30"/>
      <c r="O13" s="30"/>
      <c r="P13" s="30"/>
      <c r="Q13" s="30"/>
      <c r="R13" s="30"/>
      <c r="S13" s="30"/>
      <c r="T13" s="2022" t="s">
        <v>2068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2061</v>
      </c>
      <c r="B15" s="2020"/>
      <c r="C15" s="2020"/>
      <c r="D15" s="2020"/>
      <c r="E15" s="2020"/>
      <c r="F15" s="2020"/>
      <c r="G15" s="2020"/>
      <c r="H15" s="2021"/>
      <c r="T15" s="2026" t="s">
        <v>2072</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2196</v>
      </c>
      <c r="B17" s="1977"/>
      <c r="C17" s="1977"/>
      <c r="D17" s="1977"/>
      <c r="E17" s="1977"/>
      <c r="F17" s="1977"/>
      <c r="G17" s="1977"/>
      <c r="H17" s="2002"/>
      <c r="T17" s="2033" t="s">
        <v>2069</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2062</v>
      </c>
      <c r="B19" s="1962"/>
      <c r="C19" s="1962"/>
      <c r="D19" s="1962"/>
      <c r="E19" s="1962"/>
      <c r="F19" s="1962"/>
      <c r="G19" s="1962"/>
      <c r="H19" s="1942"/>
      <c r="I19" s="30"/>
      <c r="J19" s="99"/>
      <c r="K19" s="40"/>
      <c r="L19" s="38"/>
      <c r="M19" s="112" t="s">
        <v>315</v>
      </c>
      <c r="P19" s="27"/>
      <c r="Q19" s="27"/>
      <c r="R19" s="27"/>
      <c r="S19" s="31"/>
      <c r="T19" s="2016" t="s">
        <v>2063</v>
      </c>
      <c r="U19" s="1941"/>
      <c r="V19" s="1941"/>
      <c r="W19" s="1942"/>
      <c r="X19" s="2031" t="s">
        <v>2070</v>
      </c>
      <c r="Y19" s="2032"/>
      <c r="Z19" s="2029">
        <v>61832</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2063</v>
      </c>
      <c r="B21" s="1941"/>
      <c r="C21" s="1941"/>
      <c r="D21" s="1941"/>
      <c r="E21" s="1941"/>
      <c r="F21" s="1941"/>
      <c r="G21" s="1941"/>
      <c r="H21" s="1942"/>
      <c r="I21" s="1996" t="s">
        <v>678</v>
      </c>
      <c r="J21" s="1991"/>
      <c r="K21" s="1991"/>
      <c r="L21" s="1991"/>
      <c r="M21" s="1991"/>
      <c r="N21" s="1991"/>
      <c r="O21" s="1991"/>
      <c r="P21" s="1991"/>
      <c r="Q21" s="1991"/>
      <c r="R21" s="1991"/>
      <c r="S21" s="1997"/>
      <c r="T21" s="2040" t="s">
        <v>2071</v>
      </c>
      <c r="U21" s="2041"/>
      <c r="V21" s="2041"/>
      <c r="W21" s="2041"/>
      <c r="X21" s="2046"/>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2064</v>
      </c>
      <c r="B23" s="1994"/>
      <c r="C23" s="1994"/>
      <c r="D23" s="1994"/>
      <c r="E23" s="1994"/>
      <c r="F23" s="1994"/>
      <c r="G23" s="1994"/>
      <c r="H23" s="1995"/>
      <c r="T23" s="1976" t="s">
        <v>2073</v>
      </c>
      <c r="U23" s="2039"/>
      <c r="V23" s="2039"/>
      <c r="W23" s="2039"/>
      <c r="X23" s="2043">
        <v>44469</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61832</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2065</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2064</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2066</v>
      </c>
      <c r="B42" s="1960"/>
      <c r="C42" s="1961"/>
      <c r="D42" s="1959" t="s">
        <v>2067</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1947</v>
      </c>
      <c r="C2" s="714" t="s">
        <v>1948</v>
      </c>
      <c r="D2" s="714" t="s">
        <v>1949</v>
      </c>
      <c r="E2" s="714" t="s">
        <v>1950</v>
      </c>
      <c r="F2" s="714" t="s">
        <v>1951</v>
      </c>
    </row>
    <row r="3" spans="1:6" ht="12" customHeight="1" x14ac:dyDescent="0.2">
      <c r="A3" s="2183"/>
      <c r="B3" s="1525"/>
      <c r="C3" s="1526"/>
      <c r="D3" s="1527" t="s">
        <v>256</v>
      </c>
      <c r="E3" s="1526"/>
      <c r="F3" s="1527" t="s">
        <v>257</v>
      </c>
    </row>
    <row r="4" spans="1:6" ht="13.7" customHeight="1" x14ac:dyDescent="0.2">
      <c r="A4" s="715" t="s">
        <v>1155</v>
      </c>
      <c r="B4" s="1749">
        <f>'Revenues 9-14'!C5</f>
        <v>9027374</v>
      </c>
      <c r="C4" s="1524"/>
      <c r="D4" s="1752">
        <f>B4-C4</f>
        <v>9027374</v>
      </c>
      <c r="E4" s="1524">
        <v>9321343</v>
      </c>
      <c r="F4" s="1752">
        <f>E4-C4</f>
        <v>9321343</v>
      </c>
    </row>
    <row r="5" spans="1:6" ht="13.7" customHeight="1" x14ac:dyDescent="0.2">
      <c r="A5" s="715" t="s">
        <v>870</v>
      </c>
      <c r="B5" s="1750">
        <f>'Revenues 9-14'!D5</f>
        <v>1659439</v>
      </c>
      <c r="C5" s="585"/>
      <c r="D5" s="1753">
        <f t="shared" ref="D5:D18" si="0">B5-C5</f>
        <v>1659439</v>
      </c>
      <c r="E5" s="585">
        <v>1713482</v>
      </c>
      <c r="F5" s="1753">
        <f>E5-C5</f>
        <v>1713482</v>
      </c>
    </row>
    <row r="6" spans="1:6" ht="13.7" customHeight="1" x14ac:dyDescent="0.2">
      <c r="A6" s="715" t="s">
        <v>411</v>
      </c>
      <c r="B6" s="1750">
        <f>'Revenues 9-14'!E5</f>
        <v>2258283</v>
      </c>
      <c r="C6" s="585"/>
      <c r="D6" s="1753">
        <f t="shared" si="0"/>
        <v>2258283</v>
      </c>
      <c r="E6" s="585">
        <v>2270261</v>
      </c>
      <c r="F6" s="1753">
        <f t="shared" ref="F6:F18" si="1">E6-C6</f>
        <v>2270261</v>
      </c>
    </row>
    <row r="7" spans="1:6" ht="13.7" customHeight="1" x14ac:dyDescent="0.2">
      <c r="A7" s="715" t="s">
        <v>155</v>
      </c>
      <c r="B7" s="1750">
        <f>'Revenues 9-14'!F5</f>
        <v>663775</v>
      </c>
      <c r="C7" s="585"/>
      <c r="D7" s="1753">
        <f t="shared" si="0"/>
        <v>663775</v>
      </c>
      <c r="E7" s="585">
        <v>685393</v>
      </c>
      <c r="F7" s="1753">
        <f t="shared" si="1"/>
        <v>685393</v>
      </c>
    </row>
    <row r="8" spans="1:6" ht="13.7" customHeight="1" x14ac:dyDescent="0.2">
      <c r="A8" s="715" t="s">
        <v>1179</v>
      </c>
      <c r="B8" s="1750">
        <f>'Revenues 9-14'!G5</f>
        <v>1244648</v>
      </c>
      <c r="C8" s="585"/>
      <c r="D8" s="1753">
        <f t="shared" si="0"/>
        <v>1244648</v>
      </c>
      <c r="E8" s="585">
        <v>1257285</v>
      </c>
      <c r="F8" s="1753">
        <f t="shared" si="1"/>
        <v>1257285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165935</v>
      </c>
      <c r="C10" s="585"/>
      <c r="D10" s="1753">
        <f t="shared" si="0"/>
        <v>165935</v>
      </c>
      <c r="E10" s="585">
        <v>171348</v>
      </c>
      <c r="F10" s="1753">
        <f t="shared" si="1"/>
        <v>171348</v>
      </c>
    </row>
    <row r="11" spans="1:6" x14ac:dyDescent="0.2">
      <c r="A11" s="715" t="s">
        <v>409</v>
      </c>
      <c r="B11" s="1750">
        <f>'Revenues 9-14'!J5</f>
        <v>1616322</v>
      </c>
      <c r="C11" s="585"/>
      <c r="D11" s="1753">
        <f t="shared" si="0"/>
        <v>1616322</v>
      </c>
      <c r="E11" s="585">
        <v>1632709</v>
      </c>
      <c r="F11" s="1753">
        <f t="shared" si="1"/>
        <v>1632709</v>
      </c>
    </row>
    <row r="12" spans="1:6" ht="13.7" customHeight="1" x14ac:dyDescent="0.2">
      <c r="A12" s="715" t="s">
        <v>157</v>
      </c>
      <c r="B12" s="1750">
        <f>'Revenues 9-14'!K5</f>
        <v>165935</v>
      </c>
      <c r="C12" s="585"/>
      <c r="D12" s="1753">
        <f t="shared" si="0"/>
        <v>165935</v>
      </c>
      <c r="E12" s="585">
        <v>171348</v>
      </c>
      <c r="F12" s="1753">
        <f t="shared" si="1"/>
        <v>171348</v>
      </c>
    </row>
    <row r="13" spans="1:6" ht="13.7" customHeight="1" x14ac:dyDescent="0.2">
      <c r="A13" s="715" t="s">
        <v>936</v>
      </c>
      <c r="B13" s="1750">
        <f>SUM('Revenues 9-14'!C6:D6)</f>
        <v>165935</v>
      </c>
      <c r="C13" s="585"/>
      <c r="D13" s="1753">
        <f t="shared" si="0"/>
        <v>165935</v>
      </c>
      <c r="E13" s="585">
        <v>171348</v>
      </c>
      <c r="F13" s="1753">
        <f t="shared" si="1"/>
        <v>171348</v>
      </c>
    </row>
    <row r="14" spans="1:6" ht="13.7" customHeight="1" x14ac:dyDescent="0.2">
      <c r="A14" s="715" t="s">
        <v>410</v>
      </c>
      <c r="B14" s="1750">
        <f>SUM('Revenues 9-14'!C7:D7,'Revenues 9-14'!F7:H7)</f>
        <v>132755</v>
      </c>
      <c r="C14" s="585"/>
      <c r="D14" s="1753">
        <f t="shared" si="0"/>
        <v>132755</v>
      </c>
      <c r="E14" s="585">
        <v>137079</v>
      </c>
      <c r="F14" s="1753">
        <f t="shared" si="1"/>
        <v>137079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1200597</v>
      </c>
      <c r="C16" s="585"/>
      <c r="D16" s="1753">
        <f t="shared" si="0"/>
        <v>1200597</v>
      </c>
      <c r="E16" s="585">
        <v>1212768</v>
      </c>
      <c r="F16" s="1753">
        <f t="shared" si="1"/>
        <v>1212768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18300998</v>
      </c>
      <c r="C19" s="1751">
        <f>SUM(C4:C18)</f>
        <v>0</v>
      </c>
      <c r="D19" s="1751">
        <f>SUM(D4:D18)</f>
        <v>18300998</v>
      </c>
      <c r="E19" s="1751">
        <f>SUM(E4:E18)</f>
        <v>18744364</v>
      </c>
      <c r="F19" s="1751">
        <f>SUM(F4:F18)</f>
        <v>18744364</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I1" sqref="I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1952</v>
      </c>
      <c r="D2" s="723" t="s">
        <v>1953</v>
      </c>
      <c r="E2" s="723" t="s">
        <v>1954</v>
      </c>
      <c r="F2" s="1884" t="s">
        <v>1955</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732" t="s">
        <v>2076</v>
      </c>
      <c r="B31" s="733">
        <v>40618</v>
      </c>
      <c r="C31" s="734">
        <v>17335000</v>
      </c>
      <c r="D31" s="735" t="s">
        <v>2085</v>
      </c>
      <c r="E31" s="734">
        <v>12935000</v>
      </c>
      <c r="F31" s="734"/>
      <c r="G31" s="734"/>
      <c r="H31" s="734">
        <v>1115000</v>
      </c>
      <c r="I31" s="1756">
        <f>((E31+F31)-H31)+G31</f>
        <v>11820000</v>
      </c>
      <c r="J31" s="734">
        <f>I31-'Assets-Liab 5-6'!E38</f>
        <v>11469480</v>
      </c>
      <c r="K31" s="736"/>
    </row>
    <row r="32" spans="1:11" ht="12" customHeight="1" x14ac:dyDescent="0.2">
      <c r="A32" s="732" t="s">
        <v>2077</v>
      </c>
      <c r="B32" s="733">
        <v>40618</v>
      </c>
      <c r="C32" s="734">
        <v>6600000</v>
      </c>
      <c r="D32" s="735">
        <v>4</v>
      </c>
      <c r="E32" s="734">
        <v>6600000</v>
      </c>
      <c r="F32" s="734"/>
      <c r="G32" s="734"/>
      <c r="H32" s="734"/>
      <c r="I32" s="1756">
        <f>((E32+F32)-H32)+G32</f>
        <v>6600000</v>
      </c>
      <c r="J32" s="734">
        <v>6600000</v>
      </c>
      <c r="K32" s="736"/>
    </row>
    <row r="33" spans="1:11" ht="12" customHeight="1" x14ac:dyDescent="0.2">
      <c r="A33" s="732" t="s">
        <v>2078</v>
      </c>
      <c r="B33" s="733">
        <v>41245</v>
      </c>
      <c r="C33" s="734">
        <v>6705000</v>
      </c>
      <c r="D33" s="735">
        <v>4</v>
      </c>
      <c r="E33" s="734">
        <v>6215000</v>
      </c>
      <c r="F33" s="734"/>
      <c r="G33" s="734"/>
      <c r="H33" s="734">
        <v>30000</v>
      </c>
      <c r="I33" s="1756">
        <f t="shared" ref="I33:I48" si="1">((E33+F33)-H33)+G33</f>
        <v>6185000</v>
      </c>
      <c r="J33" s="734">
        <v>6185000</v>
      </c>
      <c r="K33" s="736"/>
    </row>
    <row r="34" spans="1:11" ht="12" customHeight="1" x14ac:dyDescent="0.2">
      <c r="A34" s="732" t="s">
        <v>2079</v>
      </c>
      <c r="B34" s="733">
        <v>41270</v>
      </c>
      <c r="C34" s="734">
        <v>1200000</v>
      </c>
      <c r="D34" s="735">
        <v>4</v>
      </c>
      <c r="E34" s="734">
        <v>1200000</v>
      </c>
      <c r="F34" s="734"/>
      <c r="G34" s="734"/>
      <c r="H34" s="734"/>
      <c r="I34" s="1756">
        <f t="shared" si="1"/>
        <v>1200000</v>
      </c>
      <c r="J34" s="734">
        <v>1200000</v>
      </c>
      <c r="K34" s="737"/>
    </row>
    <row r="35" spans="1:11" ht="12" customHeight="1" x14ac:dyDescent="0.2">
      <c r="A35" s="732" t="s">
        <v>2083</v>
      </c>
      <c r="B35" s="733">
        <v>41835</v>
      </c>
      <c r="C35" s="738">
        <v>987731</v>
      </c>
      <c r="D35" s="735">
        <v>7</v>
      </c>
      <c r="E35" s="738">
        <v>191058</v>
      </c>
      <c r="F35" s="738"/>
      <c r="G35" s="738"/>
      <c r="H35" s="738">
        <v>191058</v>
      </c>
      <c r="I35" s="1756">
        <f t="shared" si="1"/>
        <v>0</v>
      </c>
      <c r="J35" s="738"/>
      <c r="K35" s="737"/>
    </row>
    <row r="36" spans="1:11" ht="12" customHeight="1" x14ac:dyDescent="0.2">
      <c r="A36" s="732" t="s">
        <v>2080</v>
      </c>
      <c r="B36" s="733">
        <v>42732</v>
      </c>
      <c r="C36" s="734">
        <v>3365000</v>
      </c>
      <c r="D36" s="735">
        <v>4</v>
      </c>
      <c r="E36" s="734">
        <v>3365000</v>
      </c>
      <c r="F36" s="734"/>
      <c r="G36" s="734"/>
      <c r="H36" s="734"/>
      <c r="I36" s="1756">
        <f t="shared" si="1"/>
        <v>3365000</v>
      </c>
      <c r="J36" s="734">
        <v>3365000</v>
      </c>
      <c r="K36" s="739"/>
    </row>
    <row r="37" spans="1:11" ht="12" customHeight="1" x14ac:dyDescent="0.2">
      <c r="A37" s="732" t="s">
        <v>2081</v>
      </c>
      <c r="B37" s="733">
        <v>42732</v>
      </c>
      <c r="C37" s="467">
        <v>50000</v>
      </c>
      <c r="D37" s="740">
        <v>4</v>
      </c>
      <c r="E37" s="467">
        <v>50000</v>
      </c>
      <c r="F37" s="467"/>
      <c r="G37" s="467"/>
      <c r="H37" s="467">
        <v>50000</v>
      </c>
      <c r="I37" s="1756">
        <f t="shared" si="1"/>
        <v>0</v>
      </c>
      <c r="J37" s="467"/>
      <c r="K37" s="737"/>
    </row>
    <row r="38" spans="1:11" ht="12" customHeight="1" x14ac:dyDescent="0.2">
      <c r="A38" s="732" t="s">
        <v>2082</v>
      </c>
      <c r="B38" s="733">
        <v>42576</v>
      </c>
      <c r="C38" s="734">
        <v>76696</v>
      </c>
      <c r="D38" s="741">
        <v>7</v>
      </c>
      <c r="E38" s="742">
        <v>25556</v>
      </c>
      <c r="F38" s="742"/>
      <c r="G38" s="742"/>
      <c r="H38" s="742">
        <v>25556</v>
      </c>
      <c r="I38" s="1756">
        <f t="shared" si="1"/>
        <v>0</v>
      </c>
      <c r="J38" s="743" t="s">
        <v>264</v>
      </c>
      <c r="K38" s="744"/>
    </row>
    <row r="39" spans="1:11" ht="12" customHeight="1" x14ac:dyDescent="0.2">
      <c r="A39" s="732" t="s">
        <v>2082</v>
      </c>
      <c r="B39" s="733">
        <v>42576</v>
      </c>
      <c r="C39" s="734">
        <v>461947</v>
      </c>
      <c r="D39" s="741">
        <v>7</v>
      </c>
      <c r="E39" s="742">
        <v>230870</v>
      </c>
      <c r="F39" s="742"/>
      <c r="G39" s="742"/>
      <c r="H39" s="742">
        <v>113708</v>
      </c>
      <c r="I39" s="1756">
        <f t="shared" si="1"/>
        <v>117162</v>
      </c>
      <c r="J39" s="743">
        <v>117162</v>
      </c>
      <c r="K39" s="744"/>
    </row>
    <row r="40" spans="1:11" ht="12" customHeight="1" x14ac:dyDescent="0.2">
      <c r="A40" s="732" t="s">
        <v>2082</v>
      </c>
      <c r="B40" s="733">
        <v>42576</v>
      </c>
      <c r="C40" s="734">
        <v>55327</v>
      </c>
      <c r="D40" s="741">
        <v>7</v>
      </c>
      <c r="E40" s="742">
        <v>33178</v>
      </c>
      <c r="F40" s="742"/>
      <c r="G40" s="742"/>
      <c r="H40" s="742">
        <v>10735</v>
      </c>
      <c r="I40" s="1756">
        <f t="shared" si="1"/>
        <v>22443</v>
      </c>
      <c r="J40" s="743">
        <v>22443</v>
      </c>
      <c r="K40" s="744"/>
    </row>
    <row r="41" spans="1:11" ht="12" customHeight="1" x14ac:dyDescent="0.2">
      <c r="A41" s="732" t="s">
        <v>2082</v>
      </c>
      <c r="B41" s="733">
        <v>42978</v>
      </c>
      <c r="C41" s="734">
        <v>255877</v>
      </c>
      <c r="D41" s="741">
        <v>7</v>
      </c>
      <c r="E41" s="742">
        <v>186814</v>
      </c>
      <c r="F41" s="742"/>
      <c r="G41" s="742"/>
      <c r="H41" s="742">
        <v>84558</v>
      </c>
      <c r="I41" s="1756">
        <f t="shared" si="1"/>
        <v>102256</v>
      </c>
      <c r="J41" s="743">
        <v>102256</v>
      </c>
      <c r="K41" s="744"/>
    </row>
    <row r="42" spans="1:11" ht="12" customHeight="1" x14ac:dyDescent="0.2">
      <c r="A42" s="732" t="s">
        <v>2082</v>
      </c>
      <c r="B42" s="733">
        <v>42978</v>
      </c>
      <c r="C42" s="734">
        <v>249473</v>
      </c>
      <c r="D42" s="741">
        <v>7</v>
      </c>
      <c r="E42" s="742">
        <v>199543</v>
      </c>
      <c r="F42" s="742"/>
      <c r="G42" s="742"/>
      <c r="H42" s="742">
        <v>60867</v>
      </c>
      <c r="I42" s="1756">
        <f t="shared" si="1"/>
        <v>138676</v>
      </c>
      <c r="J42" s="743">
        <v>138676</v>
      </c>
      <c r="K42" s="744"/>
    </row>
    <row r="43" spans="1:11" ht="12" customHeight="1" x14ac:dyDescent="0.2">
      <c r="A43" s="732" t="s">
        <v>2082</v>
      </c>
      <c r="B43" s="733">
        <v>43008</v>
      </c>
      <c r="C43" s="734">
        <v>289312</v>
      </c>
      <c r="D43" s="741">
        <v>7</v>
      </c>
      <c r="E43" s="742">
        <v>248239</v>
      </c>
      <c r="F43" s="742"/>
      <c r="G43" s="742"/>
      <c r="H43" s="742">
        <v>55283</v>
      </c>
      <c r="I43" s="1756">
        <f t="shared" si="1"/>
        <v>192956</v>
      </c>
      <c r="J43" s="743">
        <v>192956</v>
      </c>
      <c r="K43" s="744"/>
    </row>
    <row r="44" spans="1:11" ht="12" customHeight="1" x14ac:dyDescent="0.2">
      <c r="A44" s="732" t="s">
        <v>2082</v>
      </c>
      <c r="B44" s="733">
        <v>43175</v>
      </c>
      <c r="C44" s="734">
        <v>183996</v>
      </c>
      <c r="D44" s="735">
        <v>7</v>
      </c>
      <c r="E44" s="734">
        <v>183996</v>
      </c>
      <c r="F44" s="734"/>
      <c r="G44" s="734"/>
      <c r="H44" s="734">
        <f>63839+58859</f>
        <v>122698</v>
      </c>
      <c r="I44" s="1756">
        <f t="shared" si="1"/>
        <v>61298</v>
      </c>
      <c r="J44" s="734">
        <v>61298</v>
      </c>
      <c r="K44" s="737"/>
    </row>
    <row r="45" spans="1:11" ht="12" customHeight="1" x14ac:dyDescent="0.2">
      <c r="A45" s="732" t="s">
        <v>2082</v>
      </c>
      <c r="B45" s="733">
        <v>43175</v>
      </c>
      <c r="C45" s="734">
        <v>252844</v>
      </c>
      <c r="D45" s="735">
        <v>7</v>
      </c>
      <c r="E45" s="734">
        <v>252844</v>
      </c>
      <c r="F45" s="734"/>
      <c r="G45" s="734"/>
      <c r="H45" s="734">
        <f>66827+59685</f>
        <v>126512</v>
      </c>
      <c r="I45" s="1756">
        <f t="shared" si="1"/>
        <v>126332</v>
      </c>
      <c r="J45" s="734">
        <v>126332</v>
      </c>
      <c r="K45" s="737"/>
    </row>
    <row r="46" spans="1:11" ht="12" customHeight="1" x14ac:dyDescent="0.2">
      <c r="A46" s="732" t="s">
        <v>2082</v>
      </c>
      <c r="B46" s="733">
        <v>43175</v>
      </c>
      <c r="C46" s="734">
        <v>410435</v>
      </c>
      <c r="D46" s="735">
        <v>7</v>
      </c>
      <c r="E46" s="734">
        <v>410435</v>
      </c>
      <c r="F46" s="734"/>
      <c r="G46" s="734"/>
      <c r="H46" s="734">
        <f>88683+75746+1</f>
        <v>164430</v>
      </c>
      <c r="I46" s="1756">
        <f t="shared" si="1"/>
        <v>246005</v>
      </c>
      <c r="J46" s="734">
        <v>246005</v>
      </c>
      <c r="K46" s="737"/>
    </row>
    <row r="47" spans="1:11" ht="12" customHeight="1" x14ac:dyDescent="0.2">
      <c r="A47" s="732" t="s">
        <v>2086</v>
      </c>
      <c r="B47" s="733"/>
      <c r="C47" s="738"/>
      <c r="D47" s="735"/>
      <c r="E47" s="738"/>
      <c r="F47" s="738">
        <f>'Short-Term Long-Term Debt 2 (2'!F49</f>
        <v>969553</v>
      </c>
      <c r="G47" s="738"/>
      <c r="H47" s="738"/>
      <c r="I47" s="1756">
        <f t="shared" si="1"/>
        <v>969553</v>
      </c>
      <c r="J47" s="738">
        <f>'Short-Term Long-Term Debt 2 (2'!J49</f>
        <v>969553</v>
      </c>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38478638</v>
      </c>
      <c r="D49" s="745"/>
      <c r="E49" s="1756">
        <f t="shared" ref="E49:J49" si="2">SUM(E31:E48)</f>
        <v>32327533</v>
      </c>
      <c r="F49" s="1756">
        <f t="shared" si="2"/>
        <v>969553</v>
      </c>
      <c r="G49" s="1756">
        <f t="shared" si="2"/>
        <v>0</v>
      </c>
      <c r="H49" s="1756">
        <f t="shared" si="2"/>
        <v>2150405</v>
      </c>
      <c r="I49" s="1756">
        <f t="shared" si="2"/>
        <v>31146681</v>
      </c>
      <c r="J49" s="1756">
        <f t="shared" si="2"/>
        <v>30796161</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2084</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1952</v>
      </c>
      <c r="D2" s="723" t="s">
        <v>1953</v>
      </c>
      <c r="E2" s="723" t="s">
        <v>1954</v>
      </c>
      <c r="F2" s="1884" t="s">
        <v>1955</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732" t="s">
        <v>2082</v>
      </c>
      <c r="B31" s="733">
        <v>43623</v>
      </c>
      <c r="C31" s="734">
        <v>281048</v>
      </c>
      <c r="D31" s="735">
        <v>7</v>
      </c>
      <c r="E31" s="734"/>
      <c r="F31" s="734">
        <v>281048</v>
      </c>
      <c r="G31" s="734"/>
      <c r="H31" s="734"/>
      <c r="I31" s="1756">
        <f>((E31+F31)-H31)+G31</f>
        <v>281048</v>
      </c>
      <c r="J31" s="734">
        <v>281048</v>
      </c>
      <c r="K31" s="736"/>
    </row>
    <row r="32" spans="1:11" ht="12" customHeight="1" x14ac:dyDescent="0.2">
      <c r="A32" s="732" t="s">
        <v>2082</v>
      </c>
      <c r="B32" s="733">
        <v>43623</v>
      </c>
      <c r="C32" s="734">
        <v>427854</v>
      </c>
      <c r="D32" s="735">
        <v>7</v>
      </c>
      <c r="E32" s="734"/>
      <c r="F32" s="734">
        <v>427854</v>
      </c>
      <c r="G32" s="734"/>
      <c r="H32" s="734"/>
      <c r="I32" s="1756">
        <f>((E32+F32)-H32)+G32</f>
        <v>427854</v>
      </c>
      <c r="J32" s="734">
        <v>427854</v>
      </c>
      <c r="K32" s="736"/>
    </row>
    <row r="33" spans="1:11" ht="12" customHeight="1" x14ac:dyDescent="0.2">
      <c r="A33" s="732" t="s">
        <v>2082</v>
      </c>
      <c r="B33" s="733">
        <v>43623</v>
      </c>
      <c r="C33" s="734">
        <v>260561</v>
      </c>
      <c r="D33" s="735">
        <v>7</v>
      </c>
      <c r="E33" s="734"/>
      <c r="F33" s="734">
        <v>260651</v>
      </c>
      <c r="G33" s="734"/>
      <c r="H33" s="734"/>
      <c r="I33" s="1756">
        <f t="shared" ref="I33:I48" si="1">((E33+F33)-H33)+G33</f>
        <v>260651</v>
      </c>
      <c r="J33" s="734">
        <v>260651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969463</v>
      </c>
      <c r="D49" s="745"/>
      <c r="E49" s="1756">
        <f t="shared" ref="E49:J49" si="2">SUM(E31:E48)</f>
        <v>0</v>
      </c>
      <c r="F49" s="1756">
        <f t="shared" si="2"/>
        <v>969553</v>
      </c>
      <c r="G49" s="1756">
        <f t="shared" si="2"/>
        <v>0</v>
      </c>
      <c r="H49" s="1756">
        <f t="shared" si="2"/>
        <v>0</v>
      </c>
      <c r="I49" s="1756">
        <f t="shared" si="2"/>
        <v>969553</v>
      </c>
      <c r="J49" s="1756">
        <f t="shared" si="2"/>
        <v>969553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2084</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F53:G53"/>
    <mergeCell ref="F54:G54"/>
    <mergeCell ref="A25:B25"/>
    <mergeCell ref="A26:B26"/>
    <mergeCell ref="A27:B27"/>
    <mergeCell ref="A29:B29"/>
    <mergeCell ref="B52:D52"/>
    <mergeCell ref="F52:G52"/>
    <mergeCell ref="A24:B24"/>
    <mergeCell ref="C24:F24"/>
    <mergeCell ref="A15:B15"/>
    <mergeCell ref="A16:B16"/>
    <mergeCell ref="C16:F16"/>
    <mergeCell ref="A17:B17"/>
    <mergeCell ref="A18:B18"/>
    <mergeCell ref="A19:B19"/>
    <mergeCell ref="A20:B20"/>
    <mergeCell ref="A21:B21"/>
    <mergeCell ref="A22:B22"/>
    <mergeCell ref="C22:F22"/>
    <mergeCell ref="A23:B23"/>
    <mergeCell ref="A5:B5"/>
    <mergeCell ref="C5:F5"/>
    <mergeCell ref="A1:B1"/>
    <mergeCell ref="A2:B2"/>
    <mergeCell ref="A3:B3"/>
    <mergeCell ref="C3:F3"/>
    <mergeCell ref="A4:B4"/>
  </mergeCells>
  <dataValidations count="2">
    <dataValidation operator="greaterThan" allowBlank="1" showInputMessage="1" showErrorMessage="1" sqref="A1" xr:uid="{00000000-0002-0000-0B00-000000000000}"/>
    <dataValidation type="whole" operator="greaterThan" allowBlank="1" showInputMessage="1" showErrorMessage="1" sqref="C31:C48 E31:E48 H31:H48" xr:uid="{00000000-0002-0000-0B00-000001000000}">
      <formula1>0</formula1>
    </dataValidation>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1960</v>
      </c>
      <c r="B3" s="2236"/>
      <c r="C3" s="2236"/>
      <c r="D3" s="2236"/>
      <c r="E3" s="2237"/>
      <c r="F3" s="763"/>
      <c r="G3" s="764"/>
      <c r="H3" s="764">
        <v>130940</v>
      </c>
      <c r="I3" s="764"/>
      <c r="J3" s="765"/>
      <c r="K3" s="765">
        <v>14444</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f>'Revenues 9-14'!C7</f>
        <v>132755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11699</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51928</v>
      </c>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132755</v>
      </c>
      <c r="I12" s="1758">
        <f>SUM(I5:I11)</f>
        <v>0</v>
      </c>
      <c r="J12" s="1758">
        <f>SUM(J5:J11)</f>
        <v>0</v>
      </c>
      <c r="K12" s="1758">
        <f>SUM(K5:K11)</f>
        <v>63627</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f>'Expenditures 15-22'!K17+'Expenditures 15-22'!K226</f>
        <v>59769</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59769</v>
      </c>
    </row>
    <row r="24" spans="1:11" ht="14.25" thickTop="1" thickBot="1" x14ac:dyDescent="0.25">
      <c r="A24" s="2247" t="s">
        <v>1961</v>
      </c>
      <c r="B24" s="2246"/>
      <c r="C24" s="2246"/>
      <c r="D24" s="2246"/>
      <c r="E24" s="2246"/>
      <c r="F24" s="1762"/>
      <c r="G24" s="1763">
        <f>SUM(G3,G12)-G23</f>
        <v>0</v>
      </c>
      <c r="H24" s="1763">
        <f>SUM(H3,H12)-H23</f>
        <v>263695</v>
      </c>
      <c r="I24" s="1763">
        <f>SUM(I3,I12)-I23</f>
        <v>0</v>
      </c>
      <c r="J24" s="1763">
        <f>SUM(J3,J12)-J23</f>
        <v>0</v>
      </c>
      <c r="K24" s="1763">
        <f>SUM(K3,K12)-K23</f>
        <v>18302</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263695</v>
      </c>
      <c r="I26" s="1758">
        <f>I24-I25</f>
        <v>0</v>
      </c>
      <c r="J26" s="1758">
        <f>J24-J25</f>
        <v>0</v>
      </c>
      <c r="K26" s="1758">
        <f>K24-K25</f>
        <v>18302</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1905</v>
      </c>
      <c r="B1" s="2253"/>
      <c r="C1" s="2254"/>
      <c r="D1" s="826"/>
      <c r="E1" s="827"/>
      <c r="F1" s="827"/>
      <c r="G1" s="828"/>
      <c r="H1" s="829"/>
      <c r="I1" s="830"/>
      <c r="J1" s="2250"/>
      <c r="K1" s="2251"/>
      <c r="L1" s="2251"/>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2318348</v>
      </c>
      <c r="D5" s="841">
        <v>105450</v>
      </c>
      <c r="E5" s="841"/>
      <c r="F5" s="1760">
        <f>(C5+D5)-E5</f>
        <v>2423798</v>
      </c>
      <c r="G5" s="837"/>
      <c r="H5" s="842"/>
      <c r="I5" s="842"/>
      <c r="J5" s="842"/>
      <c r="K5" s="793"/>
      <c r="L5" s="1769">
        <f>F5-K5</f>
        <v>2423798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107624249</v>
      </c>
      <c r="D8" s="844">
        <v>809988</v>
      </c>
      <c r="E8" s="844"/>
      <c r="F8" s="1760">
        <f>(C8+D8)-E8</f>
        <v>108434237</v>
      </c>
      <c r="G8" s="843">
        <v>50</v>
      </c>
      <c r="H8" s="765">
        <v>63880505</v>
      </c>
      <c r="I8" s="765">
        <v>3022978</v>
      </c>
      <c r="J8" s="765"/>
      <c r="K8" s="1769">
        <f>(H8+I8)-J8</f>
        <v>66903483</v>
      </c>
      <c r="L8" s="1769">
        <f>F8-K8</f>
        <v>41530754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7010898</v>
      </c>
      <c r="D10" s="846"/>
      <c r="E10" s="846"/>
      <c r="F10" s="1764">
        <f>(C10+D10)-E10</f>
        <v>7010898</v>
      </c>
      <c r="G10" s="843">
        <v>20</v>
      </c>
      <c r="H10" s="847">
        <v>333369</v>
      </c>
      <c r="I10" s="847">
        <v>350545</v>
      </c>
      <c r="J10" s="847"/>
      <c r="K10" s="1769">
        <f>(H10+I10)-J10</f>
        <v>683914</v>
      </c>
      <c r="L10" s="1769">
        <f>F10-K10</f>
        <v>6326984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2767113</v>
      </c>
      <c r="D12" s="844">
        <v>74659</v>
      </c>
      <c r="E12" s="844">
        <v>30369</v>
      </c>
      <c r="F12" s="1760">
        <f>(C12+D12)-E12</f>
        <v>2811403</v>
      </c>
      <c r="G12" s="843">
        <v>10</v>
      </c>
      <c r="H12" s="765">
        <v>2050181</v>
      </c>
      <c r="I12" s="765">
        <v>108016</v>
      </c>
      <c r="J12" s="765">
        <v>18979</v>
      </c>
      <c r="K12" s="1769">
        <f>(H12+I12)-J12</f>
        <v>2139218</v>
      </c>
      <c r="L12" s="1769">
        <f>F12-K12</f>
        <v>672185</v>
      </c>
    </row>
    <row r="13" spans="1:14" ht="14.25" thickTop="1" thickBot="1" x14ac:dyDescent="0.25">
      <c r="A13" s="848" t="s">
        <v>1122</v>
      </c>
      <c r="B13" s="840">
        <v>252</v>
      </c>
      <c r="C13" s="844">
        <v>1766225</v>
      </c>
      <c r="D13" s="844">
        <v>76102</v>
      </c>
      <c r="E13" s="844">
        <v>11850</v>
      </c>
      <c r="F13" s="1760">
        <f>(C13+D13)-E13</f>
        <v>1830477</v>
      </c>
      <c r="G13" s="843">
        <v>5</v>
      </c>
      <c r="H13" s="765">
        <v>1345134</v>
      </c>
      <c r="I13" s="765">
        <v>293485</v>
      </c>
      <c r="J13" s="765">
        <v>11850</v>
      </c>
      <c r="K13" s="1769">
        <f>(H13+I13)-J13</f>
        <v>1626769</v>
      </c>
      <c r="L13" s="1769">
        <f>F13-K13</f>
        <v>203708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349172</v>
      </c>
      <c r="D15" s="844">
        <v>2544580</v>
      </c>
      <c r="E15" s="844">
        <v>802777</v>
      </c>
      <c r="F15" s="1760">
        <f>(C15+D15)-E15</f>
        <v>2090975</v>
      </c>
      <c r="G15" s="849" t="s">
        <v>862</v>
      </c>
      <c r="H15" s="781"/>
      <c r="I15" s="781"/>
      <c r="J15" s="781"/>
      <c r="K15" s="781"/>
      <c r="L15" s="1769">
        <f>F15-K15</f>
        <v>2090975</v>
      </c>
    </row>
    <row r="16" spans="1:14" ht="15" customHeight="1" thickTop="1" thickBot="1" x14ac:dyDescent="0.25">
      <c r="A16" s="1765" t="s">
        <v>643</v>
      </c>
      <c r="B16" s="1766">
        <v>200</v>
      </c>
      <c r="C16" s="1760">
        <f>SUM(C3,C5:C6,C8:C10,C12:C15)</f>
        <v>121836005</v>
      </c>
      <c r="D16" s="1760">
        <f>SUM(D3,D5:D6,D8:D10,D12:D15)</f>
        <v>3610779</v>
      </c>
      <c r="E16" s="1760">
        <f>SUM(E3,E5:E6,E8:E10,E12:E15)</f>
        <v>844996</v>
      </c>
      <c r="F16" s="1760">
        <f>SUM(F3,F5:F6,F8:F10,F12:F15)</f>
        <v>124601788</v>
      </c>
      <c r="G16" s="843"/>
      <c r="H16" s="1760">
        <f>SUM(H3,H6,H8:H10,H12:H14,)</f>
        <v>67609189</v>
      </c>
      <c r="I16" s="1760">
        <f>SUM(I3,I6,I8:I10,I12:I14,)</f>
        <v>3775024</v>
      </c>
      <c r="J16" s="1760">
        <f>SUM(J3,J6,J8:J10,J12:J14,)</f>
        <v>30829</v>
      </c>
      <c r="K16" s="1760">
        <f>(H16+I16)-J16</f>
        <v>71353384</v>
      </c>
      <c r="L16" s="1760">
        <f>F16-K16</f>
        <v>53248404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1440730</v>
      </c>
      <c r="G17" s="837">
        <v>10</v>
      </c>
      <c r="H17" s="769"/>
      <c r="I17" s="1769">
        <f>F17/G17</f>
        <v>144073</v>
      </c>
      <c r="J17" s="769"/>
      <c r="K17" s="795"/>
      <c r="L17" s="795"/>
    </row>
    <row r="18" spans="1:12" ht="14.25" thickTop="1" thickBot="1" x14ac:dyDescent="0.25">
      <c r="A18" s="1767" t="s">
        <v>685</v>
      </c>
      <c r="B18" s="1768"/>
      <c r="C18" s="771"/>
      <c r="D18" s="771"/>
      <c r="E18" s="771"/>
      <c r="F18" s="850"/>
      <c r="G18" s="851"/>
      <c r="H18" s="773"/>
      <c r="I18" s="1760">
        <f>SUM(I16,I17)</f>
        <v>3919097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1971</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60983867</v>
      </c>
      <c r="G8" s="865"/>
    </row>
    <row r="9" spans="1:7" x14ac:dyDescent="0.2">
      <c r="A9" s="869" t="s">
        <v>460</v>
      </c>
      <c r="B9" s="870" t="s">
        <v>1873</v>
      </c>
      <c r="C9" s="871"/>
      <c r="D9" s="869" t="s">
        <v>501</v>
      </c>
      <c r="E9" s="868"/>
      <c r="F9" s="1909">
        <f>'Expenditures 15-22'!K151</f>
        <v>4359195</v>
      </c>
      <c r="G9" s="872"/>
    </row>
    <row r="10" spans="1:7" x14ac:dyDescent="0.2">
      <c r="A10" s="869" t="s">
        <v>499</v>
      </c>
      <c r="B10" s="870" t="s">
        <v>1874</v>
      </c>
      <c r="C10" s="871"/>
      <c r="D10" s="869" t="s">
        <v>501</v>
      </c>
      <c r="E10" s="868"/>
      <c r="F10" s="1909">
        <f>'Expenditures 15-22'!K174</f>
        <v>3694072</v>
      </c>
      <c r="G10" s="872"/>
    </row>
    <row r="11" spans="1:7" x14ac:dyDescent="0.2">
      <c r="A11" s="869" t="s">
        <v>461</v>
      </c>
      <c r="B11" s="870" t="s">
        <v>1875</v>
      </c>
      <c r="C11" s="871"/>
      <c r="D11" s="869" t="s">
        <v>501</v>
      </c>
      <c r="E11" s="868"/>
      <c r="F11" s="1909">
        <f>'Expenditures 15-22'!K210</f>
        <v>5020688</v>
      </c>
      <c r="G11" s="872"/>
    </row>
    <row r="12" spans="1:7" x14ac:dyDescent="0.2">
      <c r="A12" s="869" t="s">
        <v>462</v>
      </c>
      <c r="B12" s="870" t="s">
        <v>1876</v>
      </c>
      <c r="C12" s="871"/>
      <c r="D12" s="869" t="s">
        <v>501</v>
      </c>
      <c r="E12" s="868"/>
      <c r="F12" s="1909">
        <f>'Expenditures 15-22'!K295</f>
        <v>2567449</v>
      </c>
      <c r="G12" s="872"/>
    </row>
    <row r="13" spans="1:7" x14ac:dyDescent="0.2">
      <c r="A13" s="869" t="s">
        <v>106</v>
      </c>
      <c r="B13" s="870" t="s">
        <v>1877</v>
      </c>
      <c r="C13" s="871"/>
      <c r="D13" s="869" t="s">
        <v>501</v>
      </c>
      <c r="E13" s="868"/>
      <c r="F13" s="1909">
        <f>'Expenditures 15-22'!K342</f>
        <v>1633225</v>
      </c>
      <c r="G13" s="873"/>
    </row>
    <row r="14" spans="1:7" ht="12" customHeight="1" thickBot="1" x14ac:dyDescent="0.25">
      <c r="A14" s="1770"/>
      <c r="B14" s="1771"/>
      <c r="C14" s="1772"/>
      <c r="D14" s="1773" t="s">
        <v>501</v>
      </c>
      <c r="E14" s="1774" t="s">
        <v>958</v>
      </c>
      <c r="F14" s="1775">
        <f>SUM(F8:F13)</f>
        <v>78258496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743957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78092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716990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6365</v>
      </c>
      <c r="G51" s="865"/>
    </row>
    <row r="52" spans="1:7" x14ac:dyDescent="0.2">
      <c r="A52" s="869" t="s">
        <v>459</v>
      </c>
      <c r="B52" s="869" t="s">
        <v>1474</v>
      </c>
      <c r="C52" s="889" t="str">
        <f>'Expenditures 15-22'!B75</f>
        <v>3000</v>
      </c>
      <c r="D52" s="888" t="s">
        <v>449</v>
      </c>
      <c r="E52" s="868"/>
      <c r="F52" s="1913">
        <f>'Expenditures 15-22'!K75-SUM('Expenditures 15-22'!G75,'Expenditures 15-22'!I75)</f>
        <v>1229525</v>
      </c>
      <c r="G52" s="865"/>
    </row>
    <row r="53" spans="1:7" x14ac:dyDescent="0.2">
      <c r="A53" s="869" t="s">
        <v>459</v>
      </c>
      <c r="B53" s="869" t="s">
        <v>1475</v>
      </c>
      <c r="C53" s="889">
        <f>'Expenditures 15-22'!B102</f>
        <v>4000</v>
      </c>
      <c r="D53" s="888" t="str">
        <f>'Expenditures 15-22'!A102</f>
        <v>Total Payments to Other Govt Units</v>
      </c>
      <c r="E53" s="868"/>
      <c r="F53" s="1913">
        <f>'Expenditures 15-22'!K102</f>
        <v>1279344</v>
      </c>
      <c r="G53" s="865"/>
    </row>
    <row r="54" spans="1:7" x14ac:dyDescent="0.2">
      <c r="A54" s="869" t="s">
        <v>459</v>
      </c>
      <c r="B54" s="869" t="s">
        <v>1476</v>
      </c>
      <c r="C54" s="889" t="s">
        <v>982</v>
      </c>
      <c r="D54" s="885" t="s">
        <v>1095</v>
      </c>
      <c r="E54" s="868"/>
      <c r="F54" s="1913">
        <f>'Expenditures 15-22'!G114</f>
        <v>1808420</v>
      </c>
      <c r="G54" s="865"/>
    </row>
    <row r="55" spans="1:7" x14ac:dyDescent="0.2">
      <c r="A55" s="869" t="s">
        <v>459</v>
      </c>
      <c r="B55" s="869" t="s">
        <v>1477</v>
      </c>
      <c r="C55" s="889" t="s">
        <v>982</v>
      </c>
      <c r="D55" s="885" t="s">
        <v>291</v>
      </c>
      <c r="E55" s="868"/>
      <c r="F55" s="1913">
        <f>'Expenditures 15-22'!I114</f>
        <v>1332196</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409753</v>
      </c>
      <c r="G58" s="865"/>
    </row>
    <row r="59" spans="1:7" x14ac:dyDescent="0.2">
      <c r="A59" s="893" t="s">
        <v>460</v>
      </c>
      <c r="B59" s="856" t="s">
        <v>1880</v>
      </c>
      <c r="C59" s="894" t="s">
        <v>982</v>
      </c>
      <c r="D59" s="856" t="s">
        <v>291</v>
      </c>
      <c r="F59" s="1916">
        <f>'Expenditures 15-22'!I151</f>
        <v>108534</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2150405</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28978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6685</v>
      </c>
      <c r="G71" s="865"/>
    </row>
    <row r="72" spans="1:8" x14ac:dyDescent="0.2">
      <c r="A72" s="869" t="s">
        <v>462</v>
      </c>
      <c r="B72" s="869" t="s">
        <v>1892</v>
      </c>
      <c r="C72" s="886">
        <f>'Expenditures 15-22'!B280</f>
        <v>3000</v>
      </c>
      <c r="D72" s="876" t="s">
        <v>449</v>
      </c>
      <c r="E72" s="868"/>
      <c r="F72" s="1913">
        <f>'Expenditures 15-22'!K280</f>
        <v>150184</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10049428</v>
      </c>
      <c r="G76" s="865"/>
    </row>
    <row r="77" spans="1:8" s="893" customFormat="1" ht="12" customHeight="1" thickTop="1" thickBot="1" x14ac:dyDescent="0.25">
      <c r="A77" s="1779"/>
      <c r="B77" s="1776"/>
      <c r="C77" s="1772"/>
      <c r="D77" s="1777" t="s">
        <v>1896</v>
      </c>
      <c r="E77" s="1774"/>
      <c r="F77" s="1780">
        <f>(F14-F76)</f>
        <v>68209068</v>
      </c>
      <c r="G77" s="869"/>
    </row>
    <row r="78" spans="1:8" s="893" customFormat="1" ht="12" customHeight="1" thickTop="1" x14ac:dyDescent="0.2">
      <c r="A78" s="1781"/>
      <c r="B78" s="1776"/>
      <c r="C78" s="1772"/>
      <c r="D78" s="1777" t="s">
        <v>2058</v>
      </c>
      <c r="E78" s="1774"/>
      <c r="F78" s="898">
        <v>4510.3999999999996</v>
      </c>
      <c r="G78" s="899"/>
      <c r="H78" s="869"/>
    </row>
    <row r="79" spans="1:8" s="893" customFormat="1" ht="12" customHeight="1" thickBot="1" x14ac:dyDescent="0.25">
      <c r="A79" s="1782"/>
      <c r="B79" s="1776"/>
      <c r="C79" s="1772"/>
      <c r="D79" s="1777" t="s">
        <v>1897</v>
      </c>
      <c r="E79" s="1774" t="s">
        <v>958</v>
      </c>
      <c r="F79" s="1783">
        <f>IF(F78&gt;0,F77/F78," Complete Line 78")</f>
        <v>15122.620610145443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126033</v>
      </c>
      <c r="G94" s="912"/>
    </row>
    <row r="95" spans="1:7" x14ac:dyDescent="0.2">
      <c r="A95" s="908" t="s">
        <v>140</v>
      </c>
      <c r="B95" s="908" t="s">
        <v>175</v>
      </c>
      <c r="C95" s="910">
        <v>1700</v>
      </c>
      <c r="D95" s="918" t="str">
        <f>'Revenues 9-14'!A82</f>
        <v>Total District/School Activity Income</v>
      </c>
      <c r="E95" s="906"/>
      <c r="F95" s="1789">
        <f>SUM('Revenues 9-14'!C82,'Revenues 9-14'!D82)</f>
        <v>32691</v>
      </c>
      <c r="G95" s="912"/>
    </row>
    <row r="96" spans="1:7" x14ac:dyDescent="0.2">
      <c r="A96" s="908" t="s">
        <v>459</v>
      </c>
      <c r="B96" s="908" t="s">
        <v>176</v>
      </c>
      <c r="C96" s="910">
        <f>'Revenues 9-14'!B84</f>
        <v>1811</v>
      </c>
      <c r="D96" s="911" t="str">
        <f>'Revenues 9-14'!A84</f>
        <v>Rentals - Regular Textbooks</v>
      </c>
      <c r="E96" s="906"/>
      <c r="F96" s="1789">
        <f>'Revenues 9-14'!C84</f>
        <v>56460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838</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15133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445</v>
      </c>
      <c r="G104" s="912"/>
    </row>
    <row r="105" spans="1:7" x14ac:dyDescent="0.2">
      <c r="A105" s="908" t="s">
        <v>503</v>
      </c>
      <c r="B105" s="908" t="s">
        <v>1999</v>
      </c>
      <c r="C105" s="913">
        <v>3100</v>
      </c>
      <c r="D105" s="919" t="str">
        <f>'Revenues 9-14'!A132</f>
        <v>Total Special Education</v>
      </c>
      <c r="E105" s="906"/>
      <c r="F105" s="1789">
        <f>SUM('Revenues 9-14'!C132:D132,'Revenues 9-14'!F132)</f>
        <v>477269</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63351</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51928</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1753537</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398629</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104770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3580871</v>
      </c>
      <c r="G125" s="930"/>
    </row>
    <row r="126" spans="1:7" x14ac:dyDescent="0.2">
      <c r="A126" s="927" t="s">
        <v>668</v>
      </c>
      <c r="B126" s="927" t="s">
        <v>2020</v>
      </c>
      <c r="C126" s="932">
        <v>4300</v>
      </c>
      <c r="D126" s="933" t="str">
        <f>'Revenues 9-14'!A204</f>
        <v>Total Title I</v>
      </c>
      <c r="E126" s="906"/>
      <c r="F126" s="1789">
        <f>SUM('Revenues 9-14'!C204,'Revenues 9-14'!D204,'Revenues 9-14'!F204,'Revenues 9-14'!G204)</f>
        <v>5014352</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1665868</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521260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521260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1155</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22580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371724</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102342</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242110</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2110018</v>
      </c>
      <c r="G171" s="927"/>
    </row>
    <row r="172" spans="1:7" x14ac:dyDescent="0.2">
      <c r="A172" s="1918" t="s">
        <v>664</v>
      </c>
      <c r="B172" s="1919" t="s">
        <v>1916</v>
      </c>
      <c r="C172" s="1920">
        <v>3300</v>
      </c>
      <c r="D172" s="1921" t="s">
        <v>1919</v>
      </c>
      <c r="E172" s="906"/>
      <c r="F172" s="1906">
        <v>80089</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16793453</v>
      </c>
    </row>
    <row r="175" spans="1:7" ht="12" customHeight="1" x14ac:dyDescent="0.2">
      <c r="A175" s="1770"/>
      <c r="B175" s="1784"/>
      <c r="C175" s="1785"/>
      <c r="D175" s="1786" t="s">
        <v>2053</v>
      </c>
      <c r="E175" s="1787"/>
      <c r="F175" s="1789">
        <f>'PCTC-OEPP 27-28'!F77-F174</f>
        <v>51415615</v>
      </c>
    </row>
    <row r="176" spans="1:7" ht="12" customHeight="1" x14ac:dyDescent="0.2">
      <c r="A176" s="1770"/>
      <c r="B176" s="1784"/>
      <c r="C176" s="1785"/>
      <c r="D176" s="1786" t="s">
        <v>1814</v>
      </c>
      <c r="E176" s="1787"/>
      <c r="F176" s="1789">
        <f>'Cap Outlay Deprec 26'!I18</f>
        <v>3919097</v>
      </c>
    </row>
    <row r="177" spans="1:7" ht="12" customHeight="1" x14ac:dyDescent="0.2">
      <c r="A177" s="1770"/>
      <c r="B177" s="1784"/>
      <c r="C177" s="1785"/>
      <c r="D177" s="1786" t="s">
        <v>2054</v>
      </c>
      <c r="E177" s="1787"/>
      <c r="F177" s="1789">
        <f>F175+F176</f>
        <v>55334712</v>
      </c>
    </row>
    <row r="178" spans="1:7" ht="12" customHeight="1" x14ac:dyDescent="0.2">
      <c r="A178" s="1770"/>
      <c r="B178" s="1790"/>
      <c r="C178" s="1785"/>
      <c r="D178" s="1786" t="str">
        <f>D78</f>
        <v>9 Month ADA from District Average Daily Attendance/Prior General State Aid Inquiry 2018-2019</v>
      </c>
      <c r="E178" s="1787"/>
      <c r="F178" s="1791">
        <f>'PCTC-OEPP 27-28'!F78</f>
        <v>4510.3999999999996</v>
      </c>
      <c r="G178" s="930"/>
    </row>
    <row r="179" spans="1:7" ht="12" customHeight="1" thickBot="1" x14ac:dyDescent="0.25">
      <c r="A179" s="1770"/>
      <c r="B179" s="1790"/>
      <c r="C179" s="1785"/>
      <c r="D179" s="1786" t="s">
        <v>2055</v>
      </c>
      <c r="E179" s="1787" t="s">
        <v>1545</v>
      </c>
      <c r="F179" s="1792">
        <f>F177/F178</f>
        <v>12268.249379212488</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1928</v>
      </c>
      <c r="B7" s="2276"/>
      <c r="C7" s="2276"/>
      <c r="D7" s="2276"/>
      <c r="E7" s="2276"/>
      <c r="F7" s="2276"/>
      <c r="G7" s="2277"/>
    </row>
    <row r="8" spans="1:7" ht="15.75" customHeight="1" x14ac:dyDescent="0.25">
      <c r="A8" s="2278" t="s">
        <v>1903</v>
      </c>
      <c r="B8" s="2279"/>
      <c r="C8" s="2279"/>
      <c r="D8" s="2279"/>
      <c r="E8" s="2279"/>
      <c r="F8" s="2279"/>
      <c r="G8" s="2280"/>
    </row>
    <row r="9" spans="1:7" ht="35.25" customHeight="1" x14ac:dyDescent="0.25">
      <c r="A9" s="2275" t="s">
        <v>1931</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1930</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1972</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I46"/>
  <sheetViews>
    <sheetView showGridLines="0" defaultGridColor="0" colorId="8" zoomScale="110" zoomScaleNormal="110" workbookViewId="0">
      <selection activeCell="C1" sqref="C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f>'Revenues 9-14'!C198</f>
        <v>3580871</v>
      </c>
      <c r="F10" s="974"/>
      <c r="G10" s="975"/>
      <c r="H10" s="162"/>
      <c r="I10" s="162"/>
    </row>
    <row r="11" spans="1:9" s="668" customFormat="1" ht="22.5" customHeight="1" x14ac:dyDescent="0.2">
      <c r="A11" s="2286" t="s">
        <v>1973</v>
      </c>
      <c r="B11" s="2287"/>
      <c r="C11" s="2287"/>
      <c r="D11" s="2288"/>
      <c r="E11" s="977">
        <v>264475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37113294</v>
      </c>
      <c r="F19" s="1799"/>
      <c r="G19" s="1801">
        <f>'Expenditures 15-22'!K33-SUM('Expenditures 15-22'!G33,'Expenditures 15-22'!I33)+'Expenditures 15-22'!D229</f>
        <v>37113294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4001212</v>
      </c>
      <c r="F21" s="1802"/>
      <c r="G21" s="1805">
        <f>'Expenditures 15-22'!K42-SUM('Expenditures 15-22'!G42,'Expenditures 15-22'!I42)+'Expenditures 15-22'!K120-SUM('Expenditures 15-22'!G120,'Expenditures 15-22'!I120)+'Expenditures 15-22'!K180-SUM('Expenditures 15-22'!G180,'Expenditures 15-22'!I180)+'Expenditures 15-22'!D238</f>
        <v>4001212</v>
      </c>
      <c r="H21" s="987"/>
      <c r="I21" s="162"/>
    </row>
    <row r="22" spans="1:9" s="668" customFormat="1" ht="12" customHeight="1" x14ac:dyDescent="0.2">
      <c r="A22" s="994" t="s">
        <v>564</v>
      </c>
      <c r="B22" s="995"/>
      <c r="C22" s="993">
        <v>2200</v>
      </c>
      <c r="D22" s="1802"/>
      <c r="E22" s="1804">
        <f>'Expenditures 15-22'!K47-SUM('Expenditures 15-22'!G47,'Expenditures 15-22'!I47)+'Expenditures 15-22'!D243</f>
        <v>2509743</v>
      </c>
      <c r="F22" s="1802"/>
      <c r="G22" s="1805">
        <f>'Expenditures 15-22'!K47-SUM('Expenditures 15-22'!G47,'Expenditures 15-22'!I47)+'Expenditures 15-22'!D243</f>
        <v>2509743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2864083</v>
      </c>
      <c r="F23" s="1802"/>
      <c r="G23" s="1804">
        <f>'Expenditures 15-22'!K53-SUM('Expenditures 15-22'!G53,'Expenditures 15-22'!I53)+'Expenditures 15-22'!D257+'Expenditures 15-22'!K330-SUM('Expenditures 15-22'!G330,'Expenditures 15-22'!I330)</f>
        <v>2864083</v>
      </c>
      <c r="H23" s="987"/>
      <c r="I23" s="162"/>
    </row>
    <row r="24" spans="1:9" s="668" customFormat="1" ht="12" customHeight="1" x14ac:dyDescent="0.2">
      <c r="A24" s="994" t="s">
        <v>566</v>
      </c>
      <c r="B24" s="995"/>
      <c r="C24" s="993">
        <v>2400</v>
      </c>
      <c r="D24" s="1802"/>
      <c r="E24" s="1804">
        <f>'Expenditures 15-22'!K57-SUM('Expenditures 15-22'!G57,'Expenditures 15-22'!I57)+'Expenditures 15-22'!D261</f>
        <v>3194019</v>
      </c>
      <c r="F24" s="1802"/>
      <c r="G24" s="1805">
        <f>'Expenditures 15-22'!K57-SUM('Expenditures 15-22'!G57,'Expenditures 15-22'!I57)+'Expenditures 15-22'!D261</f>
        <v>3194019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101300</v>
      </c>
      <c r="E26" s="1804">
        <f>'Expenditures 15-22'!K122-SUM('Expenditures 15-22'!G122,'Expenditures 15-22'!I122)+E7</f>
        <v>0</v>
      </c>
      <c r="F26" s="1804">
        <f>'Expenditures 15-22'!K59-SUM('Expenditures 15-22'!G59,'Expenditures 15-22'!I59)+'Expenditures 15-22'!D263-E7</f>
        <v>101300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494643</v>
      </c>
      <c r="E27" s="1804">
        <f>E8</f>
        <v>0</v>
      </c>
      <c r="F27" s="1804">
        <f>'Expenditures 15-22'!K60-SUM('Expenditures 15-22'!G60,'Expenditures 15-22'!I60)+'Expenditures 15-22'!D264-E8</f>
        <v>494643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6775543</v>
      </c>
      <c r="F28" s="1806">
        <f>'Expenditures 15-22'!K61-SUM('Expenditures 15-22'!G61,'Expenditures 15-22'!I61)+'Expenditures 15-22'!K124-SUM('Expenditures 15-22'!G124,'Expenditures 15-22'!I124)+'Expenditures 15-22'!D266-E9</f>
        <v>6775543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4958245</v>
      </c>
      <c r="F29" s="1802"/>
      <c r="G29" s="1805">
        <f>'Expenditures 15-22'!K62-SUM('Expenditures 15-22'!G62,'Expenditures 15-22'!I62)+'Expenditures 15-22'!K125-SUM('Expenditures 15-22'!G125,'Expenditures 15-22'!I125)+'Expenditures 15-22'!K182-SUM('Expenditures 15-22'!G182,'Expenditures 15-22'!I182)+'Expenditures 15-22'!D267</f>
        <v>4958245</v>
      </c>
      <c r="H29" s="985"/>
    </row>
    <row r="30" spans="1:9" ht="12" customHeight="1" x14ac:dyDescent="0.2">
      <c r="A30" s="994" t="s">
        <v>100</v>
      </c>
      <c r="B30" s="997"/>
      <c r="C30" s="993">
        <v>2560</v>
      </c>
      <c r="D30" s="1802"/>
      <c r="E30" s="1804">
        <f>'Expenditures 15-22'!K63-SUM('Expenditures 15-22'!G63,'Expenditures 15-22'!I63)+'Expenditures 15-22'!D268-E10</f>
        <v>331076</v>
      </c>
      <c r="F30" s="1802"/>
      <c r="G30" s="1804">
        <f>'Expenditures 15-22'!K63-SUM('Expenditures 15-22'!G63,'Expenditures 15-22'!I63)+'Expenditures 15-22'!D268-E10</f>
        <v>331076</v>
      </c>
    </row>
    <row r="31" spans="1:9" ht="12" customHeight="1" x14ac:dyDescent="0.2">
      <c r="A31" s="994" t="s">
        <v>101</v>
      </c>
      <c r="B31" s="997"/>
      <c r="C31" s="993">
        <v>2570</v>
      </c>
      <c r="D31" s="1804">
        <f>'Expenditures 15-22'!K64-SUM('Expenditures 15-22'!G64,'Expenditures 15-22'!I64)+'Expenditures 15-22'!D269-E12</f>
        <v>33979</v>
      </c>
      <c r="E31" s="1804">
        <f>E12</f>
        <v>0</v>
      </c>
      <c r="F31" s="1804">
        <f>'Expenditures 15-22'!K64-SUM('Expenditures 15-22'!G64,'Expenditures 15-22'!I64)+'Expenditures 15-22'!D269-E12</f>
        <v>33979</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37618</v>
      </c>
      <c r="F35" s="1802"/>
      <c r="G35" s="1804">
        <f>'Expenditures 15-22'!K69-SUM('Expenditures 15-22'!G69,'Expenditures 15-22'!I69)+'Expenditures 15-22'!D274</f>
        <v>37618</v>
      </c>
    </row>
    <row r="36" spans="1:7" ht="12" customHeight="1" x14ac:dyDescent="0.2">
      <c r="A36" s="994" t="s">
        <v>403</v>
      </c>
      <c r="B36" s="997"/>
      <c r="C36" s="993">
        <v>2640</v>
      </c>
      <c r="D36" s="1804">
        <f>'Expenditures 15-22'!K70-SUM('Expenditures 15-22'!G70,'Expenditures 15-22'!I70)+'Expenditures 15-22'!D275-E13</f>
        <v>347691</v>
      </c>
      <c r="E36" s="1804">
        <f>E13</f>
        <v>0</v>
      </c>
      <c r="F36" s="1804">
        <f>'Expenditures 15-22'!K70-SUM('Expenditures 15-22'!G70,'Expenditures 15-22'!I70)+'Expenditures 15-22'!D275-E13</f>
        <v>347691</v>
      </c>
      <c r="G36" s="1804">
        <f>E13</f>
        <v>0</v>
      </c>
    </row>
    <row r="37" spans="1:7" ht="12" customHeight="1" x14ac:dyDescent="0.2">
      <c r="A37" s="994" t="s">
        <v>404</v>
      </c>
      <c r="B37" s="997"/>
      <c r="C37" s="993">
        <v>2660</v>
      </c>
      <c r="D37" s="1804">
        <f>'Expenditures 15-22'!K71-SUM('Expenditures 15-22'!G71,'Expenditures 15-22'!I71)+'Expenditures 15-22'!D276-E14</f>
        <v>1772418</v>
      </c>
      <c r="E37" s="1804">
        <f>E14</f>
        <v>0</v>
      </c>
      <c r="F37" s="1804">
        <f>'Expenditures 15-22'!K71-SUM('Expenditures 15-22'!G71,'Expenditures 15-22'!I71)+'Expenditures 15-22'!D276-E14</f>
        <v>1772418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20833</v>
      </c>
      <c r="F38" s="1802"/>
      <c r="G38" s="1804">
        <f>'Expenditures 15-22'!K73-SUM('Expenditures 15-22'!G73,'Expenditures 15-22'!I73)+'Expenditures 15-22'!K128-SUM('Expenditures 15-22'!G128,'Expenditures 15-22'!I128)+'Expenditures 15-22'!K183-SUM('Expenditures 15-22'!G183,'Expenditures 15-22'!I183)+'Expenditures 15-22'!D278</f>
        <v>20833</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1379709</v>
      </c>
      <c r="F39" s="1802"/>
      <c r="G39" s="1804">
        <f>'Expenditures 15-22'!K75-SUM('Expenditures 15-22'!G75,'Expenditures 15-22'!I75)+'Expenditures 15-22'!K130-SUM('Expenditures 15-22'!G130,'Expenditures 15-22'!I130)+'Expenditures 15-22'!K185-SUM('Expenditures 15-22'!G185,'Expenditures 15-22'!I185)+'Expenditures 15-22'!D280</f>
        <v>1379709</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2750031</v>
      </c>
      <c r="E41" s="1806">
        <f>SUM(E19:E40)</f>
        <v>63185375</v>
      </c>
      <c r="F41" s="1806">
        <f>SUM(F19:F39)</f>
        <v>9525574</v>
      </c>
      <c r="G41" s="1806">
        <f>SUM(G19:G40)</f>
        <v>56409832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2750031</v>
      </c>
      <c r="F43" s="1807" t="s">
        <v>473</v>
      </c>
      <c r="G43" s="1808">
        <f>F41</f>
        <v>9525574</v>
      </c>
    </row>
    <row r="44" spans="1:7" ht="12" customHeight="1" x14ac:dyDescent="0.2">
      <c r="A44" s="987"/>
      <c r="B44" s="162"/>
      <c r="C44" s="1001"/>
      <c r="D44" s="1807" t="s">
        <v>474</v>
      </c>
      <c r="E44" s="1808">
        <f>E41</f>
        <v>63185375</v>
      </c>
      <c r="F44" s="1807" t="s">
        <v>474</v>
      </c>
      <c r="G44" s="1808">
        <f>G41</f>
        <v>56409832</v>
      </c>
    </row>
    <row r="45" spans="1:7" ht="12" customHeight="1" x14ac:dyDescent="0.2">
      <c r="A45" s="987"/>
      <c r="B45" s="162"/>
      <c r="C45" s="162"/>
      <c r="D45" s="1809" t="s">
        <v>1006</v>
      </c>
      <c r="E45" s="1810">
        <f>(E43/E44)</f>
        <v>4.352322036547223E-2</v>
      </c>
      <c r="F45" s="1809" t="s">
        <v>1006</v>
      </c>
      <c r="G45" s="1810">
        <f>(G43/G44)</f>
        <v>0.16886371865103234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Danville CCSD 118</v>
      </c>
      <c r="D6" s="2307"/>
      <c r="E6" s="2307"/>
      <c r="F6" s="1852"/>
    </row>
    <row r="7" spans="1:10" ht="11.25" customHeight="1" thickBot="1" x14ac:dyDescent="0.3">
      <c r="A7" s="1850"/>
      <c r="B7" s="1851"/>
      <c r="C7" s="2308">
        <f>COVER!A13</f>
        <v>54092118024</v>
      </c>
      <c r="D7" s="2308"/>
      <c r="E7" s="2308"/>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2075</v>
      </c>
      <c r="D26" s="1865" t="s">
        <v>2075</v>
      </c>
      <c r="E26" s="1868"/>
      <c r="F26" s="1867" t="s">
        <v>2087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Danville CCSD 118</v>
      </c>
      <c r="J6" s="2317"/>
      <c r="Q6" s="1664"/>
    </row>
    <row r="7" spans="1:17" x14ac:dyDescent="0.2">
      <c r="A7" s="2318" t="s">
        <v>869</v>
      </c>
      <c r="B7" s="2319"/>
      <c r="C7" s="2319"/>
      <c r="D7" s="2319"/>
      <c r="E7" s="2320"/>
      <c r="F7" s="1017"/>
      <c r="G7" s="1009"/>
      <c r="H7" s="1016" t="s">
        <v>372</v>
      </c>
      <c r="I7" s="2321">
        <f>COVER!A13</f>
        <v>54092118024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417356</v>
      </c>
      <c r="F12" s="1039"/>
      <c r="G12" s="1811">
        <f t="shared" ref="G12:G18" si="0">SUM(E12:F12)</f>
        <v>417356</v>
      </c>
      <c r="H12" s="1040">
        <v>428324</v>
      </c>
      <c r="I12" s="1039"/>
      <c r="J12" s="1811">
        <f t="shared" ref="J12:J18" si="1">SUM(H12:I12)</f>
        <v>428324</v>
      </c>
    </row>
    <row r="13" spans="1:17" ht="15" customHeight="1" x14ac:dyDescent="0.2">
      <c r="A13" s="1035">
        <v>2</v>
      </c>
      <c r="B13" s="1036" t="s">
        <v>42</v>
      </c>
      <c r="C13" s="1037"/>
      <c r="D13" s="1038">
        <v>2330</v>
      </c>
      <c r="E13" s="1811">
        <f>'Expenditures 15-22'!K51</f>
        <v>338868</v>
      </c>
      <c r="F13" s="1039"/>
      <c r="G13" s="1811">
        <f t="shared" si="0"/>
        <v>338868</v>
      </c>
      <c r="H13" s="1040">
        <v>354639</v>
      </c>
      <c r="I13" s="1039"/>
      <c r="J13" s="1811">
        <f t="shared" si="1"/>
        <v>354639</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100104</v>
      </c>
      <c r="F15" s="1811">
        <f>'Expenditures 15-22'!K122</f>
        <v>0</v>
      </c>
      <c r="G15" s="1811">
        <f t="shared" si="0"/>
        <v>100104</v>
      </c>
      <c r="H15" s="1040">
        <v>103705</v>
      </c>
      <c r="I15" s="1040"/>
      <c r="J15" s="1811">
        <f t="shared" si="1"/>
        <v>103705</v>
      </c>
    </row>
    <row r="16" spans="1:17" ht="15" customHeight="1" x14ac:dyDescent="0.2">
      <c r="A16" s="1035">
        <v>5</v>
      </c>
      <c r="B16" s="1036" t="s">
        <v>101</v>
      </c>
      <c r="C16" s="1037"/>
      <c r="D16" s="1038">
        <v>2570</v>
      </c>
      <c r="E16" s="1811">
        <f>'Expenditures 15-22'!K64</f>
        <v>60524</v>
      </c>
      <c r="F16" s="1039"/>
      <c r="G16" s="1811">
        <f t="shared" si="0"/>
        <v>60524</v>
      </c>
      <c r="H16" s="1040">
        <v>72000</v>
      </c>
      <c r="I16" s="1039"/>
      <c r="J16" s="1811">
        <f t="shared" si="1"/>
        <v>72000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916852</v>
      </c>
      <c r="F19" s="1813">
        <f t="shared" si="2"/>
        <v>0</v>
      </c>
      <c r="G19" s="1813">
        <f t="shared" si="2"/>
        <v>916852</v>
      </c>
      <c r="H19" s="1813">
        <f t="shared" si="2"/>
        <v>958668</v>
      </c>
      <c r="I19" s="1813">
        <f t="shared" si="2"/>
        <v>0</v>
      </c>
      <c r="J19" s="1813">
        <f t="shared" si="2"/>
        <v>958668</v>
      </c>
    </row>
    <row r="20" spans="1:10" ht="13.5" thickTop="1" x14ac:dyDescent="0.2">
      <c r="A20" s="1035">
        <v>9</v>
      </c>
      <c r="B20" s="2328" t="s">
        <v>1977</v>
      </c>
      <c r="C20" s="2328"/>
      <c r="D20" s="2329"/>
      <c r="E20" s="1046"/>
      <c r="F20" s="1046"/>
      <c r="G20" s="1046"/>
      <c r="H20" s="1046"/>
      <c r="I20" s="1046"/>
      <c r="J20" s="1814">
        <f>IF(AND(G19&gt;0,J19&gt;0),(((J19-G19)/G19)),"Enter Budget Data")</f>
        <v>4.5608233389903712E-2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1979</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674" t="s">
        <v>2122</v>
      </c>
    </row>
    <row r="6" spans="1:2" x14ac:dyDescent="0.2">
      <c r="A6" s="1068">
        <v>2</v>
      </c>
      <c r="B6" s="329" t="s">
        <v>2119</v>
      </c>
    </row>
    <row r="7" spans="1:2" x14ac:dyDescent="0.2">
      <c r="A7" s="1068">
        <v>3</v>
      </c>
      <c r="B7" s="329" t="s">
        <v>2120</v>
      </c>
    </row>
    <row r="8" spans="1:2" x14ac:dyDescent="0.2">
      <c r="A8" s="1068">
        <v>4</v>
      </c>
      <c r="B8" s="329" t="s">
        <v>2121</v>
      </c>
    </row>
    <row r="9" spans="1:2" x14ac:dyDescent="0.2">
      <c r="A9" s="1068">
        <v>5</v>
      </c>
      <c r="B9" s="674" t="s">
        <v>2132</v>
      </c>
    </row>
    <row r="10" spans="1:2" x14ac:dyDescent="0.2">
      <c r="A10" s="1068">
        <v>6</v>
      </c>
      <c r="B10" s="674" t="s">
        <v>2123</v>
      </c>
    </row>
    <row r="11" spans="1:2" x14ac:dyDescent="0.2">
      <c r="A11" s="1068">
        <v>7</v>
      </c>
      <c r="B11" s="674" t="s">
        <v>2124</v>
      </c>
    </row>
    <row r="12" spans="1:2" x14ac:dyDescent="0.2">
      <c r="A12" s="1068">
        <v>8</v>
      </c>
      <c r="B12" s="329" t="s">
        <v>2184</v>
      </c>
    </row>
    <row r="13" spans="1:2" x14ac:dyDescent="0.2">
      <c r="A13" s="1068">
        <v>9</v>
      </c>
      <c r="B13" s="329" t="s">
        <v>2185</v>
      </c>
    </row>
    <row r="14" spans="1:2" x14ac:dyDescent="0.2">
      <c r="A14" s="1068">
        <v>10</v>
      </c>
      <c r="B14" s="329" t="s">
        <v>2125</v>
      </c>
    </row>
    <row r="15" spans="1:2" x14ac:dyDescent="0.2">
      <c r="A15" s="1068">
        <v>11</v>
      </c>
      <c r="B15" s="329" t="s">
        <v>2126</v>
      </c>
    </row>
    <row r="16" spans="1:2" x14ac:dyDescent="0.2">
      <c r="A16" s="1068">
        <v>12</v>
      </c>
      <c r="B16" s="329" t="s">
        <v>2127</v>
      </c>
    </row>
    <row r="17" spans="1:2" x14ac:dyDescent="0.2">
      <c r="A17" s="1068">
        <v>13</v>
      </c>
      <c r="B17" s="329" t="s">
        <v>2128</v>
      </c>
    </row>
    <row r="18" spans="1:2" x14ac:dyDescent="0.2">
      <c r="A18" s="1068">
        <v>14</v>
      </c>
      <c r="B18" s="329" t="s">
        <v>2129</v>
      </c>
    </row>
    <row r="19" spans="1:2" x14ac:dyDescent="0.2">
      <c r="A19" s="1068"/>
      <c r="B19" s="329" t="s">
        <v>2130</v>
      </c>
    </row>
    <row r="20" spans="1:2" x14ac:dyDescent="0.2">
      <c r="A20" s="1068">
        <v>15</v>
      </c>
      <c r="B20" s="329" t="s">
        <v>2131</v>
      </c>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Danville CCSD 118</v>
      </c>
    </row>
    <row r="64" spans="1:2" x14ac:dyDescent="0.2">
      <c r="B64" s="1070">
        <f>COVER!A13</f>
        <v>54092118024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colorId="8" zoomScale="110" zoomScaleNormal="110" workbookViewId="0">
      <selection activeCell="A2" sqref="A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1085850</xdr:colOff>
                <xdr:row>2</xdr:row>
                <xdr:rowOff>152400</xdr:rowOff>
              </from>
              <to>
                <xdr:col>1</xdr:col>
                <xdr:colOff>2000250</xdr:colOff>
                <xdr:row>7</xdr:row>
                <xdr:rowOff>28575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2190750</xdr:colOff>
                <xdr:row>2</xdr:row>
                <xdr:rowOff>152400</xdr:rowOff>
              </from>
              <to>
                <xdr:col>1</xdr:col>
                <xdr:colOff>3105150</xdr:colOff>
                <xdr:row>7</xdr:row>
                <xdr:rowOff>28575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3305175</xdr:colOff>
                <xdr:row>2</xdr:row>
                <xdr:rowOff>142875</xdr:rowOff>
              </from>
              <to>
                <xdr:col>2</xdr:col>
                <xdr:colOff>238125</xdr:colOff>
                <xdr:row>7</xdr:row>
                <xdr:rowOff>19050</xdr:rowOff>
              </to>
            </anchor>
          </objectPr>
        </oleObject>
      </mc:Choice>
      <mc:Fallback>
        <oleObject progId="Acrobat Document" dvAspect="DVASPECT_ICON" shapeId="36868"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1983</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1984</v>
      </c>
      <c r="B4" s="2356"/>
      <c r="C4" s="2356"/>
      <c r="D4" s="2356"/>
      <c r="E4" s="2356"/>
      <c r="F4" s="2357"/>
      <c r="G4" s="1074"/>
      <c r="H4" s="1074"/>
    </row>
    <row r="5" spans="1:8" ht="14.25" customHeight="1" x14ac:dyDescent="0.2">
      <c r="A5" s="2358" t="s">
        <v>1980</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61368389</v>
      </c>
      <c r="C8" s="1815">
        <f>'Acct Summary 7-8'!D8</f>
        <v>3359249</v>
      </c>
      <c r="D8" s="1815">
        <f>'Acct Summary 7-8'!F8</f>
        <v>4957415</v>
      </c>
      <c r="E8" s="1815">
        <f>'Acct Summary 7-8'!I8</f>
        <v>227446</v>
      </c>
      <c r="F8" s="1815">
        <f>SUM(B8:E8)</f>
        <v>69912499</v>
      </c>
    </row>
    <row r="9" spans="1:8" s="1079" customFormat="1" ht="14.25" customHeight="1" thickBot="1" x14ac:dyDescent="0.25">
      <c r="A9" s="1078" t="s">
        <v>1369</v>
      </c>
      <c r="B9" s="1816">
        <f>'Acct Summary 7-8'!C17</f>
        <v>60983867</v>
      </c>
      <c r="C9" s="1816">
        <f>'Acct Summary 7-8'!D17</f>
        <v>4359195</v>
      </c>
      <c r="D9" s="1816">
        <f>'Acct Summary 7-8'!F17</f>
        <v>5020688</v>
      </c>
      <c r="E9" s="1815"/>
      <c r="F9" s="1815">
        <f>SUM(B9:E9)</f>
        <v>70363750</v>
      </c>
    </row>
    <row r="10" spans="1:8" s="1079" customFormat="1" ht="14.25" thickTop="1" thickBot="1" x14ac:dyDescent="0.25">
      <c r="A10" s="1080" t="s">
        <v>1370</v>
      </c>
      <c r="B10" s="1817">
        <f>(B8-B9)</f>
        <v>384522</v>
      </c>
      <c r="C10" s="1817">
        <f>(C8-C9)</f>
        <v>-999946</v>
      </c>
      <c r="D10" s="1817">
        <f>(D8-D9)</f>
        <v>-63273</v>
      </c>
      <c r="E10" s="1816">
        <f>(E8-E9)</f>
        <v>227446</v>
      </c>
      <c r="F10" s="1818">
        <f>SUM(F8-F9)</f>
        <v>-451251</v>
      </c>
    </row>
    <row r="11" spans="1:8" s="1079" customFormat="1" ht="14.25" thickTop="1" thickBot="1" x14ac:dyDescent="0.25">
      <c r="A11" s="1081" t="s">
        <v>1981</v>
      </c>
      <c r="B11" s="1819">
        <f>'Acct Summary 7-8'!C81</f>
        <v>20438636</v>
      </c>
      <c r="C11" s="1819">
        <f>'Acct Summary 7-8'!D81</f>
        <v>3181305</v>
      </c>
      <c r="D11" s="1819">
        <f>'Acct Summary 7-8'!F81</f>
        <v>2974385</v>
      </c>
      <c r="E11" s="1819">
        <f>'Acct Summary 7-8'!I81</f>
        <v>3107026</v>
      </c>
      <c r="F11" s="1820">
        <f>SUM(B11:E11)</f>
        <v>29701352</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71" colorId="8" zoomScale="110" zoomScaleNormal="110" workbookViewId="0">
      <selection activeCell="A3" sqref="A3:D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54092118024</v>
      </c>
    </row>
    <row r="3" spans="1:2" x14ac:dyDescent="0.2">
      <c r="A3" t="s">
        <v>956</v>
      </c>
      <c r="B3" s="138" t="str">
        <f>COVER!A15</f>
        <v>Vermilion</v>
      </c>
    </row>
    <row r="4" spans="1:2" x14ac:dyDescent="0.2">
      <c r="A4" t="s">
        <v>1007</v>
      </c>
      <c r="B4" s="138" t="str">
        <f>COVER!A17</f>
        <v>Danville CCSD 118</v>
      </c>
    </row>
    <row r="5" spans="1:2" x14ac:dyDescent="0.2">
      <c r="A5" t="s">
        <v>704</v>
      </c>
      <c r="B5" s="138" t="str">
        <f>COVER!A38</f>
        <v>Dr. Alicia Geddis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066-004450</v>
      </c>
    </row>
    <row r="16" spans="1:2" x14ac:dyDescent="0.2">
      <c r="A16" t="s">
        <v>422</v>
      </c>
      <c r="B16" s="138" t="str">
        <f>COVER!T13</f>
        <v>CliftonLarsonAllen LLP</v>
      </c>
    </row>
    <row r="17" spans="1:2" x14ac:dyDescent="0.2">
      <c r="A17" t="s">
        <v>884</v>
      </c>
      <c r="B17" s="138" t="str">
        <f>COVER!T15</f>
        <v>Hope Wheeler</v>
      </c>
    </row>
    <row r="18" spans="1:2" x14ac:dyDescent="0.2">
      <c r="A18" t="s">
        <v>1150</v>
      </c>
      <c r="B18" s="138" t="str">
        <f>COVER!T17</f>
        <v>2 East Main Street, Suite 120</v>
      </c>
    </row>
    <row r="19" spans="1:2" x14ac:dyDescent="0.2">
      <c r="A19" t="s">
        <v>886</v>
      </c>
      <c r="B19" s="138" t="str">
        <f>COVER!T25</f>
        <v>hope.wheeler@claconnect.com</v>
      </c>
    </row>
    <row r="20" spans="1:2" x14ac:dyDescent="0.2">
      <c r="A20" t="s">
        <v>887</v>
      </c>
      <c r="B20" s="138" t="str">
        <f>COVER!T19</f>
        <v>Danville</v>
      </c>
    </row>
    <row r="21" spans="1:2" x14ac:dyDescent="0.2">
      <c r="A21" t="s">
        <v>479</v>
      </c>
      <c r="B21" s="138" t="str">
        <f>COVER!X19</f>
        <v>IL</v>
      </c>
    </row>
    <row r="22" spans="1:2" x14ac:dyDescent="0.2">
      <c r="A22" t="s">
        <v>888</v>
      </c>
      <c r="B22" s="138">
        <f>COVER!Z19</f>
        <v>61832</v>
      </c>
    </row>
    <row r="23" spans="1:2" x14ac:dyDescent="0.2">
      <c r="A23" t="s">
        <v>1152</v>
      </c>
      <c r="B23" s="138" t="str">
        <f>COVER!T21</f>
        <v>217-442-1643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9485324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217275</v>
      </c>
      <c r="D72" s="2" t="str">
        <f t="shared" si="0"/>
        <v>Error?</v>
      </c>
    </row>
    <row r="73" spans="1:4" x14ac:dyDescent="0.2">
      <c r="A73" s="5">
        <v>12</v>
      </c>
      <c r="B73" s="138">
        <f>'Assets-Liab 5-6'!C5</f>
        <v>18558697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34605663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9722082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14167027</v>
      </c>
      <c r="C91" s="2" t="s">
        <v>573</v>
      </c>
      <c r="D91" s="2" t="str">
        <f t="shared" si="0"/>
        <v>Error?</v>
      </c>
    </row>
    <row r="92" spans="1:4" x14ac:dyDescent="0.2">
      <c r="A92" s="5">
        <v>31</v>
      </c>
      <c r="B92" s="138">
        <f>'Assets-Liab 5-6'!C39</f>
        <v>18463636</v>
      </c>
      <c r="D92" s="2" t="str">
        <f t="shared" si="0"/>
        <v>Error?</v>
      </c>
    </row>
    <row r="93" spans="1:4" x14ac:dyDescent="0.2">
      <c r="A93" s="5">
        <v>32</v>
      </c>
      <c r="B93" s="138">
        <f>'Assets-Liab 5-6'!C41</f>
        <v>34605663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1687780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3599499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5295642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1687780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2114337</v>
      </c>
      <c r="C122" s="2" t="s">
        <v>573</v>
      </c>
      <c r="D122" s="2" t="str">
        <f t="shared" si="0"/>
        <v>Error?</v>
      </c>
    </row>
    <row r="123" spans="1:4" x14ac:dyDescent="0.2">
      <c r="A123" s="5">
        <v>62</v>
      </c>
      <c r="B123" s="138">
        <f>'Assets-Liab 5-6'!D39</f>
        <v>3181305</v>
      </c>
      <c r="D123" s="2" t="str">
        <f t="shared" si="0"/>
        <v>Error?</v>
      </c>
    </row>
    <row r="124" spans="1:4" x14ac:dyDescent="0.2">
      <c r="A124" s="5">
        <v>63</v>
      </c>
      <c r="B124" s="138">
        <f>'Assets-Liab 5-6'!D41</f>
        <v>5295642</v>
      </c>
      <c r="C124" s="2" t="s">
        <v>573</v>
      </c>
      <c r="D124" s="2" t="str">
        <f t="shared" si="0"/>
        <v>Error?</v>
      </c>
    </row>
    <row r="125" spans="1:4" x14ac:dyDescent="0.2">
      <c r="A125" s="10">
        <v>64</v>
      </c>
      <c r="D125" s="2" t="str">
        <f t="shared" si="0"/>
        <v>OK</v>
      </c>
    </row>
    <row r="126" spans="1:4" x14ac:dyDescent="0.2">
      <c r="A126" s="5">
        <v>65</v>
      </c>
      <c r="B126" s="138">
        <f>'Assets-Liab 5-6'!E6</f>
        <v>2236207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v>
      </c>
      <c r="D129" s="2" t="str">
        <f t="shared" si="1"/>
        <v>Error?</v>
      </c>
    </row>
    <row r="130" spans="1:4" x14ac:dyDescent="0.2">
      <c r="A130" s="5">
        <v>69</v>
      </c>
      <c r="B130" s="138">
        <f>'Assets-Liab 5-6'!E12</f>
        <v>0</v>
      </c>
      <c r="D130" s="2" t="str">
        <f t="shared" si="1"/>
        <v>Error?</v>
      </c>
    </row>
    <row r="131" spans="1:4" x14ac:dyDescent="0.2">
      <c r="A131" s="5">
        <v>70</v>
      </c>
      <c r="B131" s="138">
        <f>'Assets-Liab 5-6'!E13</f>
        <v>2586727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2236207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2236207</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2586727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675112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2244032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4032812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675112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1058427</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4032812</v>
      </c>
      <c r="C171" s="2" t="s">
        <v>573</v>
      </c>
      <c r="D171" s="2" t="str">
        <f t="shared" si="1"/>
        <v>Error?</v>
      </c>
    </row>
    <row r="172" spans="1:4" x14ac:dyDescent="0.2">
      <c r="A172" s="10">
        <v>111</v>
      </c>
      <c r="D172" s="2" t="str">
        <f t="shared" si="1"/>
        <v>OK</v>
      </c>
    </row>
    <row r="173" spans="1:4" x14ac:dyDescent="0.2">
      <c r="A173" s="5">
        <v>112</v>
      </c>
      <c r="B173" s="138">
        <f>'Assets-Liab 5-6'!G6</f>
        <v>2433002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1645324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4232739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2433002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2531047</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4232739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760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2423798</v>
      </c>
      <c r="D273" s="2" t="str">
        <f t="shared" si="3"/>
        <v>Error?</v>
      </c>
    </row>
    <row r="274" spans="1:4" x14ac:dyDescent="0.2">
      <c r="A274" s="5">
        <v>213</v>
      </c>
      <c r="B274" s="138">
        <f>'Assets-Liab 5-6'!M17</f>
        <v>47857738</v>
      </c>
      <c r="D274" s="2" t="str">
        <f t="shared" si="3"/>
        <v>Error?</v>
      </c>
    </row>
    <row r="275" spans="1:4" x14ac:dyDescent="0.2">
      <c r="A275" s="5">
        <v>214</v>
      </c>
      <c r="B275" s="138">
        <f>'Assets-Liab 5-6'!M18</f>
        <v>0</v>
      </c>
      <c r="D275" s="2" t="str">
        <f t="shared" si="3"/>
        <v>Error?</v>
      </c>
    </row>
    <row r="276" spans="1:4" x14ac:dyDescent="0.2">
      <c r="A276" s="5">
        <v>215</v>
      </c>
      <c r="B276" s="138">
        <f>'Assets-Liab 5-6'!M19</f>
        <v>875893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53248404</v>
      </c>
      <c r="C279" s="2" t="s">
        <v>573</v>
      </c>
      <c r="D279" s="2" t="str">
        <f t="shared" si="3"/>
        <v>Error?</v>
      </c>
    </row>
    <row r="280" spans="1:4" x14ac:dyDescent="0.2">
      <c r="A280" s="5">
        <v>219</v>
      </c>
      <c r="B280" s="138">
        <f>'Assets-Liab 5-6'!M40</f>
        <v>53248404</v>
      </c>
      <c r="D280" s="2" t="str">
        <f t="shared" si="3"/>
        <v>Error?</v>
      </c>
    </row>
    <row r="281" spans="1:4" x14ac:dyDescent="0.2">
      <c r="A281" s="5">
        <v>220</v>
      </c>
      <c r="B281" s="138">
        <f>'Assets-Liab 5-6'!M41</f>
        <v>53248404</v>
      </c>
      <c r="C281" s="2" t="s">
        <v>573</v>
      </c>
      <c r="D281" s="2" t="str">
        <f t="shared" si="3"/>
        <v>Error?</v>
      </c>
    </row>
    <row r="282" spans="1:4" x14ac:dyDescent="0.2">
      <c r="A282" s="5">
        <v>221</v>
      </c>
      <c r="B282" s="138">
        <f>'Assets-Liab 5-6'!N21</f>
        <v>350520</v>
      </c>
      <c r="D282" s="2" t="str">
        <f t="shared" si="3"/>
        <v>Error?</v>
      </c>
    </row>
    <row r="283" spans="1:4" x14ac:dyDescent="0.2">
      <c r="A283" s="5">
        <v>222</v>
      </c>
      <c r="B283" s="138">
        <f>'Assets-Liab 5-6'!N22</f>
        <v>30796161</v>
      </c>
      <c r="D283" s="2" t="str">
        <f t="shared" si="3"/>
        <v>Error?</v>
      </c>
    </row>
    <row r="284" spans="1:4" x14ac:dyDescent="0.2">
      <c r="A284" s="5">
        <v>223</v>
      </c>
      <c r="B284" s="138">
        <f>'Assets-Liab 5-6'!N23</f>
        <v>31146681</v>
      </c>
      <c r="C284" s="2" t="s">
        <v>573</v>
      </c>
      <c r="D284" s="2" t="str">
        <f t="shared" si="3"/>
        <v>Error?</v>
      </c>
    </row>
    <row r="285" spans="1:4" x14ac:dyDescent="0.2">
      <c r="A285" s="5">
        <v>224</v>
      </c>
      <c r="B285" s="138">
        <f>'Assets-Liab 5-6'!N36</f>
        <v>31146681</v>
      </c>
      <c r="D285" s="2" t="str">
        <f t="shared" si="3"/>
        <v>Error?</v>
      </c>
    </row>
    <row r="286" spans="1:4" x14ac:dyDescent="0.2">
      <c r="A286" s="10">
        <v>225</v>
      </c>
      <c r="D286" s="2" t="str">
        <f t="shared" si="3"/>
        <v>OK</v>
      </c>
    </row>
    <row r="287" spans="1:4" x14ac:dyDescent="0.2">
      <c r="A287" s="5">
        <v>226</v>
      </c>
      <c r="B287" s="138">
        <f>'Assets-Liab 5-6'!N37</f>
        <v>31146681</v>
      </c>
      <c r="C287" s="2" t="s">
        <v>573</v>
      </c>
      <c r="D287" s="2" t="str">
        <f t="shared" si="3"/>
        <v>Error?</v>
      </c>
    </row>
    <row r="288" spans="1:4" x14ac:dyDescent="0.2">
      <c r="A288" s="5">
        <v>227</v>
      </c>
      <c r="B288" s="138">
        <f>'Assets-Liab 5-6'!N41</f>
        <v>31146681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19763607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29534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121</v>
      </c>
      <c r="D717" s="2" t="str">
        <f t="shared" si="10"/>
        <v>Error?</v>
      </c>
    </row>
    <row r="718" spans="1:4" x14ac:dyDescent="0.2">
      <c r="A718" s="5">
        <v>657</v>
      </c>
      <c r="B718" s="138">
        <f>'Expenditures 15-22'!C14</f>
        <v>501896</v>
      </c>
      <c r="D718" s="2" t="str">
        <f t="shared" si="10"/>
        <v>Error?</v>
      </c>
    </row>
    <row r="719" spans="1:4" x14ac:dyDescent="0.2">
      <c r="A719" s="5">
        <v>658</v>
      </c>
      <c r="B719" s="138">
        <f>'Expenditures 15-22'!C15</f>
        <v>73326</v>
      </c>
      <c r="D719" s="2" t="str">
        <f t="shared" si="10"/>
        <v>Error?</v>
      </c>
    </row>
    <row r="720" spans="1:4" x14ac:dyDescent="0.2">
      <c r="A720" s="5">
        <v>659</v>
      </c>
      <c r="B720" s="138">
        <f>'Expenditures 15-22'!C33</f>
        <v>26502779</v>
      </c>
      <c r="C720" s="2" t="s">
        <v>573</v>
      </c>
      <c r="D720" s="2" t="str">
        <f t="shared" si="10"/>
        <v>Error?</v>
      </c>
    </row>
    <row r="721" spans="1:4" x14ac:dyDescent="0.2">
      <c r="A721" s="5">
        <v>660</v>
      </c>
      <c r="B721" s="138">
        <f>'Expenditures 15-22'!C36</f>
        <v>871574</v>
      </c>
      <c r="D721" s="2" t="str">
        <f t="shared" si="10"/>
        <v>Error?</v>
      </c>
    </row>
    <row r="722" spans="1:4" x14ac:dyDescent="0.2">
      <c r="A722" s="5">
        <v>661</v>
      </c>
      <c r="B722" s="138">
        <f>'Expenditures 15-22'!C37</f>
        <v>461255</v>
      </c>
      <c r="D722" s="2" t="str">
        <f t="shared" si="10"/>
        <v>Error?</v>
      </c>
    </row>
    <row r="723" spans="1:4" x14ac:dyDescent="0.2">
      <c r="A723" s="5">
        <v>662</v>
      </c>
      <c r="B723" s="138">
        <f>'Expenditures 15-22'!C38</f>
        <v>523626</v>
      </c>
      <c r="D723" s="2" t="str">
        <f t="shared" si="10"/>
        <v>Error?</v>
      </c>
    </row>
    <row r="724" spans="1:4" x14ac:dyDescent="0.2">
      <c r="A724" s="5">
        <v>663</v>
      </c>
      <c r="B724" s="138">
        <f>'Expenditures 15-22'!C39</f>
        <v>322534</v>
      </c>
      <c r="D724" s="2" t="str">
        <f t="shared" si="10"/>
        <v>Error?</v>
      </c>
    </row>
    <row r="725" spans="1:4" x14ac:dyDescent="0.2">
      <c r="A725" s="5">
        <v>664</v>
      </c>
      <c r="B725" s="138">
        <f>'Expenditures 15-22'!C40</f>
        <v>513963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2692952</v>
      </c>
      <c r="C727" s="2" t="s">
        <v>573</v>
      </c>
      <c r="D727" s="2" t="str">
        <f t="shared" si="10"/>
        <v>Error?</v>
      </c>
    </row>
    <row r="728" spans="1:4" x14ac:dyDescent="0.2">
      <c r="A728" s="5">
        <v>667</v>
      </c>
      <c r="B728" s="138">
        <f>'Expenditures 15-22'!C44</f>
        <v>1003553</v>
      </c>
      <c r="D728" s="2" t="str">
        <f t="shared" si="10"/>
        <v>Error?</v>
      </c>
    </row>
    <row r="729" spans="1:4" x14ac:dyDescent="0.2">
      <c r="A729" s="5">
        <v>668</v>
      </c>
      <c r="B729" s="138">
        <f>'Expenditures 15-22'!C45</f>
        <v>392616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1396169</v>
      </c>
      <c r="C731" s="2" t="s">
        <v>573</v>
      </c>
      <c r="D731" s="2" t="str">
        <f t="shared" si="10"/>
        <v>Error?</v>
      </c>
    </row>
    <row r="732" spans="1:4" x14ac:dyDescent="0.2">
      <c r="A732" s="5">
        <v>671</v>
      </c>
      <c r="B732" s="138">
        <f>'Expenditures 15-22'!C49</f>
        <v>177848</v>
      </c>
      <c r="D732" s="2" t="str">
        <f t="shared" si="10"/>
        <v>Error?</v>
      </c>
    </row>
    <row r="733" spans="1:4" x14ac:dyDescent="0.2">
      <c r="A733" s="5">
        <v>672</v>
      </c>
      <c r="B733" s="138">
        <f>'Expenditures 15-22'!C50</f>
        <v>329941</v>
      </c>
      <c r="D733" s="2" t="str">
        <f t="shared" si="10"/>
        <v>Error?</v>
      </c>
    </row>
    <row r="734" spans="1:4" x14ac:dyDescent="0.2">
      <c r="A734" s="5">
        <v>673</v>
      </c>
      <c r="B734" s="138">
        <f>'Expenditures 15-22'!C53</f>
        <v>778019</v>
      </c>
      <c r="C734" s="2" t="s">
        <v>573</v>
      </c>
      <c r="D734" s="2" t="str">
        <f t="shared" si="10"/>
        <v>Error?</v>
      </c>
    </row>
    <row r="735" spans="1:4" x14ac:dyDescent="0.2">
      <c r="A735" s="5">
        <v>674</v>
      </c>
      <c r="B735" s="138">
        <f>'Expenditures 15-22'!C55</f>
        <v>2463522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2463522</v>
      </c>
      <c r="C737" s="2" t="s">
        <v>573</v>
      </c>
      <c r="D737" s="2" t="str">
        <f t="shared" si="10"/>
        <v>Error?</v>
      </c>
    </row>
    <row r="738" spans="1:4" x14ac:dyDescent="0.2">
      <c r="A738" s="5">
        <v>677</v>
      </c>
      <c r="B738" s="138">
        <f>'Expenditures 15-22'!C59</f>
        <v>82500</v>
      </c>
      <c r="D738" s="2" t="str">
        <f t="shared" si="10"/>
        <v>Error?</v>
      </c>
    </row>
    <row r="739" spans="1:4" x14ac:dyDescent="0.2">
      <c r="A739" s="5">
        <v>678</v>
      </c>
      <c r="B739" s="138">
        <f>'Expenditures 15-22'!C60</f>
        <v>357647</v>
      </c>
      <c r="D739" s="2" t="str">
        <f t="shared" si="10"/>
        <v>Error?</v>
      </c>
    </row>
    <row r="740" spans="1:4" x14ac:dyDescent="0.2">
      <c r="A740" s="5">
        <v>679</v>
      </c>
      <c r="B740" s="138">
        <f>'Expenditures 15-22'!C61</f>
        <v>877396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1356439</v>
      </c>
      <c r="D742" s="2" t="str">
        <f t="shared" si="10"/>
        <v>Error?</v>
      </c>
    </row>
    <row r="743" spans="1:4" x14ac:dyDescent="0.2">
      <c r="A743" s="5">
        <v>682</v>
      </c>
      <c r="B743" s="138">
        <f>'Expenditures 15-22'!C64</f>
        <v>15694</v>
      </c>
      <c r="D743" s="2" t="str">
        <f t="shared" si="10"/>
        <v>Error?</v>
      </c>
    </row>
    <row r="744" spans="1:4" x14ac:dyDescent="0.2">
      <c r="A744" s="10">
        <v>683</v>
      </c>
      <c r="D744" s="2" t="str">
        <f t="shared" si="10"/>
        <v>OK</v>
      </c>
    </row>
    <row r="745" spans="1:4" x14ac:dyDescent="0.2">
      <c r="A745" s="5">
        <v>684</v>
      </c>
      <c r="B745" s="138">
        <f>'Expenditures 15-22'!C65</f>
        <v>2689676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256418</v>
      </c>
      <c r="D749" s="2" t="str">
        <f t="shared" si="10"/>
        <v>Error?</v>
      </c>
    </row>
    <row r="750" spans="1:4" x14ac:dyDescent="0.2">
      <c r="A750" s="10">
        <v>689</v>
      </c>
      <c r="D750" s="2" t="str">
        <f t="shared" si="10"/>
        <v>OK</v>
      </c>
    </row>
    <row r="751" spans="1:4" x14ac:dyDescent="0.2">
      <c r="A751" s="5">
        <v>690</v>
      </c>
      <c r="B751" s="138">
        <f>'Expenditures 15-22'!C71</f>
        <v>541336</v>
      </c>
      <c r="D751" s="2" t="str">
        <f t="shared" si="10"/>
        <v>Error?</v>
      </c>
    </row>
    <row r="752" spans="1:4" x14ac:dyDescent="0.2">
      <c r="A752" s="10">
        <v>691</v>
      </c>
      <c r="D752" s="2" t="str">
        <f t="shared" si="10"/>
        <v>OK</v>
      </c>
    </row>
    <row r="753" spans="1:4" x14ac:dyDescent="0.2">
      <c r="A753" s="5">
        <v>692</v>
      </c>
      <c r="B753" s="138">
        <f>'Expenditures 15-22'!C72</f>
        <v>797754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10818092</v>
      </c>
      <c r="C755" s="2" t="s">
        <v>573</v>
      </c>
      <c r="D755" s="2" t="str">
        <f t="shared" si="10"/>
        <v>Error?</v>
      </c>
    </row>
    <row r="756" spans="1:4" x14ac:dyDescent="0.2">
      <c r="A756" s="5">
        <v>695</v>
      </c>
      <c r="B756" s="138">
        <f>'Expenditures 15-22'!C75</f>
        <v>907215</v>
      </c>
      <c r="D756" s="2" t="str">
        <f t="shared" si="10"/>
        <v>Error?</v>
      </c>
    </row>
    <row r="757" spans="1:4" x14ac:dyDescent="0.2">
      <c r="A757" s="5">
        <v>696</v>
      </c>
      <c r="B757" s="138">
        <f>'Expenditures 15-22'!C114</f>
        <v>38228086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4915113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5468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49119</v>
      </c>
      <c r="D776" s="2" t="str">
        <f t="shared" si="11"/>
        <v>Error?</v>
      </c>
    </row>
    <row r="777" spans="1:4" x14ac:dyDescent="0.2">
      <c r="A777" s="5">
        <v>716</v>
      </c>
      <c r="B777" s="138">
        <f>'Expenditures 15-22'!D15</f>
        <v>4766</v>
      </c>
      <c r="D777" s="2" t="str">
        <f t="shared" si="11"/>
        <v>Error?</v>
      </c>
    </row>
    <row r="778" spans="1:4" x14ac:dyDescent="0.2">
      <c r="A778" s="5">
        <v>717</v>
      </c>
      <c r="B778" s="138">
        <f>'Expenditures 15-22'!D33</f>
        <v>6478851</v>
      </c>
      <c r="C778" s="2" t="s">
        <v>573</v>
      </c>
      <c r="D778" s="2" t="str">
        <f t="shared" si="11"/>
        <v>Error?</v>
      </c>
    </row>
    <row r="779" spans="1:4" x14ac:dyDescent="0.2">
      <c r="A779" s="5">
        <v>718</v>
      </c>
      <c r="B779" s="138">
        <f>'Expenditures 15-22'!D36</f>
        <v>201051</v>
      </c>
      <c r="D779" s="2" t="str">
        <f t="shared" si="11"/>
        <v>Error?</v>
      </c>
    </row>
    <row r="780" spans="1:4" x14ac:dyDescent="0.2">
      <c r="A780" s="5">
        <v>719</v>
      </c>
      <c r="B780" s="138">
        <f>'Expenditures 15-22'!D37</f>
        <v>132343</v>
      </c>
      <c r="D780" s="2" t="str">
        <f t="shared" si="11"/>
        <v>Error?</v>
      </c>
    </row>
    <row r="781" spans="1:4" x14ac:dyDescent="0.2">
      <c r="A781" s="5">
        <v>720</v>
      </c>
      <c r="B781" s="138">
        <f>'Expenditures 15-22'!D38</f>
        <v>59116</v>
      </c>
      <c r="D781" s="2" t="str">
        <f t="shared" si="11"/>
        <v>Error?</v>
      </c>
    </row>
    <row r="782" spans="1:4" x14ac:dyDescent="0.2">
      <c r="A782" s="5">
        <v>721</v>
      </c>
      <c r="B782" s="138">
        <f>'Expenditures 15-22'!D39</f>
        <v>68703</v>
      </c>
      <c r="D782" s="2" t="str">
        <f t="shared" si="11"/>
        <v>Error?</v>
      </c>
    </row>
    <row r="783" spans="1:4" x14ac:dyDescent="0.2">
      <c r="A783" s="5">
        <v>722</v>
      </c>
      <c r="B783" s="138">
        <f>'Expenditures 15-22'!D40</f>
        <v>96764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557977</v>
      </c>
      <c r="C785" s="2" t="s">
        <v>573</v>
      </c>
      <c r="D785" s="2" t="str">
        <f t="shared" si="11"/>
        <v>Error?</v>
      </c>
    </row>
    <row r="786" spans="1:4" x14ac:dyDescent="0.2">
      <c r="A786" s="5">
        <v>725</v>
      </c>
      <c r="B786" s="138">
        <f>'Expenditures 15-22'!D44</f>
        <v>186469</v>
      </c>
      <c r="D786" s="2" t="str">
        <f t="shared" si="11"/>
        <v>Error?</v>
      </c>
    </row>
    <row r="787" spans="1:4" x14ac:dyDescent="0.2">
      <c r="A787" s="5">
        <v>726</v>
      </c>
      <c r="B787" s="138">
        <f>'Expenditures 15-22'!D45</f>
        <v>82450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268919</v>
      </c>
      <c r="C789" s="2" t="s">
        <v>573</v>
      </c>
      <c r="D789" s="2" t="str">
        <f t="shared" si="11"/>
        <v>Error?</v>
      </c>
    </row>
    <row r="790" spans="1:4" x14ac:dyDescent="0.2">
      <c r="A790" s="5">
        <v>729</v>
      </c>
      <c r="B790" s="138">
        <f>'Expenditures 15-22'!D49</f>
        <v>45863</v>
      </c>
      <c r="D790" s="2" t="str">
        <f t="shared" si="11"/>
        <v>Error?</v>
      </c>
    </row>
    <row r="791" spans="1:4" x14ac:dyDescent="0.2">
      <c r="A791" s="5">
        <v>730</v>
      </c>
      <c r="B791" s="138">
        <f>'Expenditures 15-22'!D50</f>
        <v>75808</v>
      </c>
      <c r="D791" s="2" t="str">
        <f t="shared" si="11"/>
        <v>Error?</v>
      </c>
    </row>
    <row r="792" spans="1:4" x14ac:dyDescent="0.2">
      <c r="A792" s="5">
        <v>731</v>
      </c>
      <c r="B792" s="138">
        <f>'Expenditures 15-22'!D53</f>
        <v>184764</v>
      </c>
      <c r="C792" s="2" t="s">
        <v>573</v>
      </c>
      <c r="D792" s="2" t="str">
        <f t="shared" si="11"/>
        <v>Error?</v>
      </c>
    </row>
    <row r="793" spans="1:4" x14ac:dyDescent="0.2">
      <c r="A793" s="5">
        <v>732</v>
      </c>
      <c r="B793" s="138">
        <f>'Expenditures 15-22'!D55</f>
        <v>536090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536090</v>
      </c>
      <c r="C795" s="2" t="s">
        <v>573</v>
      </c>
      <c r="D795" s="2" t="str">
        <f t="shared" si="11"/>
        <v>Error?</v>
      </c>
    </row>
    <row r="796" spans="1:4" x14ac:dyDescent="0.2">
      <c r="A796" s="5">
        <v>735</v>
      </c>
      <c r="B796" s="138">
        <f>'Expenditures 15-22'!D59</f>
        <v>17604</v>
      </c>
      <c r="D796" s="2" t="str">
        <f t="shared" si="11"/>
        <v>Error?</v>
      </c>
    </row>
    <row r="797" spans="1:4" x14ac:dyDescent="0.2">
      <c r="A797" s="5">
        <v>736</v>
      </c>
      <c r="B797" s="138">
        <f>'Expenditures 15-22'!D60</f>
        <v>37600</v>
      </c>
      <c r="D797" s="2" t="str">
        <f t="shared" si="11"/>
        <v>Error?</v>
      </c>
    </row>
    <row r="798" spans="1:4" x14ac:dyDescent="0.2">
      <c r="A798" s="5">
        <v>737</v>
      </c>
      <c r="B798" s="138">
        <f>'Expenditures 15-22'!D61</f>
        <v>189013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292569</v>
      </c>
      <c r="D800" s="2" t="str">
        <f t="shared" si="11"/>
        <v>Error?</v>
      </c>
    </row>
    <row r="801" spans="1:4" x14ac:dyDescent="0.2">
      <c r="A801" s="5">
        <v>740</v>
      </c>
      <c r="B801" s="138">
        <f>'Expenditures 15-22'!D64</f>
        <v>4033</v>
      </c>
      <c r="D801" s="2" t="str">
        <f t="shared" si="11"/>
        <v>Error?</v>
      </c>
    </row>
    <row r="802" spans="1:4" x14ac:dyDescent="0.2">
      <c r="A802" s="10">
        <v>741</v>
      </c>
      <c r="D802" s="2" t="str">
        <f t="shared" si="11"/>
        <v>OK</v>
      </c>
    </row>
    <row r="803" spans="1:4" x14ac:dyDescent="0.2">
      <c r="A803" s="5">
        <v>742</v>
      </c>
      <c r="B803" s="138">
        <f>'Expenditures 15-22'!D65</f>
        <v>540819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46740</v>
      </c>
      <c r="D807" s="2" t="str">
        <f t="shared" si="11"/>
        <v>Error?</v>
      </c>
    </row>
    <row r="808" spans="1:4" x14ac:dyDescent="0.2">
      <c r="A808" s="10">
        <v>747</v>
      </c>
      <c r="D808" s="2" t="str">
        <f t="shared" si="11"/>
        <v>OK</v>
      </c>
    </row>
    <row r="809" spans="1:4" x14ac:dyDescent="0.2">
      <c r="A809" s="5">
        <v>748</v>
      </c>
      <c r="B809" s="138">
        <f>'Expenditures 15-22'!D71</f>
        <v>87589</v>
      </c>
      <c r="D809" s="2" t="str">
        <f t="shared" si="11"/>
        <v>Error?</v>
      </c>
    </row>
    <row r="810" spans="1:4" x14ac:dyDescent="0.2">
      <c r="A810" s="10">
        <v>749</v>
      </c>
      <c r="D810" s="2" t="str">
        <f t="shared" si="11"/>
        <v>OK</v>
      </c>
    </row>
    <row r="811" spans="1:4" x14ac:dyDescent="0.2">
      <c r="A811" s="5">
        <v>750</v>
      </c>
      <c r="B811" s="138">
        <f>'Expenditures 15-22'!D72</f>
        <v>134329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2222898</v>
      </c>
      <c r="C813" s="2" t="s">
        <v>573</v>
      </c>
      <c r="D813" s="2" t="str">
        <f t="shared" si="11"/>
        <v>Error?</v>
      </c>
    </row>
    <row r="814" spans="1:4" x14ac:dyDescent="0.2">
      <c r="A814" s="5">
        <v>753</v>
      </c>
      <c r="B814" s="138">
        <f>'Expenditures 15-22'!D75</f>
        <v>171090</v>
      </c>
      <c r="D814" s="2" t="str">
        <f t="shared" si="11"/>
        <v>Error?</v>
      </c>
    </row>
    <row r="815" spans="1:4" x14ac:dyDescent="0.2">
      <c r="A815" s="5">
        <v>754</v>
      </c>
      <c r="B815" s="138">
        <f>'Expenditures 15-22'!D114</f>
        <v>8872839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506048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2205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49178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1070902</v>
      </c>
      <c r="C836" s="2" t="s">
        <v>573</v>
      </c>
      <c r="D836" s="2" t="str">
        <f t="shared" si="12"/>
        <v>Error?</v>
      </c>
    </row>
    <row r="837" spans="1:4" x14ac:dyDescent="0.2">
      <c r="A837" s="5">
        <v>776</v>
      </c>
      <c r="B837" s="138">
        <f>'Expenditures 15-22'!E36</f>
        <v>4607</v>
      </c>
      <c r="D837" s="2" t="str">
        <f t="shared" si="12"/>
        <v>Error?</v>
      </c>
    </row>
    <row r="838" spans="1:4" x14ac:dyDescent="0.2">
      <c r="A838" s="5">
        <v>777</v>
      </c>
      <c r="B838" s="138">
        <f>'Expenditures 15-22'!E37</f>
        <v>6405</v>
      </c>
      <c r="D838" s="2" t="str">
        <f t="shared" si="12"/>
        <v>Error?</v>
      </c>
    </row>
    <row r="839" spans="1:4" x14ac:dyDescent="0.2">
      <c r="A839" s="5">
        <v>778</v>
      </c>
      <c r="B839" s="138">
        <f>'Expenditures 15-22'!E38</f>
        <v>240796</v>
      </c>
      <c r="D839" s="2" t="str">
        <f t="shared" si="12"/>
        <v>Error?</v>
      </c>
    </row>
    <row r="840" spans="1:4" x14ac:dyDescent="0.2">
      <c r="A840" s="5">
        <v>779</v>
      </c>
      <c r="B840" s="138">
        <f>'Expenditures 15-22'!E39</f>
        <v>2152</v>
      </c>
      <c r="D840" s="2" t="str">
        <f t="shared" si="12"/>
        <v>Error?</v>
      </c>
    </row>
    <row r="841" spans="1:4" x14ac:dyDescent="0.2">
      <c r="A841" s="5">
        <v>780</v>
      </c>
      <c r="B841" s="138">
        <f>'Expenditures 15-22'!E40</f>
        <v>249417</v>
      </c>
      <c r="D841" s="2" t="str">
        <f t="shared" si="12"/>
        <v>Error?</v>
      </c>
    </row>
    <row r="842" spans="1:4" x14ac:dyDescent="0.2">
      <c r="A842" s="5">
        <v>781</v>
      </c>
      <c r="B842" s="138">
        <f>'Expenditures 15-22'!E41</f>
        <v>38103</v>
      </c>
      <c r="D842" s="2" t="str">
        <f t="shared" si="12"/>
        <v>Error?</v>
      </c>
    </row>
    <row r="843" spans="1:4" x14ac:dyDescent="0.2">
      <c r="A843" s="5">
        <v>782</v>
      </c>
      <c r="B843" s="138">
        <f>'Expenditures 15-22'!E42</f>
        <v>541480</v>
      </c>
      <c r="C843" s="2" t="s">
        <v>573</v>
      </c>
      <c r="D843" s="2" t="str">
        <f t="shared" si="12"/>
        <v>Error?</v>
      </c>
    </row>
    <row r="844" spans="1:4" x14ac:dyDescent="0.2">
      <c r="A844" s="5">
        <v>783</v>
      </c>
      <c r="B844" s="138">
        <f>'Expenditures 15-22'!E44</f>
        <v>603490</v>
      </c>
      <c r="D844" s="2" t="str">
        <f t="shared" si="12"/>
        <v>Error?</v>
      </c>
    </row>
    <row r="845" spans="1:4" x14ac:dyDescent="0.2">
      <c r="A845" s="5">
        <v>784</v>
      </c>
      <c r="B845" s="138">
        <f>'Expenditures 15-22'!E45</f>
        <v>3095</v>
      </c>
      <c r="D845" s="2" t="str">
        <f t="shared" si="12"/>
        <v>Error?</v>
      </c>
    </row>
    <row r="846" spans="1:4" x14ac:dyDescent="0.2">
      <c r="A846" s="5">
        <v>785</v>
      </c>
      <c r="B846" s="138">
        <f>'Expenditures 15-22'!E46</f>
        <v>22896</v>
      </c>
      <c r="D846" s="2" t="str">
        <f t="shared" si="12"/>
        <v>Error?</v>
      </c>
    </row>
    <row r="847" spans="1:4" x14ac:dyDescent="0.2">
      <c r="A847" s="5">
        <v>786</v>
      </c>
      <c r="B847" s="138">
        <f>'Expenditures 15-22'!E47</f>
        <v>629481</v>
      </c>
      <c r="C847" s="2" t="s">
        <v>573</v>
      </c>
      <c r="D847" s="2" t="str">
        <f t="shared" si="12"/>
        <v>Error?</v>
      </c>
    </row>
    <row r="848" spans="1:4" x14ac:dyDescent="0.2">
      <c r="A848" s="5">
        <v>787</v>
      </c>
      <c r="B848" s="138">
        <f>'Expenditures 15-22'!E49</f>
        <v>122785</v>
      </c>
      <c r="D848" s="2" t="str">
        <f t="shared" si="12"/>
        <v>Error?</v>
      </c>
    </row>
    <row r="849" spans="1:4" x14ac:dyDescent="0.2">
      <c r="A849" s="5">
        <v>788</v>
      </c>
      <c r="B849" s="138">
        <f>'Expenditures 15-22'!E50</f>
        <v>1991</v>
      </c>
      <c r="D849" s="2" t="str">
        <f t="shared" si="12"/>
        <v>Error?</v>
      </c>
    </row>
    <row r="850" spans="1:4" x14ac:dyDescent="0.2">
      <c r="A850" s="5">
        <v>789</v>
      </c>
      <c r="B850" s="138">
        <f>'Expenditures 15-22'!E53</f>
        <v>126220</v>
      </c>
      <c r="C850" s="2" t="s">
        <v>573</v>
      </c>
      <c r="D850" s="2" t="str">
        <f t="shared" si="12"/>
        <v>Error?</v>
      </c>
    </row>
    <row r="851" spans="1:4" x14ac:dyDescent="0.2">
      <c r="A851" s="5">
        <v>790</v>
      </c>
      <c r="B851" s="138">
        <f>'Expenditures 15-22'!E55</f>
        <v>152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33287</v>
      </c>
      <c r="D855" s="2" t="str">
        <f t="shared" si="12"/>
        <v>Error?</v>
      </c>
    </row>
    <row r="856" spans="1:4" x14ac:dyDescent="0.2">
      <c r="A856" s="5">
        <v>795</v>
      </c>
      <c r="B856" s="138">
        <f>'Expenditures 15-22'!E61</f>
        <v>174822</v>
      </c>
      <c r="D856" s="2" t="str">
        <f t="shared" si="12"/>
        <v>Error?</v>
      </c>
    </row>
    <row r="857" spans="1:4" x14ac:dyDescent="0.2">
      <c r="A857" s="5">
        <v>796</v>
      </c>
      <c r="B857" s="138">
        <f>'Expenditures 15-22'!E62</f>
        <v>11335</v>
      </c>
      <c r="D857" s="2" t="str">
        <f t="shared" si="12"/>
        <v>Error?</v>
      </c>
    </row>
    <row r="858" spans="1:4" x14ac:dyDescent="0.2">
      <c r="A858" s="5">
        <v>797</v>
      </c>
      <c r="B858" s="138">
        <f>'Expenditures 15-22'!E63</f>
        <v>59878</v>
      </c>
      <c r="D858" s="2" t="str">
        <f t="shared" si="12"/>
        <v>Error?</v>
      </c>
    </row>
    <row r="859" spans="1:4" x14ac:dyDescent="0.2">
      <c r="A859" s="5">
        <v>798</v>
      </c>
      <c r="B859" s="138">
        <f>'Expenditures 15-22'!E64</f>
        <v>6926</v>
      </c>
      <c r="D859" s="2" t="str">
        <f t="shared" si="12"/>
        <v>Error?</v>
      </c>
    </row>
    <row r="860" spans="1:4" x14ac:dyDescent="0.2">
      <c r="A860" s="10">
        <v>799</v>
      </c>
      <c r="D860" s="2" t="str">
        <f t="shared" si="12"/>
        <v>OK</v>
      </c>
    </row>
    <row r="861" spans="1:4" x14ac:dyDescent="0.2">
      <c r="A861" s="5">
        <v>800</v>
      </c>
      <c r="B861" s="138">
        <f>'Expenditures 15-22'!E65</f>
        <v>286248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37618</v>
      </c>
      <c r="D864" s="2" t="str">
        <f t="shared" si="12"/>
        <v>Error?</v>
      </c>
    </row>
    <row r="865" spans="1:4" x14ac:dyDescent="0.2">
      <c r="A865" s="5">
        <v>804</v>
      </c>
      <c r="B865" s="138">
        <f>'Expenditures 15-22'!E70</f>
        <v>11598</v>
      </c>
      <c r="D865" s="2" t="str">
        <f t="shared" si="12"/>
        <v>Error?</v>
      </c>
    </row>
    <row r="866" spans="1:4" x14ac:dyDescent="0.2">
      <c r="A866" s="10">
        <v>805</v>
      </c>
      <c r="D866" s="2" t="str">
        <f t="shared" si="12"/>
        <v>OK</v>
      </c>
    </row>
    <row r="867" spans="1:4" x14ac:dyDescent="0.2">
      <c r="A867" s="5">
        <v>806</v>
      </c>
      <c r="B867" s="138">
        <f>'Expenditures 15-22'!E71</f>
        <v>772706</v>
      </c>
      <c r="D867" s="2" t="str">
        <f t="shared" si="12"/>
        <v>Error?</v>
      </c>
    </row>
    <row r="868" spans="1:4" x14ac:dyDescent="0.2">
      <c r="A868" s="10">
        <v>807</v>
      </c>
      <c r="D868" s="2" t="str">
        <f t="shared" si="12"/>
        <v>OK</v>
      </c>
    </row>
    <row r="869" spans="1:4" x14ac:dyDescent="0.2">
      <c r="A869" s="5">
        <v>808</v>
      </c>
      <c r="B869" s="138">
        <f>'Expenditures 15-22'!E72</f>
        <v>821922</v>
      </c>
      <c r="C869" s="2" t="s">
        <v>573</v>
      </c>
      <c r="D869" s="2" t="str">
        <f t="shared" si="12"/>
        <v>Error?</v>
      </c>
    </row>
    <row r="870" spans="1:4" x14ac:dyDescent="0.2">
      <c r="A870" s="5">
        <v>809</v>
      </c>
      <c r="B870" s="138">
        <f>'Expenditures 15-22'!E73</f>
        <v>17416</v>
      </c>
      <c r="D870" s="2" t="str">
        <f t="shared" si="12"/>
        <v>Error?</v>
      </c>
    </row>
    <row r="871" spans="1:4" x14ac:dyDescent="0.2">
      <c r="A871" s="5">
        <v>810</v>
      </c>
      <c r="B871" s="138">
        <f>'Expenditures 15-22'!E74</f>
        <v>2422919</v>
      </c>
      <c r="C871" s="2" t="s">
        <v>573</v>
      </c>
      <c r="D871" s="2" t="str">
        <f t="shared" si="12"/>
        <v>Error?</v>
      </c>
    </row>
    <row r="872" spans="1:4" x14ac:dyDescent="0.2">
      <c r="A872" s="5">
        <v>811</v>
      </c>
      <c r="B872" s="138">
        <f>'Expenditures 15-22'!E75</f>
        <v>92439</v>
      </c>
      <c r="D872" s="2" t="str">
        <f t="shared" si="12"/>
        <v>Error?</v>
      </c>
    </row>
    <row r="873" spans="1:4" x14ac:dyDescent="0.2">
      <c r="A873" s="5">
        <v>812</v>
      </c>
      <c r="B873" s="138">
        <f>'Expenditures 15-22'!E114</f>
        <v>3675782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639986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11321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45866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1273417</v>
      </c>
      <c r="C894" s="2" t="s">
        <v>573</v>
      </c>
      <c r="D894" s="2" t="str">
        <f t="shared" si="12"/>
        <v>Error?</v>
      </c>
    </row>
    <row r="895" spans="1:4" x14ac:dyDescent="0.2">
      <c r="A895" s="5">
        <v>834</v>
      </c>
      <c r="B895" s="138">
        <f>'Expenditures 15-22'!F36</f>
        <v>952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7979</v>
      </c>
      <c r="D897" s="2" t="str">
        <f t="shared" si="13"/>
        <v>Error?</v>
      </c>
    </row>
    <row r="898" spans="1:4" x14ac:dyDescent="0.2">
      <c r="A898" s="5">
        <v>837</v>
      </c>
      <c r="B898" s="138">
        <f>'Expenditures 15-22'!F39</f>
        <v>864</v>
      </c>
      <c r="D898" s="2" t="str">
        <f t="shared" si="13"/>
        <v>Error?</v>
      </c>
    </row>
    <row r="899" spans="1:4" x14ac:dyDescent="0.2">
      <c r="A899" s="5">
        <v>838</v>
      </c>
      <c r="B899" s="138">
        <f>'Expenditures 15-22'!F40</f>
        <v>2444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12239</v>
      </c>
      <c r="C901" s="2" t="s">
        <v>573</v>
      </c>
      <c r="D901" s="2" t="str">
        <f t="shared" si="13"/>
        <v>Error?</v>
      </c>
    </row>
    <row r="902" spans="1:4" x14ac:dyDescent="0.2">
      <c r="A902" s="5">
        <v>841</v>
      </c>
      <c r="B902" s="138">
        <f>'Expenditures 15-22'!F44</f>
        <v>41298</v>
      </c>
      <c r="D902" s="2" t="str">
        <f t="shared" si="13"/>
        <v>Error?</v>
      </c>
    </row>
    <row r="903" spans="1:4" x14ac:dyDescent="0.2">
      <c r="A903" s="5">
        <v>842</v>
      </c>
      <c r="B903" s="138">
        <f>'Expenditures 15-22'!F45</f>
        <v>8152</v>
      </c>
      <c r="D903" s="2" t="str">
        <f t="shared" si="13"/>
        <v>Error?</v>
      </c>
    </row>
    <row r="904" spans="1:4" x14ac:dyDescent="0.2">
      <c r="A904" s="5">
        <v>843</v>
      </c>
      <c r="B904" s="138">
        <f>'Expenditures 15-22'!F46</f>
        <v>23189</v>
      </c>
      <c r="D904" s="2" t="str">
        <f t="shared" si="13"/>
        <v>Error?</v>
      </c>
    </row>
    <row r="905" spans="1:4" x14ac:dyDescent="0.2">
      <c r="A905" s="5">
        <v>844</v>
      </c>
      <c r="B905" s="138">
        <f>'Expenditures 15-22'!F47</f>
        <v>72639</v>
      </c>
      <c r="C905" s="2" t="s">
        <v>573</v>
      </c>
      <c r="D905" s="2" t="str">
        <f t="shared" si="13"/>
        <v>Error?</v>
      </c>
    </row>
    <row r="906" spans="1:4" x14ac:dyDescent="0.2">
      <c r="A906" s="5">
        <v>845</v>
      </c>
      <c r="B906" s="138">
        <f>'Expenditures 15-22'!F49</f>
        <v>6527</v>
      </c>
      <c r="D906" s="2" t="str">
        <f t="shared" si="13"/>
        <v>Error?</v>
      </c>
    </row>
    <row r="907" spans="1:4" x14ac:dyDescent="0.2">
      <c r="A907" s="5">
        <v>846</v>
      </c>
      <c r="B907" s="138">
        <f>'Expenditures 15-22'!F50</f>
        <v>6094</v>
      </c>
      <c r="D907" s="2" t="str">
        <f t="shared" si="13"/>
        <v>Error?</v>
      </c>
    </row>
    <row r="908" spans="1:4" x14ac:dyDescent="0.2">
      <c r="A908" s="5">
        <v>847</v>
      </c>
      <c r="B908" s="138">
        <f>'Expenditures 15-22'!F53</f>
        <v>15203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3865</v>
      </c>
      <c r="D913" s="2" t="str">
        <f t="shared" si="13"/>
        <v>Error?</v>
      </c>
    </row>
    <row r="914" spans="1:4" x14ac:dyDescent="0.2">
      <c r="A914" s="5">
        <v>853</v>
      </c>
      <c r="B914" s="138">
        <f>'Expenditures 15-22'!F61</f>
        <v>1397922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1972802</v>
      </c>
      <c r="D916" s="2" t="str">
        <f t="shared" si="13"/>
        <v>Error?</v>
      </c>
    </row>
    <row r="917" spans="1:4" x14ac:dyDescent="0.2">
      <c r="A917" s="5">
        <v>856</v>
      </c>
      <c r="B917" s="138">
        <f>'Expenditures 15-22'!F64</f>
        <v>4549</v>
      </c>
      <c r="D917" s="2" t="str">
        <f t="shared" si="13"/>
        <v>Error?</v>
      </c>
    </row>
    <row r="918" spans="1:4" x14ac:dyDescent="0.2">
      <c r="A918" s="10">
        <v>857</v>
      </c>
      <c r="D918" s="2" t="str">
        <f t="shared" si="13"/>
        <v>OK</v>
      </c>
    </row>
    <row r="919" spans="1:4" x14ac:dyDescent="0.2">
      <c r="A919" s="5">
        <v>858</v>
      </c>
      <c r="B919" s="138">
        <f>'Expenditures 15-22'!F65</f>
        <v>3379138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1631</v>
      </c>
      <c r="D923" s="2" t="str">
        <f t="shared" si="13"/>
        <v>Error?</v>
      </c>
    </row>
    <row r="924" spans="1:4" x14ac:dyDescent="0.2">
      <c r="A924" s="10">
        <v>863</v>
      </c>
      <c r="D924" s="2" t="str">
        <f t="shared" si="13"/>
        <v>OK</v>
      </c>
    </row>
    <row r="925" spans="1:4" x14ac:dyDescent="0.2">
      <c r="A925" s="5">
        <v>864</v>
      </c>
      <c r="B925" s="138">
        <f>'Expenditures 15-22'!F71</f>
        <v>280471</v>
      </c>
      <c r="D925" s="2" t="str">
        <f t="shared" si="13"/>
        <v>Error?</v>
      </c>
    </row>
    <row r="926" spans="1:4" x14ac:dyDescent="0.2">
      <c r="A926" s="10">
        <v>865</v>
      </c>
      <c r="D926" s="2" t="str">
        <f t="shared" si="13"/>
        <v>OK</v>
      </c>
    </row>
    <row r="927" spans="1:4" x14ac:dyDescent="0.2">
      <c r="A927" s="5">
        <v>866</v>
      </c>
      <c r="B927" s="138">
        <f>'Expenditures 15-22'!F72</f>
        <v>282102</v>
      </c>
      <c r="C927" s="2" t="s">
        <v>573</v>
      </c>
      <c r="D927" s="2" t="str">
        <f t="shared" si="13"/>
        <v>Error?</v>
      </c>
    </row>
    <row r="928" spans="1:4" x14ac:dyDescent="0.2">
      <c r="A928" s="5">
        <v>867</v>
      </c>
      <c r="B928" s="138">
        <f>'Expenditures 15-22'!F73</f>
        <v>3417</v>
      </c>
      <c r="D928" s="2" t="str">
        <f t="shared" si="13"/>
        <v>Error?</v>
      </c>
    </row>
    <row r="929" spans="1:4" x14ac:dyDescent="0.2">
      <c r="A929" s="5">
        <v>868</v>
      </c>
      <c r="B929" s="138">
        <f>'Expenditures 15-22'!F74</f>
        <v>3764738</v>
      </c>
      <c r="C929" s="2" t="s">
        <v>573</v>
      </c>
      <c r="D929" s="2" t="str">
        <f t="shared" si="13"/>
        <v>Error?</v>
      </c>
    </row>
    <row r="930" spans="1:4" x14ac:dyDescent="0.2">
      <c r="A930" s="5">
        <v>869</v>
      </c>
      <c r="B930" s="138">
        <f>'Expenditures 15-22'!F75</f>
        <v>58781</v>
      </c>
      <c r="D930" s="2" t="str">
        <f t="shared" si="13"/>
        <v>Error?</v>
      </c>
    </row>
    <row r="931" spans="1:4" x14ac:dyDescent="0.2">
      <c r="A931" s="5">
        <v>870</v>
      </c>
      <c r="B931" s="138">
        <f>'Expenditures 15-22'!F114</f>
        <v>5096936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1590142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1590142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151106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19213</v>
      </c>
      <c r="D974" s="2" t="str">
        <f t="shared" si="14"/>
        <v>Error?</v>
      </c>
    </row>
    <row r="975" spans="1:4" x14ac:dyDescent="0.2">
      <c r="A975" s="5">
        <v>914</v>
      </c>
      <c r="B975" s="138">
        <f>'Expenditures 15-22'!G64</f>
        <v>29322</v>
      </c>
      <c r="D975" s="2" t="str">
        <f t="shared" si="14"/>
        <v>Error?</v>
      </c>
    </row>
    <row r="976" spans="1:4" x14ac:dyDescent="0.2">
      <c r="A976" s="10">
        <v>915</v>
      </c>
      <c r="D976" s="2" t="str">
        <f t="shared" si="14"/>
        <v>OK</v>
      </c>
    </row>
    <row r="977" spans="1:4" x14ac:dyDescent="0.2">
      <c r="A977" s="5">
        <v>916</v>
      </c>
      <c r="B977" s="138">
        <f>'Expenditures 15-22'!G65</f>
        <v>199641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4218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14419</v>
      </c>
      <c r="D983" s="2" t="str">
        <f t="shared" si="14"/>
        <v>Error?</v>
      </c>
    </row>
    <row r="984" spans="1:4" x14ac:dyDescent="0.2">
      <c r="A984" s="10">
        <v>923</v>
      </c>
      <c r="D984" s="2" t="str">
        <f t="shared" si="14"/>
        <v>OK</v>
      </c>
    </row>
    <row r="985" spans="1:4" x14ac:dyDescent="0.2">
      <c r="A985" s="5">
        <v>924</v>
      </c>
      <c r="B985" s="138">
        <f>'Expenditures 15-22'!G72</f>
        <v>18637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218278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1808420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17225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740580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13122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13122</v>
      </c>
      <c r="C1021" s="2" t="s">
        <v>573</v>
      </c>
      <c r="D1021" s="2" t="str">
        <f t="shared" si="14"/>
        <v>Error?</v>
      </c>
    </row>
    <row r="1022" spans="1:4" x14ac:dyDescent="0.2">
      <c r="A1022" s="5">
        <v>961</v>
      </c>
      <c r="B1022" s="138">
        <f>'Expenditures 15-22'!H49</f>
        <v>19354</v>
      </c>
      <c r="D1022" s="2" t="str">
        <f t="shared" si="14"/>
        <v>Error?</v>
      </c>
    </row>
    <row r="1023" spans="1:4" x14ac:dyDescent="0.2">
      <c r="A1023" s="5">
        <v>962</v>
      </c>
      <c r="B1023" s="138">
        <f>'Expenditures 15-22'!H50</f>
        <v>3522</v>
      </c>
      <c r="D1023" s="2" t="str">
        <f t="shared" ref="D1023:D1086" si="15">IF(ISBLANK(B1023),"OK",IF(A1023-B1023=0,"OK","Error?"))</f>
        <v>Error?</v>
      </c>
    </row>
    <row r="1024" spans="1:4" x14ac:dyDescent="0.2">
      <c r="A1024" s="5">
        <v>963</v>
      </c>
      <c r="B1024" s="138">
        <f>'Expenditures 15-22'!H53</f>
        <v>24395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1540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1540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39206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1189822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1969608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27597855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48528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121</v>
      </c>
      <c r="C1105" s="2" t="s">
        <v>573</v>
      </c>
      <c r="D1105" s="2" t="str">
        <f t="shared" si="16"/>
        <v>Error?</v>
      </c>
    </row>
    <row r="1106" spans="1:4" x14ac:dyDescent="0.2">
      <c r="A1106" s="5">
        <v>1045</v>
      </c>
      <c r="B1106" s="138">
        <f>'Expenditures 15-22'!K14</f>
        <v>673695</v>
      </c>
      <c r="C1106" s="2" t="s">
        <v>573</v>
      </c>
      <c r="D1106" s="2" t="str">
        <f t="shared" si="16"/>
        <v>Error?</v>
      </c>
    </row>
    <row r="1107" spans="1:4" x14ac:dyDescent="0.2">
      <c r="A1107" s="5">
        <v>1046</v>
      </c>
      <c r="B1107" s="138">
        <f>'Expenditures 15-22'!K15</f>
        <v>78092</v>
      </c>
      <c r="C1107" s="2" t="s">
        <v>573</v>
      </c>
      <c r="D1107" s="2" t="str">
        <f t="shared" si="16"/>
        <v>Error?</v>
      </c>
    </row>
    <row r="1108" spans="1:4" x14ac:dyDescent="0.2">
      <c r="A1108" s="5">
        <v>1047</v>
      </c>
      <c r="B1108" s="138">
        <f>'Expenditures 15-22'!K33</f>
        <v>38216184</v>
      </c>
      <c r="C1108" s="2" t="s">
        <v>573</v>
      </c>
      <c r="D1108" s="2" t="str">
        <f t="shared" si="16"/>
        <v>Error?</v>
      </c>
    </row>
    <row r="1109" spans="1:4" x14ac:dyDescent="0.2">
      <c r="A1109" s="5">
        <v>1048</v>
      </c>
      <c r="B1109" s="138">
        <f>'Expenditures 15-22'!K36</f>
        <v>1078184</v>
      </c>
      <c r="C1109" s="2" t="s">
        <v>573</v>
      </c>
      <c r="D1109" s="2" t="str">
        <f t="shared" si="16"/>
        <v>Error?</v>
      </c>
    </row>
    <row r="1110" spans="1:4" x14ac:dyDescent="0.2">
      <c r="A1110" s="5">
        <v>1049</v>
      </c>
      <c r="B1110" s="138">
        <f>'Expenditures 15-22'!K37</f>
        <v>600003</v>
      </c>
      <c r="C1110" s="2" t="s">
        <v>573</v>
      </c>
      <c r="D1110" s="2" t="str">
        <f t="shared" si="16"/>
        <v>Error?</v>
      </c>
    </row>
    <row r="1111" spans="1:4" x14ac:dyDescent="0.2">
      <c r="A1111" s="5">
        <v>1050</v>
      </c>
      <c r="B1111" s="138">
        <f>'Expenditures 15-22'!K38</f>
        <v>844625</v>
      </c>
      <c r="C1111" s="2" t="s">
        <v>573</v>
      </c>
      <c r="D1111" s="2" t="str">
        <f t="shared" si="16"/>
        <v>Error?</v>
      </c>
    </row>
    <row r="1112" spans="1:4" x14ac:dyDescent="0.2">
      <c r="A1112" s="5">
        <v>1051</v>
      </c>
      <c r="B1112" s="138">
        <f>'Expenditures 15-22'!K39</f>
        <v>394253</v>
      </c>
      <c r="C1112" s="2" t="s">
        <v>573</v>
      </c>
      <c r="D1112" s="2" t="str">
        <f t="shared" si="16"/>
        <v>Error?</v>
      </c>
    </row>
    <row r="1113" spans="1:4" x14ac:dyDescent="0.2">
      <c r="A1113" s="5">
        <v>1052</v>
      </c>
      <c r="B1113" s="138">
        <f>'Expenditures 15-22'!K40</f>
        <v>862588</v>
      </c>
      <c r="C1113" s="2" t="s">
        <v>573</v>
      </c>
      <c r="D1113" s="2" t="str">
        <f t="shared" si="16"/>
        <v>Error?</v>
      </c>
    </row>
    <row r="1114" spans="1:4" x14ac:dyDescent="0.2">
      <c r="A1114" s="5">
        <v>1053</v>
      </c>
      <c r="B1114" s="138">
        <f>'Expenditures 15-22'!K41</f>
        <v>38103</v>
      </c>
      <c r="C1114" s="2" t="s">
        <v>573</v>
      </c>
      <c r="D1114" s="2" t="str">
        <f t="shared" si="16"/>
        <v>Error?</v>
      </c>
    </row>
    <row r="1115" spans="1:4" x14ac:dyDescent="0.2">
      <c r="A1115" s="5">
        <v>1054</v>
      </c>
      <c r="B1115" s="138">
        <f>'Expenditures 15-22'!K42</f>
        <v>3817756</v>
      </c>
      <c r="C1115" s="2" t="s">
        <v>573</v>
      </c>
      <c r="D1115" s="2" t="str">
        <f t="shared" si="16"/>
        <v>Error?</v>
      </c>
    </row>
    <row r="1116" spans="1:4" x14ac:dyDescent="0.2">
      <c r="A1116" s="5">
        <v>1055</v>
      </c>
      <c r="B1116" s="138">
        <f>'Expenditures 15-22'!K44</f>
        <v>1854875</v>
      </c>
      <c r="C1116" s="2" t="s">
        <v>573</v>
      </c>
      <c r="D1116" s="2" t="str">
        <f t="shared" si="16"/>
        <v>Error?</v>
      </c>
    </row>
    <row r="1117" spans="1:4" x14ac:dyDescent="0.2">
      <c r="A1117" s="5">
        <v>1056</v>
      </c>
      <c r="B1117" s="138">
        <f>'Expenditures 15-22'!K45</f>
        <v>488691</v>
      </c>
      <c r="C1117" s="2" t="s">
        <v>573</v>
      </c>
      <c r="D1117" s="2" t="str">
        <f t="shared" si="16"/>
        <v>Error?</v>
      </c>
    </row>
    <row r="1118" spans="1:4" x14ac:dyDescent="0.2">
      <c r="A1118" s="5">
        <v>1057</v>
      </c>
      <c r="B1118" s="138">
        <f>'Expenditures 15-22'!K46</f>
        <v>46085</v>
      </c>
      <c r="C1118" s="2" t="s">
        <v>573</v>
      </c>
      <c r="D1118" s="2" t="str">
        <f t="shared" si="16"/>
        <v>Error?</v>
      </c>
    </row>
    <row r="1119" spans="1:4" x14ac:dyDescent="0.2">
      <c r="A1119" s="5">
        <v>1058</v>
      </c>
      <c r="B1119" s="138">
        <f>'Expenditures 15-22'!K47</f>
        <v>2389651</v>
      </c>
      <c r="C1119" s="2" t="s">
        <v>573</v>
      </c>
      <c r="D1119" s="2" t="str">
        <f t="shared" si="16"/>
        <v>Error?</v>
      </c>
    </row>
    <row r="1120" spans="1:4" x14ac:dyDescent="0.2">
      <c r="A1120" s="5">
        <v>1059</v>
      </c>
      <c r="B1120" s="138">
        <f>'Expenditures 15-22'!K49</f>
        <v>372377</v>
      </c>
      <c r="C1120" s="2" t="s">
        <v>573</v>
      </c>
      <c r="D1120" s="2" t="str">
        <f t="shared" si="16"/>
        <v>Error?</v>
      </c>
    </row>
    <row r="1121" spans="1:4" x14ac:dyDescent="0.2">
      <c r="A1121" s="5">
        <v>1060</v>
      </c>
      <c r="B1121" s="138">
        <f>'Expenditures 15-22'!K50</f>
        <v>417356</v>
      </c>
      <c r="C1121" s="2" t="s">
        <v>573</v>
      </c>
      <c r="D1121" s="2" t="str">
        <f t="shared" si="16"/>
        <v>Error?</v>
      </c>
    </row>
    <row r="1122" spans="1:4" x14ac:dyDescent="0.2">
      <c r="A1122" s="5">
        <v>1061</v>
      </c>
      <c r="B1122" s="138">
        <f>'Expenditures 15-22'!K53</f>
        <v>1128601</v>
      </c>
      <c r="C1122" s="2" t="s">
        <v>573</v>
      </c>
      <c r="D1122" s="2" t="str">
        <f t="shared" si="16"/>
        <v>Error?</v>
      </c>
    </row>
    <row r="1123" spans="1:4" x14ac:dyDescent="0.2">
      <c r="A1123" s="5">
        <v>1062</v>
      </c>
      <c r="B1123" s="138">
        <f>'Expenditures 15-22'!K55</f>
        <v>2999764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2999764</v>
      </c>
      <c r="C1125" s="2" t="s">
        <v>573</v>
      </c>
      <c r="D1125" s="2" t="str">
        <f t="shared" si="16"/>
        <v>Error?</v>
      </c>
    </row>
    <row r="1126" spans="1:4" x14ac:dyDescent="0.2">
      <c r="A1126" s="5">
        <v>1065</v>
      </c>
      <c r="B1126" s="138">
        <f>'Expenditures 15-22'!K59</f>
        <v>100104</v>
      </c>
      <c r="C1126" s="2" t="s">
        <v>573</v>
      </c>
      <c r="D1126" s="2" t="str">
        <f t="shared" si="16"/>
        <v>Error?</v>
      </c>
    </row>
    <row r="1127" spans="1:4" x14ac:dyDescent="0.2">
      <c r="A1127" s="5">
        <v>1066</v>
      </c>
      <c r="B1127" s="138">
        <f>'Expenditures 15-22'!K60</f>
        <v>432399</v>
      </c>
      <c r="C1127" s="2" t="s">
        <v>573</v>
      </c>
      <c r="D1127" s="2" t="str">
        <f t="shared" si="16"/>
        <v>Error?</v>
      </c>
    </row>
    <row r="1128" spans="1:4" x14ac:dyDescent="0.2">
      <c r="A1128" s="5">
        <v>1067</v>
      </c>
      <c r="B1128" s="138">
        <f>'Expenditures 15-22'!K61</f>
        <v>2790259</v>
      </c>
      <c r="C1128" s="2" t="s">
        <v>573</v>
      </c>
      <c r="D1128" s="2" t="str">
        <f t="shared" si="16"/>
        <v>Error?</v>
      </c>
    </row>
    <row r="1129" spans="1:4" x14ac:dyDescent="0.2">
      <c r="A1129" s="5">
        <v>1068</v>
      </c>
      <c r="B1129" s="138">
        <f>'Expenditures 15-22'!K62</f>
        <v>11335</v>
      </c>
      <c r="C1129" s="2" t="s">
        <v>573</v>
      </c>
      <c r="D1129" s="2" t="str">
        <f t="shared" si="16"/>
        <v>Error?</v>
      </c>
    </row>
    <row r="1130" spans="1:4" x14ac:dyDescent="0.2">
      <c r="A1130" s="5">
        <v>1069</v>
      </c>
      <c r="B1130" s="138">
        <f>'Expenditures 15-22'!K63</f>
        <v>3721616</v>
      </c>
      <c r="C1130" s="2" t="s">
        <v>573</v>
      </c>
      <c r="D1130" s="2" t="str">
        <f t="shared" si="16"/>
        <v>Error?</v>
      </c>
    </row>
    <row r="1131" spans="1:4" x14ac:dyDescent="0.2">
      <c r="A1131" s="5">
        <v>1070</v>
      </c>
      <c r="B1131" s="138">
        <f>'Expenditures 15-22'!K64</f>
        <v>60524</v>
      </c>
      <c r="C1131" s="2" t="s">
        <v>573</v>
      </c>
      <c r="D1131" s="2" t="str">
        <f t="shared" si="16"/>
        <v>Error?</v>
      </c>
    </row>
    <row r="1132" spans="1:4" x14ac:dyDescent="0.2">
      <c r="A1132" s="10">
        <v>1071</v>
      </c>
      <c r="D1132" s="2" t="str">
        <f t="shared" si="16"/>
        <v>OK</v>
      </c>
    </row>
    <row r="1133" spans="1:4" x14ac:dyDescent="0.2">
      <c r="A1133" s="5">
        <v>1072</v>
      </c>
      <c r="B1133" s="138">
        <f>'Expenditures 15-22'!K65</f>
        <v>7116237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41836</v>
      </c>
      <c r="C1136" s="2" t="s">
        <v>573</v>
      </c>
      <c r="D1136" s="2" t="str">
        <f t="shared" si="16"/>
        <v>Error?</v>
      </c>
    </row>
    <row r="1137" spans="1:4" x14ac:dyDescent="0.2">
      <c r="A1137" s="5">
        <v>1076</v>
      </c>
      <c r="B1137" s="138">
        <f>'Expenditures 15-22'!K70</f>
        <v>317927</v>
      </c>
      <c r="C1137" s="2" t="s">
        <v>573</v>
      </c>
      <c r="D1137" s="2" t="str">
        <f t="shared" si="16"/>
        <v>Error?</v>
      </c>
    </row>
    <row r="1138" spans="1:4" x14ac:dyDescent="0.2">
      <c r="A1138" s="10">
        <v>1077</v>
      </c>
      <c r="D1138" s="2" t="str">
        <f t="shared" si="16"/>
        <v>OK</v>
      </c>
    </row>
    <row r="1139" spans="1:4" x14ac:dyDescent="0.2">
      <c r="A1139" s="5">
        <v>1078</v>
      </c>
      <c r="B1139" s="138">
        <f>'Expenditures 15-22'!K71</f>
        <v>2414235</v>
      </c>
      <c r="C1139" s="2" t="s">
        <v>573</v>
      </c>
      <c r="D1139" s="2" t="str">
        <f t="shared" si="16"/>
        <v>Error?</v>
      </c>
    </row>
    <row r="1140" spans="1:4" x14ac:dyDescent="0.2">
      <c r="A1140" s="10">
        <v>1079</v>
      </c>
      <c r="D1140" s="2" t="str">
        <f t="shared" si="16"/>
        <v>OK</v>
      </c>
    </row>
    <row r="1141" spans="1:4" x14ac:dyDescent="0.2">
      <c r="A1141" s="5">
        <v>1080</v>
      </c>
      <c r="B1141" s="138">
        <f>'Expenditures 15-22'!K72</f>
        <v>2773998</v>
      </c>
      <c r="C1141" s="2" t="s">
        <v>573</v>
      </c>
      <c r="D1141" s="2" t="str">
        <f t="shared" si="16"/>
        <v>Error?</v>
      </c>
    </row>
    <row r="1142" spans="1:4" x14ac:dyDescent="0.2">
      <c r="A1142" s="5">
        <v>1081</v>
      </c>
      <c r="B1142" s="138">
        <f>'Expenditures 15-22'!K73</f>
        <v>20833</v>
      </c>
      <c r="C1142" s="2" t="s">
        <v>573</v>
      </c>
      <c r="D1142" s="2" t="str">
        <f t="shared" si="16"/>
        <v>Error?</v>
      </c>
    </row>
    <row r="1143" spans="1:4" x14ac:dyDescent="0.2">
      <c r="A1143" s="5">
        <v>1082</v>
      </c>
      <c r="B1143" s="138">
        <f>'Expenditures 15-22'!K74</f>
        <v>20246840</v>
      </c>
      <c r="C1143" s="2" t="s">
        <v>573</v>
      </c>
      <c r="D1143" s="2" t="str">
        <f t="shared" si="16"/>
        <v>Error?</v>
      </c>
    </row>
    <row r="1144" spans="1:4" x14ac:dyDescent="0.2">
      <c r="A1144" s="5">
        <v>1083</v>
      </c>
      <c r="B1144" s="138">
        <f>'Expenditures 15-22'!K75</f>
        <v>1241499</v>
      </c>
      <c r="C1144" s="2" t="s">
        <v>573</v>
      </c>
      <c r="D1144" s="2" t="str">
        <f t="shared" si="16"/>
        <v>Error?</v>
      </c>
    </row>
    <row r="1145" spans="1:4" x14ac:dyDescent="0.2">
      <c r="A1145" s="5">
        <v>1084</v>
      </c>
      <c r="B1145" s="138">
        <f>'Expenditures 15-22'!K102</f>
        <v>1279344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60983867</v>
      </c>
      <c r="C1152" s="2" t="s">
        <v>573</v>
      </c>
      <c r="D1152" s="2" t="str">
        <f t="shared" si="17"/>
        <v>Error?</v>
      </c>
    </row>
    <row r="1153" spans="1:4" x14ac:dyDescent="0.2">
      <c r="A1153" s="5">
        <v>1092</v>
      </c>
      <c r="B1153" s="138">
        <f>'Expenditures 15-22'!K115</f>
        <v>384522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1536570</v>
      </c>
      <c r="D1221" s="2" t="str">
        <f t="shared" si="18"/>
        <v>Error?</v>
      </c>
    </row>
    <row r="1222" spans="1:4" x14ac:dyDescent="0.2">
      <c r="A1222" s="10">
        <v>1161</v>
      </c>
      <c r="D1222" s="2" t="str">
        <f t="shared" si="18"/>
        <v>OK</v>
      </c>
    </row>
    <row r="1223" spans="1:4" x14ac:dyDescent="0.2">
      <c r="A1223" s="5">
        <v>1162</v>
      </c>
      <c r="B1223" s="138">
        <f>'Expenditures 15-22'!C127</f>
        <v>1536570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1536570</v>
      </c>
      <c r="C1225" s="2" t="s">
        <v>573</v>
      </c>
      <c r="D1225" s="2" t="str">
        <f t="shared" si="18"/>
        <v>Error?</v>
      </c>
    </row>
    <row r="1226" spans="1:4" x14ac:dyDescent="0.2">
      <c r="A1226" s="5">
        <v>1165</v>
      </c>
      <c r="B1226" s="138">
        <f>'Expenditures 15-22'!C151</f>
        <v>1536570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266562</v>
      </c>
      <c r="D1229" s="2" t="str">
        <f t="shared" si="18"/>
        <v>Error?</v>
      </c>
    </row>
    <row r="1230" spans="1:4" x14ac:dyDescent="0.2">
      <c r="A1230" s="10">
        <v>1169</v>
      </c>
      <c r="D1230" s="2" t="str">
        <f t="shared" si="18"/>
        <v>OK</v>
      </c>
    </row>
    <row r="1231" spans="1:4" x14ac:dyDescent="0.2">
      <c r="A1231" s="5">
        <v>1170</v>
      </c>
      <c r="B1231" s="138">
        <f>'Expenditures 15-22'!D127</f>
        <v>266562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266562</v>
      </c>
      <c r="C1233" s="2" t="s">
        <v>573</v>
      </c>
      <c r="D1233" s="2" t="str">
        <f t="shared" si="18"/>
        <v>Error?</v>
      </c>
    </row>
    <row r="1234" spans="1:4" x14ac:dyDescent="0.2">
      <c r="A1234" s="5">
        <v>1173</v>
      </c>
      <c r="B1234" s="138">
        <f>'Expenditures 15-22'!D151</f>
        <v>266562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109900</v>
      </c>
      <c r="D1236" s="2" t="str">
        <f t="shared" si="18"/>
        <v>Error?</v>
      </c>
    </row>
    <row r="1237" spans="1:4" x14ac:dyDescent="0.2">
      <c r="A1237" s="5">
        <v>1176</v>
      </c>
      <c r="B1237" s="138">
        <f>'Expenditures 15-22'!E124</f>
        <v>1505238</v>
      </c>
      <c r="D1237" s="2" t="str">
        <f t="shared" si="18"/>
        <v>Error?</v>
      </c>
    </row>
    <row r="1238" spans="1:4" x14ac:dyDescent="0.2">
      <c r="A1238" s="10">
        <v>1177</v>
      </c>
      <c r="D1238" s="2" t="str">
        <f t="shared" si="18"/>
        <v>OK</v>
      </c>
    </row>
    <row r="1239" spans="1:4" x14ac:dyDescent="0.2">
      <c r="A1239" s="5">
        <v>1178</v>
      </c>
      <c r="B1239" s="138">
        <f>'Expenditures 15-22'!E127</f>
        <v>1615138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1615138</v>
      </c>
      <c r="C1241" s="2" t="s">
        <v>573</v>
      </c>
      <c r="D1241" s="2" t="str">
        <f t="shared" si="18"/>
        <v>Error?</v>
      </c>
    </row>
    <row r="1242" spans="1:4" x14ac:dyDescent="0.2">
      <c r="A1242" s="5">
        <v>1181</v>
      </c>
      <c r="B1242" s="138">
        <f>'Expenditures 15-22'!E151</f>
        <v>1615138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419647</v>
      </c>
      <c r="D1245" s="2" t="str">
        <f t="shared" si="18"/>
        <v>Error?</v>
      </c>
    </row>
    <row r="1246" spans="1:4" x14ac:dyDescent="0.2">
      <c r="A1246" s="10">
        <v>1185</v>
      </c>
      <c r="D1246" s="2" t="str">
        <f t="shared" si="18"/>
        <v>OK</v>
      </c>
    </row>
    <row r="1247" spans="1:4" x14ac:dyDescent="0.2">
      <c r="A1247" s="5">
        <v>1186</v>
      </c>
      <c r="B1247" s="138">
        <f>'Expenditures 15-22'!F127</f>
        <v>419647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419647</v>
      </c>
      <c r="C1249" s="2" t="s">
        <v>573</v>
      </c>
      <c r="D1249" s="2" t="str">
        <f t="shared" si="18"/>
        <v>Error?</v>
      </c>
    </row>
    <row r="1250" spans="1:4" x14ac:dyDescent="0.2">
      <c r="A1250" s="5">
        <v>1189</v>
      </c>
      <c r="B1250" s="138">
        <f>'Expenditures 15-22'!F151</f>
        <v>419647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105450</v>
      </c>
      <c r="D1252" s="2" t="str">
        <f t="shared" si="18"/>
        <v>Error?</v>
      </c>
    </row>
    <row r="1253" spans="1:4" x14ac:dyDescent="0.2">
      <c r="A1253" s="5">
        <v>1192</v>
      </c>
      <c r="B1253" s="138">
        <f>'Expenditures 15-22'!G124</f>
        <v>304303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409753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409753</v>
      </c>
      <c r="C1258" s="2" t="s">
        <v>573</v>
      </c>
      <c r="D1258" s="2" t="str">
        <f t="shared" si="18"/>
        <v>Error?</v>
      </c>
    </row>
    <row r="1259" spans="1:4" x14ac:dyDescent="0.2">
      <c r="A1259" s="5">
        <v>1198</v>
      </c>
      <c r="B1259" s="138">
        <f>'Expenditures 15-22'!G151</f>
        <v>409753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2991</v>
      </c>
      <c r="D1262" s="2" t="str">
        <f t="shared" si="18"/>
        <v>Error?</v>
      </c>
    </row>
    <row r="1263" spans="1:4" x14ac:dyDescent="0.2">
      <c r="A1263" s="10">
        <v>1202</v>
      </c>
      <c r="D1263" s="2" t="str">
        <f t="shared" si="18"/>
        <v>OK</v>
      </c>
    </row>
    <row r="1264" spans="1:4" x14ac:dyDescent="0.2">
      <c r="A1264" s="5">
        <v>1203</v>
      </c>
      <c r="B1264" s="138">
        <f>'Expenditures 15-22'!H127</f>
        <v>2991</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2991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2991</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215350</v>
      </c>
      <c r="C1275" s="2" t="s">
        <v>573</v>
      </c>
      <c r="D1275" s="2" t="str">
        <f t="shared" si="18"/>
        <v>Error?</v>
      </c>
    </row>
    <row r="1276" spans="1:4" x14ac:dyDescent="0.2">
      <c r="A1276" s="5">
        <v>1215</v>
      </c>
      <c r="B1276" s="138">
        <f>'Expenditures 15-22'!K124</f>
        <v>4143845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4359195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4359195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4359195</v>
      </c>
      <c r="C1288" s="2" t="s">
        <v>573</v>
      </c>
      <c r="D1288" s="2" t="str">
        <f t="shared" si="19"/>
        <v>Error?</v>
      </c>
    </row>
    <row r="1289" spans="1:4" x14ac:dyDescent="0.2">
      <c r="A1289" s="5">
        <v>1228</v>
      </c>
      <c r="B1289" s="138">
        <f>'Expenditures 15-22'!K152</f>
        <v>-999946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2225</v>
      </c>
      <c r="D1307" s="2" t="str">
        <f t="shared" si="19"/>
        <v>Error?</v>
      </c>
    </row>
    <row r="1308" spans="1:4" x14ac:dyDescent="0.2">
      <c r="A1308" s="5">
        <v>1247</v>
      </c>
      <c r="B1308" s="138">
        <f>'Expenditures 15-22'!E172</f>
        <v>2225</v>
      </c>
      <c r="C1308" s="2" t="s">
        <v>573</v>
      </c>
      <c r="D1308" s="2" t="str">
        <f t="shared" si="19"/>
        <v>Error?</v>
      </c>
    </row>
    <row r="1309" spans="1:4" x14ac:dyDescent="0.2">
      <c r="A1309" s="5">
        <v>1248</v>
      </c>
      <c r="B1309" s="138">
        <f>'Expenditures 15-22'!E174</f>
        <v>2225</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1541442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2150405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3691847</v>
      </c>
      <c r="C1317" s="2" t="s">
        <v>573</v>
      </c>
      <c r="D1317" s="2" t="str">
        <f t="shared" si="19"/>
        <v>Error?</v>
      </c>
    </row>
    <row r="1318" spans="1:4" x14ac:dyDescent="0.2">
      <c r="A1318" s="5">
        <v>1257</v>
      </c>
      <c r="B1318" s="138">
        <f>'Expenditures 15-22'!H174</f>
        <v>3691847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1541442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2150405</v>
      </c>
      <c r="C1329" s="2" t="s">
        <v>573</v>
      </c>
      <c r="D1329" s="2" t="str">
        <f t="shared" si="19"/>
        <v>Error?</v>
      </c>
    </row>
    <row r="1330" spans="1:4" x14ac:dyDescent="0.2">
      <c r="A1330" s="5">
        <v>1269</v>
      </c>
      <c r="B1330" s="138">
        <f>'Expenditures 15-22'!K171</f>
        <v>2225</v>
      </c>
      <c r="C1330" s="2" t="s">
        <v>573</v>
      </c>
      <c r="D1330" s="2" t="str">
        <f t="shared" si="19"/>
        <v>Error?</v>
      </c>
    </row>
    <row r="1331" spans="1:4" x14ac:dyDescent="0.2">
      <c r="A1331" s="5">
        <v>1270</v>
      </c>
      <c r="B1331" s="138">
        <f>'Expenditures 15-22'!K172</f>
        <v>3694072</v>
      </c>
      <c r="C1331" s="2" t="s">
        <v>573</v>
      </c>
      <c r="D1331" s="2" t="str">
        <f t="shared" si="19"/>
        <v>Error?</v>
      </c>
    </row>
    <row r="1332" spans="1:4" x14ac:dyDescent="0.2">
      <c r="A1332" s="5">
        <v>1271</v>
      </c>
      <c r="B1332" s="138">
        <f>'Expenditures 15-22'!K174</f>
        <v>3694072</v>
      </c>
      <c r="C1332" s="2" t="s">
        <v>573</v>
      </c>
      <c r="D1332" s="2" t="str">
        <f t="shared" si="19"/>
        <v>Error?</v>
      </c>
    </row>
    <row r="1333" spans="1:4" x14ac:dyDescent="0.2">
      <c r="A1333" s="5">
        <v>1272</v>
      </c>
      <c r="B1333" s="138">
        <f>'Expenditures 15-22'!K175</f>
        <v>-903605</v>
      </c>
      <c r="C1333" s="2" t="s">
        <v>573</v>
      </c>
      <c r="D1333" s="2" t="str">
        <f t="shared" si="19"/>
        <v>Error?</v>
      </c>
    </row>
    <row r="1334" spans="1:4" x14ac:dyDescent="0.2">
      <c r="A1334" s="10">
        <v>1273</v>
      </c>
      <c r="D1334" s="2" t="str">
        <f t="shared" si="19"/>
        <v>OK</v>
      </c>
    </row>
    <row r="1335" spans="1:4" x14ac:dyDescent="0.2">
      <c r="A1335" s="5">
        <v>1274</v>
      </c>
      <c r="B1335" s="138">
        <f>'Expenditures 15-22'!C182</f>
        <v>40500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112229</v>
      </c>
      <c r="C1339" s="2" t="s">
        <v>573</v>
      </c>
      <c r="D1339" s="2" t="str">
        <f t="shared" si="19"/>
        <v>Error?</v>
      </c>
    </row>
    <row r="1340" spans="1:4" x14ac:dyDescent="0.2">
      <c r="A1340" s="5">
        <v>1279</v>
      </c>
      <c r="B1340" s="138">
        <f>'Expenditures 15-22'!C210</f>
        <v>112229</v>
      </c>
      <c r="C1340" s="2" t="s">
        <v>573</v>
      </c>
      <c r="D1340" s="2" t="str">
        <f t="shared" si="19"/>
        <v>Error?</v>
      </c>
    </row>
    <row r="1341" spans="1:4" x14ac:dyDescent="0.2">
      <c r="A1341" s="5">
        <v>1280</v>
      </c>
      <c r="B1341" s="138">
        <f>'Expenditures 15-22'!D182</f>
        <v>7958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10594</v>
      </c>
      <c r="C1345" s="2" t="s">
        <v>573</v>
      </c>
      <c r="D1345" s="2" t="str">
        <f t="shared" si="20"/>
        <v>Error?</v>
      </c>
    </row>
    <row r="1346" spans="1:4" x14ac:dyDescent="0.2">
      <c r="A1346" s="5">
        <v>1285</v>
      </c>
      <c r="B1346" s="138">
        <f>'Expenditures 15-22'!D210</f>
        <v>10594</v>
      </c>
      <c r="C1346" s="2" t="s">
        <v>573</v>
      </c>
      <c r="D1346" s="2" t="str">
        <f t="shared" si="20"/>
        <v>Error?</v>
      </c>
    </row>
    <row r="1347" spans="1:4" x14ac:dyDescent="0.2">
      <c r="A1347" s="5">
        <v>1286</v>
      </c>
      <c r="B1347" s="138">
        <f>'Expenditures 15-22'!E182</f>
        <v>4535867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4535867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4535867</v>
      </c>
      <c r="C1353" s="2" t="s">
        <v>573</v>
      </c>
      <c r="D1353" s="2" t="str">
        <f t="shared" si="20"/>
        <v>Error?</v>
      </c>
    </row>
    <row r="1354" spans="1:4" x14ac:dyDescent="0.2">
      <c r="A1354" s="5">
        <v>1293</v>
      </c>
      <c r="B1354" s="138">
        <f>'Expenditures 15-22'!F182</f>
        <v>361998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361998</v>
      </c>
      <c r="C1358" s="2" t="s">
        <v>573</v>
      </c>
      <c r="D1358" s="2" t="str">
        <f t="shared" si="20"/>
        <v>Error?</v>
      </c>
    </row>
    <row r="1359" spans="1:4" x14ac:dyDescent="0.2">
      <c r="A1359" s="5">
        <v>1298</v>
      </c>
      <c r="B1359" s="138">
        <f>'Expenditures 15-22'!F210</f>
        <v>361998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4946323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5020688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5020688</v>
      </c>
      <c r="C1388" s="2" t="s">
        <v>573</v>
      </c>
      <c r="D1388" s="2" t="str">
        <f t="shared" si="20"/>
        <v>Error?</v>
      </c>
    </row>
    <row r="1389" spans="1:4" x14ac:dyDescent="0.2">
      <c r="A1389" s="5">
        <v>1328</v>
      </c>
      <c r="B1389" s="138">
        <f>'Expenditures 15-22'!K211</f>
        <v>-63273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5079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v>
      </c>
      <c r="D1407" s="2" t="str">
        <f t="shared" ref="D1407:D1470" si="21">IF(ISBLANK(B1407),"OK",IF(A1407-B1407=0,"OK","Error?"))</f>
        <v>Error?</v>
      </c>
    </row>
    <row r="1408" spans="1:4" x14ac:dyDescent="0.2">
      <c r="A1408" s="5">
        <v>1347</v>
      </c>
      <c r="B1408" s="138">
        <f>'Expenditures 15-22'!D223</f>
        <v>27584</v>
      </c>
      <c r="D1408" s="2" t="str">
        <f t="shared" si="21"/>
        <v>Error?</v>
      </c>
    </row>
    <row r="1409" spans="1:4" x14ac:dyDescent="0.2">
      <c r="A1409" s="5">
        <v>1348</v>
      </c>
      <c r="B1409" s="138">
        <f>'Expenditures 15-22'!D224</f>
        <v>6685</v>
      </c>
      <c r="D1409" s="2" t="str">
        <f t="shared" si="21"/>
        <v>Error?</v>
      </c>
    </row>
    <row r="1410" spans="1:4" x14ac:dyDescent="0.2">
      <c r="A1410" s="5">
        <v>1349</v>
      </c>
      <c r="B1410" s="138">
        <f>'Expenditures 15-22'!D229</f>
        <v>1046765</v>
      </c>
      <c r="C1410" s="2" t="s">
        <v>573</v>
      </c>
      <c r="D1410" s="2" t="str">
        <f t="shared" si="21"/>
        <v>Error?</v>
      </c>
    </row>
    <row r="1411" spans="1:4" x14ac:dyDescent="0.2">
      <c r="A1411" s="5">
        <v>1350</v>
      </c>
      <c r="B1411" s="138">
        <f>'Expenditures 15-22'!D232</f>
        <v>14860</v>
      </c>
      <c r="D1411" s="2" t="str">
        <f t="shared" si="21"/>
        <v>Error?</v>
      </c>
    </row>
    <row r="1412" spans="1:4" x14ac:dyDescent="0.2">
      <c r="A1412" s="5">
        <v>1351</v>
      </c>
      <c r="B1412" s="138">
        <f>'Expenditures 15-22'!D233</f>
        <v>13304</v>
      </c>
      <c r="D1412" s="2" t="str">
        <f t="shared" si="21"/>
        <v>Error?</v>
      </c>
    </row>
    <row r="1413" spans="1:4" x14ac:dyDescent="0.2">
      <c r="A1413" s="5">
        <v>1352</v>
      </c>
      <c r="B1413" s="138">
        <f>'Expenditures 15-22'!D234</f>
        <v>79203</v>
      </c>
      <c r="D1413" s="2" t="str">
        <f t="shared" si="21"/>
        <v>Error?</v>
      </c>
    </row>
    <row r="1414" spans="1:4" x14ac:dyDescent="0.2">
      <c r="A1414" s="5">
        <v>1353</v>
      </c>
      <c r="B1414" s="138">
        <f>'Expenditures 15-22'!D235</f>
        <v>5045</v>
      </c>
      <c r="D1414" s="2" t="str">
        <f t="shared" si="21"/>
        <v>Error?</v>
      </c>
    </row>
    <row r="1415" spans="1:4" x14ac:dyDescent="0.2">
      <c r="A1415" s="5">
        <v>1354</v>
      </c>
      <c r="B1415" s="138">
        <f>'Expenditures 15-22'!D236</f>
        <v>9787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122199</v>
      </c>
      <c r="C1417" s="2" t="s">
        <v>573</v>
      </c>
      <c r="D1417" s="2" t="str">
        <f t="shared" si="21"/>
        <v>Error?</v>
      </c>
    </row>
    <row r="1418" spans="1:4" x14ac:dyDescent="0.2">
      <c r="A1418" s="5">
        <v>1357</v>
      </c>
      <c r="B1418" s="138">
        <f>'Expenditures 15-22'!D240</f>
        <v>62261</v>
      </c>
      <c r="D1418" s="2" t="str">
        <f t="shared" si="21"/>
        <v>Error?</v>
      </c>
    </row>
    <row r="1419" spans="1:4" x14ac:dyDescent="0.2">
      <c r="A1419" s="5">
        <v>1358</v>
      </c>
      <c r="B1419" s="138">
        <f>'Expenditures 15-22'!D241</f>
        <v>67152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129413</v>
      </c>
      <c r="C1421" s="2" t="s">
        <v>573</v>
      </c>
      <c r="D1421" s="2" t="str">
        <f t="shared" si="21"/>
        <v>Error?</v>
      </c>
    </row>
    <row r="1422" spans="1:4" x14ac:dyDescent="0.2">
      <c r="A1422" s="5">
        <v>1361</v>
      </c>
      <c r="B1422" s="138">
        <f>'Expenditures 15-22'!D245</f>
        <v>8893</v>
      </c>
      <c r="D1422" s="2" t="str">
        <f t="shared" si="21"/>
        <v>Error?</v>
      </c>
    </row>
    <row r="1423" spans="1:4" x14ac:dyDescent="0.2">
      <c r="A1423" s="5">
        <v>1362</v>
      </c>
      <c r="B1423" s="138">
        <f>'Expenditures 15-22'!D246</f>
        <v>24168</v>
      </c>
      <c r="D1423" s="2" t="str">
        <f t="shared" si="21"/>
        <v>Error?</v>
      </c>
    </row>
    <row r="1424" spans="1:4" x14ac:dyDescent="0.2">
      <c r="A1424" s="5">
        <v>1363</v>
      </c>
      <c r="B1424" s="138">
        <f>'Expenditures 15-22'!D257</f>
        <v>102257</v>
      </c>
      <c r="C1424" s="2" t="s">
        <v>573</v>
      </c>
      <c r="D1424" s="2" t="str">
        <f t="shared" si="21"/>
        <v>Error?</v>
      </c>
    </row>
    <row r="1425" spans="1:4" x14ac:dyDescent="0.2">
      <c r="A1425" s="5">
        <v>1364</v>
      </c>
      <c r="B1425" s="138">
        <f>'Expenditures 15-22'!D259</f>
        <v>194255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194255</v>
      </c>
      <c r="C1427" s="2" t="s">
        <v>573</v>
      </c>
      <c r="D1427" s="2" t="str">
        <f t="shared" si="21"/>
        <v>Error?</v>
      </c>
    </row>
    <row r="1428" spans="1:4" x14ac:dyDescent="0.2">
      <c r="A1428" s="5">
        <v>1367</v>
      </c>
      <c r="B1428" s="138">
        <f>'Expenditures 15-22'!D263</f>
        <v>1196</v>
      </c>
      <c r="D1428" s="2" t="str">
        <f t="shared" si="21"/>
        <v>Error?</v>
      </c>
    </row>
    <row r="1429" spans="1:4" x14ac:dyDescent="0.2">
      <c r="A1429" s="5">
        <v>1368</v>
      </c>
      <c r="B1429" s="138">
        <f>'Expenditures 15-22'!D264</f>
        <v>62244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405382</v>
      </c>
      <c r="D1431" s="2" t="str">
        <f t="shared" si="21"/>
        <v>Error?</v>
      </c>
    </row>
    <row r="1432" spans="1:4" x14ac:dyDescent="0.2">
      <c r="A1432" s="5">
        <v>1371</v>
      </c>
      <c r="B1432" s="138">
        <f>'Expenditures 15-22'!D267</f>
        <v>587</v>
      </c>
      <c r="D1432" s="2" t="str">
        <f t="shared" si="21"/>
        <v>Error?</v>
      </c>
    </row>
    <row r="1433" spans="1:4" x14ac:dyDescent="0.2">
      <c r="A1433" s="5">
        <v>1372</v>
      </c>
      <c r="B1433" s="138">
        <f>'Expenditures 15-22'!D268</f>
        <v>230110</v>
      </c>
      <c r="D1433" s="2" t="str">
        <f t="shared" si="21"/>
        <v>Error?</v>
      </c>
    </row>
    <row r="1434" spans="1:4" x14ac:dyDescent="0.2">
      <c r="A1434" s="5">
        <v>1373</v>
      </c>
      <c r="B1434" s="138">
        <f>'Expenditures 15-22'!D269</f>
        <v>2777</v>
      </c>
      <c r="D1434" s="2" t="str">
        <f t="shared" si="21"/>
        <v>Error?</v>
      </c>
    </row>
    <row r="1435" spans="1:4" x14ac:dyDescent="0.2">
      <c r="A1435" s="10">
        <v>1374</v>
      </c>
      <c r="D1435" s="2" t="str">
        <f t="shared" si="21"/>
        <v>OK</v>
      </c>
    </row>
    <row r="1436" spans="1:4" x14ac:dyDescent="0.2">
      <c r="A1436" s="5">
        <v>1375</v>
      </c>
      <c r="B1436" s="138">
        <f>'Expenditures 15-22'!D270</f>
        <v>702296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29764</v>
      </c>
      <c r="D1440" s="2" t="str">
        <f t="shared" si="21"/>
        <v>Error?</v>
      </c>
    </row>
    <row r="1441" spans="1:4" x14ac:dyDescent="0.2">
      <c r="A1441" s="10">
        <v>1380</v>
      </c>
      <c r="D1441" s="2" t="str">
        <f t="shared" si="21"/>
        <v>OK</v>
      </c>
    </row>
    <row r="1442" spans="1:4" x14ac:dyDescent="0.2">
      <c r="A1442" s="5">
        <v>1381</v>
      </c>
      <c r="B1442" s="138">
        <f>'Expenditures 15-22'!D276</f>
        <v>90316</v>
      </c>
      <c r="D1442" s="2" t="str">
        <f t="shared" si="21"/>
        <v>Error?</v>
      </c>
    </row>
    <row r="1443" spans="1:4" x14ac:dyDescent="0.2">
      <c r="A1443" s="10">
        <v>1382</v>
      </c>
      <c r="D1443" s="2" t="str">
        <f t="shared" si="21"/>
        <v>OK</v>
      </c>
    </row>
    <row r="1444" spans="1:4" x14ac:dyDescent="0.2">
      <c r="A1444" s="5">
        <v>1383</v>
      </c>
      <c r="B1444" s="138">
        <f>'Expenditures 15-22'!D277</f>
        <v>120080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1370500</v>
      </c>
      <c r="C1446" s="2" t="s">
        <v>573</v>
      </c>
      <c r="D1446" s="2" t="str">
        <f t="shared" si="21"/>
        <v>Error?</v>
      </c>
    </row>
    <row r="1447" spans="1:4" x14ac:dyDescent="0.2">
      <c r="A1447" s="5">
        <v>1386</v>
      </c>
      <c r="B1447" s="138">
        <f>'Expenditures 15-22'!D280</f>
        <v>150184</v>
      </c>
      <c r="D1447" s="2" t="str">
        <f t="shared" si="21"/>
        <v>Error?</v>
      </c>
    </row>
    <row r="1448" spans="1:4" x14ac:dyDescent="0.2">
      <c r="A1448" s="5">
        <v>1387</v>
      </c>
      <c r="B1448" s="138">
        <f>'Expenditures 15-22'!D295</f>
        <v>2567449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5079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v>
      </c>
      <c r="C1471" s="2" t="s">
        <v>573</v>
      </c>
      <c r="D1471" s="2" t="str">
        <f t="shared" ref="D1471:D1534" si="22">IF(ISBLANK(B1471),"OK",IF(A1471-B1471=0,"OK","Error?"))</f>
        <v>Error?</v>
      </c>
    </row>
    <row r="1472" spans="1:4" x14ac:dyDescent="0.2">
      <c r="A1472" s="5">
        <v>1411</v>
      </c>
      <c r="B1472" s="138">
        <f>'Expenditures 15-22'!K223</f>
        <v>27584</v>
      </c>
      <c r="C1472" s="2" t="s">
        <v>573</v>
      </c>
      <c r="D1472" s="2" t="str">
        <f t="shared" si="22"/>
        <v>Error?</v>
      </c>
    </row>
    <row r="1473" spans="1:4" x14ac:dyDescent="0.2">
      <c r="A1473" s="5">
        <v>1412</v>
      </c>
      <c r="B1473" s="138">
        <f>'Expenditures 15-22'!K224</f>
        <v>6685</v>
      </c>
      <c r="C1473" s="2" t="s">
        <v>573</v>
      </c>
      <c r="D1473" s="2" t="str">
        <f t="shared" si="22"/>
        <v>Error?</v>
      </c>
    </row>
    <row r="1474" spans="1:4" x14ac:dyDescent="0.2">
      <c r="A1474" s="5">
        <v>1413</v>
      </c>
      <c r="B1474" s="138">
        <f>'Expenditures 15-22'!K229</f>
        <v>1046765</v>
      </c>
      <c r="C1474" s="2" t="s">
        <v>573</v>
      </c>
      <c r="D1474" s="2" t="str">
        <f t="shared" si="22"/>
        <v>Error?</v>
      </c>
    </row>
    <row r="1475" spans="1:4" x14ac:dyDescent="0.2">
      <c r="A1475" s="5">
        <v>1414</v>
      </c>
      <c r="B1475" s="138">
        <f>'Expenditures 15-22'!K232</f>
        <v>14860</v>
      </c>
      <c r="C1475" s="2" t="s">
        <v>573</v>
      </c>
      <c r="D1475" s="2" t="str">
        <f t="shared" si="22"/>
        <v>Error?</v>
      </c>
    </row>
    <row r="1476" spans="1:4" x14ac:dyDescent="0.2">
      <c r="A1476" s="5">
        <v>1415</v>
      </c>
      <c r="B1476" s="138">
        <f>'Expenditures 15-22'!K233</f>
        <v>13304</v>
      </c>
      <c r="C1476" s="2" t="s">
        <v>573</v>
      </c>
      <c r="D1476" s="2" t="str">
        <f t="shared" si="22"/>
        <v>Error?</v>
      </c>
    </row>
    <row r="1477" spans="1:4" x14ac:dyDescent="0.2">
      <c r="A1477" s="5">
        <v>1416</v>
      </c>
      <c r="B1477" s="138">
        <f>'Expenditures 15-22'!K234</f>
        <v>79203</v>
      </c>
      <c r="C1477" s="2" t="s">
        <v>573</v>
      </c>
      <c r="D1477" s="2" t="str">
        <f t="shared" si="22"/>
        <v>Error?</v>
      </c>
    </row>
    <row r="1478" spans="1:4" x14ac:dyDescent="0.2">
      <c r="A1478" s="5">
        <v>1417</v>
      </c>
      <c r="B1478" s="138">
        <f>'Expenditures 15-22'!K235</f>
        <v>5045</v>
      </c>
      <c r="C1478" s="2" t="s">
        <v>573</v>
      </c>
      <c r="D1478" s="2" t="str">
        <f t="shared" si="22"/>
        <v>Error?</v>
      </c>
    </row>
    <row r="1479" spans="1:4" x14ac:dyDescent="0.2">
      <c r="A1479" s="5">
        <v>1418</v>
      </c>
      <c r="B1479" s="138">
        <f>'Expenditures 15-22'!K236</f>
        <v>9787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122199</v>
      </c>
      <c r="C1481" s="2" t="s">
        <v>573</v>
      </c>
      <c r="D1481" s="2" t="str">
        <f t="shared" si="22"/>
        <v>Error?</v>
      </c>
    </row>
    <row r="1482" spans="1:4" x14ac:dyDescent="0.2">
      <c r="A1482" s="5">
        <v>1421</v>
      </c>
      <c r="B1482" s="138">
        <f>'Expenditures 15-22'!K240</f>
        <v>62261</v>
      </c>
      <c r="C1482" s="2" t="s">
        <v>573</v>
      </c>
      <c r="D1482" s="2" t="str">
        <f t="shared" si="22"/>
        <v>Error?</v>
      </c>
    </row>
    <row r="1483" spans="1:4" x14ac:dyDescent="0.2">
      <c r="A1483" s="5">
        <v>1422</v>
      </c>
      <c r="B1483" s="138">
        <f>'Expenditures 15-22'!K241</f>
        <v>67152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129413</v>
      </c>
      <c r="C1485" s="2" t="s">
        <v>573</v>
      </c>
      <c r="D1485" s="2" t="str">
        <f t="shared" si="22"/>
        <v>Error?</v>
      </c>
    </row>
    <row r="1486" spans="1:4" x14ac:dyDescent="0.2">
      <c r="A1486" s="5">
        <v>1425</v>
      </c>
      <c r="B1486" s="138">
        <f>'Expenditures 15-22'!K245</f>
        <v>8893</v>
      </c>
      <c r="C1486" s="2" t="s">
        <v>573</v>
      </c>
      <c r="D1486" s="2" t="str">
        <f t="shared" si="22"/>
        <v>Error?</v>
      </c>
    </row>
    <row r="1487" spans="1:4" x14ac:dyDescent="0.2">
      <c r="A1487" s="5">
        <v>1426</v>
      </c>
      <c r="B1487" s="138">
        <f>'Expenditures 15-22'!K246</f>
        <v>24168</v>
      </c>
      <c r="C1487" s="2" t="s">
        <v>573</v>
      </c>
      <c r="D1487" s="2" t="str">
        <f t="shared" si="22"/>
        <v>Error?</v>
      </c>
    </row>
    <row r="1488" spans="1:4" x14ac:dyDescent="0.2">
      <c r="A1488" s="5">
        <v>1427</v>
      </c>
      <c r="B1488" s="138">
        <f>'Expenditures 15-22'!K257</f>
        <v>102257</v>
      </c>
      <c r="C1488" s="2" t="s">
        <v>573</v>
      </c>
      <c r="D1488" s="2" t="str">
        <f t="shared" si="22"/>
        <v>Error?</v>
      </c>
    </row>
    <row r="1489" spans="1:4" x14ac:dyDescent="0.2">
      <c r="A1489" s="5">
        <v>1428</v>
      </c>
      <c r="B1489" s="138">
        <f>'Expenditures 15-22'!K259</f>
        <v>194255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194255</v>
      </c>
      <c r="C1491" s="2" t="s">
        <v>573</v>
      </c>
      <c r="D1491" s="2" t="str">
        <f t="shared" si="22"/>
        <v>Error?</v>
      </c>
    </row>
    <row r="1492" spans="1:4" x14ac:dyDescent="0.2">
      <c r="A1492" s="5">
        <v>1431</v>
      </c>
      <c r="B1492" s="138">
        <f>'Expenditures 15-22'!K263</f>
        <v>1196</v>
      </c>
      <c r="C1492" s="2" t="s">
        <v>573</v>
      </c>
      <c r="D1492" s="2" t="str">
        <f t="shared" si="22"/>
        <v>Error?</v>
      </c>
    </row>
    <row r="1493" spans="1:4" x14ac:dyDescent="0.2">
      <c r="A1493" s="5">
        <v>1432</v>
      </c>
      <c r="B1493" s="138">
        <f>'Expenditures 15-22'!K264</f>
        <v>62244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405382</v>
      </c>
      <c r="C1495" s="2" t="s">
        <v>573</v>
      </c>
      <c r="D1495" s="2" t="str">
        <f t="shared" si="22"/>
        <v>Error?</v>
      </c>
    </row>
    <row r="1496" spans="1:4" x14ac:dyDescent="0.2">
      <c r="A1496" s="5">
        <v>1435</v>
      </c>
      <c r="B1496" s="138">
        <f>'Expenditures 15-22'!K267</f>
        <v>587</v>
      </c>
      <c r="C1496" s="2" t="s">
        <v>573</v>
      </c>
      <c r="D1496" s="2" t="str">
        <f t="shared" si="22"/>
        <v>Error?</v>
      </c>
    </row>
    <row r="1497" spans="1:4" x14ac:dyDescent="0.2">
      <c r="A1497" s="5">
        <v>1436</v>
      </c>
      <c r="B1497" s="138">
        <f>'Expenditures 15-22'!K268</f>
        <v>230110</v>
      </c>
      <c r="C1497" s="2" t="s">
        <v>573</v>
      </c>
      <c r="D1497" s="2" t="str">
        <f t="shared" si="22"/>
        <v>Error?</v>
      </c>
    </row>
    <row r="1498" spans="1:4" x14ac:dyDescent="0.2">
      <c r="A1498" s="5">
        <v>1437</v>
      </c>
      <c r="B1498" s="138">
        <f>'Expenditures 15-22'!K269</f>
        <v>2777</v>
      </c>
      <c r="C1498" s="2" t="s">
        <v>573</v>
      </c>
      <c r="D1498" s="2" t="str">
        <f t="shared" si="22"/>
        <v>Error?</v>
      </c>
    </row>
    <row r="1499" spans="1:4" x14ac:dyDescent="0.2">
      <c r="A1499" s="10">
        <v>1438</v>
      </c>
      <c r="D1499" s="2" t="str">
        <f t="shared" si="22"/>
        <v>OK</v>
      </c>
    </row>
    <row r="1500" spans="1:4" x14ac:dyDescent="0.2">
      <c r="A1500" s="5">
        <v>1439</v>
      </c>
      <c r="B1500" s="138">
        <f>'Expenditures 15-22'!K270</f>
        <v>702296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29764</v>
      </c>
      <c r="C1504" s="2" t="s">
        <v>573</v>
      </c>
      <c r="D1504" s="2" t="str">
        <f t="shared" si="22"/>
        <v>Error?</v>
      </c>
    </row>
    <row r="1505" spans="1:4" x14ac:dyDescent="0.2">
      <c r="A1505" s="10">
        <v>1444</v>
      </c>
      <c r="D1505" s="2" t="str">
        <f t="shared" si="22"/>
        <v>OK</v>
      </c>
    </row>
    <row r="1506" spans="1:4" x14ac:dyDescent="0.2">
      <c r="A1506" s="5">
        <v>1445</v>
      </c>
      <c r="B1506" s="138">
        <f>'Expenditures 15-22'!K276</f>
        <v>90316</v>
      </c>
      <c r="C1506" s="2" t="s">
        <v>573</v>
      </c>
      <c r="D1506" s="2" t="str">
        <f t="shared" si="22"/>
        <v>Error?</v>
      </c>
    </row>
    <row r="1507" spans="1:4" x14ac:dyDescent="0.2">
      <c r="A1507" s="10">
        <v>1446</v>
      </c>
      <c r="D1507" s="2" t="str">
        <f t="shared" si="22"/>
        <v>OK</v>
      </c>
    </row>
    <row r="1508" spans="1:4" x14ac:dyDescent="0.2">
      <c r="A1508" s="5">
        <v>1447</v>
      </c>
      <c r="B1508" s="138">
        <f>'Expenditures 15-22'!K277</f>
        <v>120080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1370500</v>
      </c>
      <c r="C1510" s="2" t="s">
        <v>573</v>
      </c>
      <c r="D1510" s="2" t="str">
        <f t="shared" si="22"/>
        <v>Error?</v>
      </c>
    </row>
    <row r="1511" spans="1:4" x14ac:dyDescent="0.2">
      <c r="A1511" s="5">
        <v>1450</v>
      </c>
      <c r="B1511" s="138">
        <f>'Expenditures 15-22'!K280</f>
        <v>150184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2567449</v>
      </c>
      <c r="C1517" s="2" t="s">
        <v>573</v>
      </c>
      <c r="D1517" s="2" t="str">
        <f t="shared" si="22"/>
        <v>Error?</v>
      </c>
    </row>
    <row r="1518" spans="1:4" x14ac:dyDescent="0.2">
      <c r="A1518" s="5">
        <v>1457</v>
      </c>
      <c r="B1518" s="138">
        <f>'Expenditures 15-22'!K296</f>
        <v>69071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489588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489588</v>
      </c>
      <c r="C1547" s="2" t="s">
        <v>573</v>
      </c>
      <c r="D1547" s="2" t="str">
        <f t="shared" si="23"/>
        <v>Error?</v>
      </c>
    </row>
    <row r="1548" spans="1:4" x14ac:dyDescent="0.2">
      <c r="A1548" s="5">
        <v>1487</v>
      </c>
      <c r="B1548" s="138">
        <f>'Expenditures 15-22'!G312</f>
        <v>489588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489588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489588</v>
      </c>
      <c r="C1559" s="2" t="s">
        <v>573</v>
      </c>
      <c r="D1559" s="2" t="str">
        <f t="shared" si="23"/>
        <v>Error?</v>
      </c>
    </row>
    <row r="1560" spans="1:4" x14ac:dyDescent="0.2">
      <c r="A1560" s="5">
        <v>1499</v>
      </c>
      <c r="B1560" s="138">
        <f>'Expenditures 15-22'!K312</f>
        <v>489588</v>
      </c>
      <c r="C1560" s="2" t="s">
        <v>573</v>
      </c>
      <c r="D1560" s="2" t="str">
        <f t="shared" si="23"/>
        <v>Error?</v>
      </c>
    </row>
    <row r="1561" spans="1:4" x14ac:dyDescent="0.2">
      <c r="A1561" s="5">
        <v>1500</v>
      </c>
      <c r="B1561" s="138">
        <f>'Expenditures 15-22'!K313</f>
        <v>-447280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20097696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20438636</v>
      </c>
      <c r="C1630" s="2" t="s">
        <v>573</v>
      </c>
      <c r="D1630" s="2" t="str">
        <f t="shared" si="24"/>
        <v>Error?</v>
      </c>
    </row>
    <row r="1631" spans="1:4" x14ac:dyDescent="0.2">
      <c r="A1631" s="5">
        <v>1570</v>
      </c>
      <c r="B1631" s="138">
        <f>'Acct Summary 7-8'!D79</f>
        <v>4181251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3181305</v>
      </c>
      <c r="C1644" s="2" t="s">
        <v>573</v>
      </c>
      <c r="D1644" s="2" t="str">
        <f t="shared" si="24"/>
        <v>Error?</v>
      </c>
    </row>
    <row r="1645" spans="1:4" x14ac:dyDescent="0.2">
      <c r="A1645" s="5">
        <v>1584</v>
      </c>
      <c r="B1645" s="138">
        <f>'Acct Summary 7-8'!E79</f>
        <v>240990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350520</v>
      </c>
      <c r="C1658" s="2" t="s">
        <v>573</v>
      </c>
      <c r="D1658" s="2" t="str">
        <f t="shared" si="24"/>
        <v>Error?</v>
      </c>
    </row>
    <row r="1659" spans="1:4" x14ac:dyDescent="0.2">
      <c r="A1659" s="5">
        <v>1598</v>
      </c>
      <c r="B1659" s="138">
        <f>'Acct Summary 7-8'!F79</f>
        <v>3037658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2974385</v>
      </c>
      <c r="C1672" s="2" t="s">
        <v>573</v>
      </c>
      <c r="D1672" s="2" t="str">
        <f t="shared" si="25"/>
        <v>Error?</v>
      </c>
    </row>
    <row r="1673" spans="1:4" x14ac:dyDescent="0.2">
      <c r="A1673" s="5">
        <v>1612</v>
      </c>
      <c r="B1673" s="138">
        <f>'Acct Summary 7-8'!G79</f>
        <v>1632621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1701692</v>
      </c>
      <c r="C1686" s="2" t="s">
        <v>573</v>
      </c>
      <c r="D1686" s="2" t="str">
        <f t="shared" si="25"/>
        <v>Error?</v>
      </c>
    </row>
    <row r="1687" spans="1:4" x14ac:dyDescent="0.2">
      <c r="A1687" s="5">
        <v>1626</v>
      </c>
      <c r="B1687" s="138">
        <f>'Acct Summary 7-8'!H79</f>
        <v>448040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9027374</v>
      </c>
      <c r="C1744" s="2" t="s">
        <v>573</v>
      </c>
      <c r="D1744" s="2" t="str">
        <f t="shared" si="26"/>
        <v>Error?</v>
      </c>
    </row>
    <row r="1745" spans="1:5" x14ac:dyDescent="0.2">
      <c r="A1745" s="5">
        <v>1684</v>
      </c>
      <c r="B1745" s="138">
        <f>'Tax Sched 23'!B5</f>
        <v>1659439</v>
      </c>
      <c r="C1745" s="2" t="s">
        <v>573</v>
      </c>
      <c r="D1745" s="2" t="str">
        <f t="shared" si="26"/>
        <v>Error?</v>
      </c>
    </row>
    <row r="1746" spans="1:5" x14ac:dyDescent="0.2">
      <c r="A1746" s="5">
        <v>1685</v>
      </c>
      <c r="B1746" s="138">
        <f>'Tax Sched 23'!B6</f>
        <v>2258283</v>
      </c>
      <c r="C1746" s="2" t="s">
        <v>573</v>
      </c>
      <c r="D1746" s="2" t="str">
        <f t="shared" si="26"/>
        <v>Error?</v>
      </c>
    </row>
    <row r="1747" spans="1:5" x14ac:dyDescent="0.2">
      <c r="A1747" s="5">
        <v>1686</v>
      </c>
      <c r="B1747" s="138">
        <f>'Tax Sched 23'!B7</f>
        <v>663775</v>
      </c>
      <c r="C1747" s="2" t="s">
        <v>573</v>
      </c>
      <c r="D1747" s="2" t="str">
        <f t="shared" si="26"/>
        <v>Error?</v>
      </c>
    </row>
    <row r="1748" spans="1:5" x14ac:dyDescent="0.2">
      <c r="A1748" s="5">
        <v>1687</v>
      </c>
      <c r="B1748" s="138">
        <f>'Tax Sched 23'!B8</f>
        <v>1244648</v>
      </c>
      <c r="C1748" s="2" t="s">
        <v>573</v>
      </c>
      <c r="D1748" s="2" t="str">
        <f t="shared" si="26"/>
        <v>Error?</v>
      </c>
    </row>
    <row r="1749" spans="1:5" x14ac:dyDescent="0.2">
      <c r="A1749" s="5">
        <v>1688</v>
      </c>
      <c r="B1749" s="138">
        <f>'Tax Sched 23'!B10</f>
        <v>165935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1616322</v>
      </c>
      <c r="C1752" s="2" t="s">
        <v>573</v>
      </c>
      <c r="D1752" s="2" t="str">
        <f t="shared" si="26"/>
        <v>Error?</v>
      </c>
    </row>
    <row r="1753" spans="1:5" x14ac:dyDescent="0.2">
      <c r="A1753" s="5">
        <v>1692</v>
      </c>
      <c r="B1753" s="138">
        <f>'Tax Sched 23'!B12</f>
        <v>165935</v>
      </c>
      <c r="C1753" s="2" t="s">
        <v>573</v>
      </c>
      <c r="D1753" s="2" t="str">
        <f t="shared" si="26"/>
        <v>Error?</v>
      </c>
    </row>
    <row r="1754" spans="1:5" x14ac:dyDescent="0.2">
      <c r="A1754" s="5">
        <v>1693</v>
      </c>
      <c r="B1754" s="138">
        <f>'Tax Sched 23'!B14</f>
        <v>132755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18300998</v>
      </c>
      <c r="C1759" s="2" t="s">
        <v>573</v>
      </c>
      <c r="D1759" s="2" t="str">
        <f t="shared" si="26"/>
        <v>Error?</v>
      </c>
    </row>
    <row r="1760" spans="1:5" x14ac:dyDescent="0.2">
      <c r="A1760" s="5">
        <v>1699</v>
      </c>
      <c r="B1760" s="138">
        <f>'Tax Sched 23'!D4</f>
        <v>9027374</v>
      </c>
      <c r="C1760" s="2" t="s">
        <v>573</v>
      </c>
      <c r="D1760" s="2" t="str">
        <f t="shared" si="26"/>
        <v>Error?</v>
      </c>
    </row>
    <row r="1761" spans="1:5" x14ac:dyDescent="0.2">
      <c r="A1761" s="5">
        <v>1700</v>
      </c>
      <c r="B1761" s="138">
        <f>'Tax Sched 23'!D5</f>
        <v>1659439</v>
      </c>
      <c r="C1761" s="2" t="s">
        <v>573</v>
      </c>
      <c r="D1761" s="2" t="str">
        <f t="shared" si="26"/>
        <v>Error?</v>
      </c>
    </row>
    <row r="1762" spans="1:5" s="8" customFormat="1" x14ac:dyDescent="0.2">
      <c r="A1762" s="5">
        <v>1701</v>
      </c>
      <c r="B1762" s="138">
        <f>'Tax Sched 23'!D6</f>
        <v>2258283</v>
      </c>
      <c r="C1762" s="2" t="s">
        <v>573</v>
      </c>
      <c r="D1762" s="2" t="str">
        <f t="shared" si="26"/>
        <v>Error?</v>
      </c>
      <c r="E1762" s="9"/>
    </row>
    <row r="1763" spans="1:5" x14ac:dyDescent="0.2">
      <c r="A1763" s="5">
        <v>1702</v>
      </c>
      <c r="B1763" s="138">
        <f>'Tax Sched 23'!D7</f>
        <v>663775</v>
      </c>
      <c r="C1763" s="2" t="s">
        <v>573</v>
      </c>
      <c r="D1763" s="2" t="str">
        <f t="shared" si="26"/>
        <v>Error?</v>
      </c>
    </row>
    <row r="1764" spans="1:5" x14ac:dyDescent="0.2">
      <c r="A1764" s="5">
        <v>1703</v>
      </c>
      <c r="B1764" s="138">
        <f>'Tax Sched 23'!D8</f>
        <v>1244648</v>
      </c>
      <c r="C1764" s="2" t="s">
        <v>573</v>
      </c>
      <c r="D1764" s="2" t="str">
        <f t="shared" si="26"/>
        <v>Error?</v>
      </c>
    </row>
    <row r="1765" spans="1:5" x14ac:dyDescent="0.2">
      <c r="A1765" s="5">
        <v>1704</v>
      </c>
      <c r="B1765" s="138">
        <f>'Tax Sched 23'!D10</f>
        <v>165935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1616322</v>
      </c>
      <c r="C1768" s="2" t="s">
        <v>573</v>
      </c>
      <c r="D1768" s="2" t="str">
        <f t="shared" si="26"/>
        <v>Error?</v>
      </c>
    </row>
    <row r="1769" spans="1:5" x14ac:dyDescent="0.2">
      <c r="A1769" s="5">
        <v>1708</v>
      </c>
      <c r="B1769" s="138">
        <f>'Tax Sched 23'!D12</f>
        <v>165935</v>
      </c>
      <c r="C1769" s="2" t="s">
        <v>573</v>
      </c>
      <c r="D1769" s="2" t="str">
        <f t="shared" si="26"/>
        <v>Error?</v>
      </c>
    </row>
    <row r="1770" spans="1:5" x14ac:dyDescent="0.2">
      <c r="A1770" s="5">
        <v>1709</v>
      </c>
      <c r="B1770" s="138">
        <f>'Tax Sched 23'!D14</f>
        <v>132755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18300998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9321343</v>
      </c>
      <c r="C1792" s="2" t="s">
        <v>573</v>
      </c>
      <c r="D1792" s="2" t="str">
        <f t="shared" si="27"/>
        <v>Error?</v>
      </c>
    </row>
    <row r="1793" spans="1:4" x14ac:dyDescent="0.2">
      <c r="A1793" s="5">
        <v>1732</v>
      </c>
      <c r="B1793" s="138">
        <f>'Tax Sched 23'!F5</f>
        <v>1713482</v>
      </c>
      <c r="C1793" s="2" t="s">
        <v>573</v>
      </c>
      <c r="D1793" s="2" t="str">
        <f t="shared" si="27"/>
        <v>Error?</v>
      </c>
    </row>
    <row r="1794" spans="1:4" x14ac:dyDescent="0.2">
      <c r="A1794" s="5">
        <v>1733</v>
      </c>
      <c r="B1794" s="138">
        <f>'Tax Sched 23'!F6</f>
        <v>2270261</v>
      </c>
      <c r="C1794" s="2" t="s">
        <v>573</v>
      </c>
      <c r="D1794" s="2" t="str">
        <f t="shared" si="27"/>
        <v>Error?</v>
      </c>
    </row>
    <row r="1795" spans="1:4" x14ac:dyDescent="0.2">
      <c r="A1795" s="5">
        <v>1734</v>
      </c>
      <c r="B1795" s="138">
        <f>'Tax Sched 23'!F7</f>
        <v>685393</v>
      </c>
      <c r="C1795" s="2" t="s">
        <v>573</v>
      </c>
      <c r="D1795" s="2" t="str">
        <f t="shared" si="27"/>
        <v>Error?</v>
      </c>
    </row>
    <row r="1796" spans="1:4" x14ac:dyDescent="0.2">
      <c r="A1796" s="5">
        <v>1735</v>
      </c>
      <c r="B1796" s="138">
        <f>'Tax Sched 23'!F8</f>
        <v>1257285</v>
      </c>
      <c r="C1796" s="2" t="s">
        <v>573</v>
      </c>
      <c r="D1796" s="2" t="str">
        <f t="shared" si="27"/>
        <v>Error?</v>
      </c>
    </row>
    <row r="1797" spans="1:4" x14ac:dyDescent="0.2">
      <c r="A1797" s="5">
        <v>1736</v>
      </c>
      <c r="B1797" s="138">
        <f>'Tax Sched 23'!F10</f>
        <v>171348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1632709</v>
      </c>
      <c r="C1800" s="2" t="s">
        <v>573</v>
      </c>
      <c r="D1800" s="2" t="str">
        <f t="shared" si="27"/>
        <v>Error?</v>
      </c>
    </row>
    <row r="1801" spans="1:4" x14ac:dyDescent="0.2">
      <c r="A1801" s="5">
        <v>1740</v>
      </c>
      <c r="B1801" s="138">
        <f>'Tax Sched 23'!F12</f>
        <v>171348</v>
      </c>
      <c r="C1801" s="2" t="s">
        <v>573</v>
      </c>
      <c r="D1801" s="2" t="str">
        <f t="shared" si="27"/>
        <v>Error?</v>
      </c>
    </row>
    <row r="1802" spans="1:4" x14ac:dyDescent="0.2">
      <c r="A1802" s="5">
        <v>1741</v>
      </c>
      <c r="B1802" s="138">
        <f>'Tax Sched 23'!F14</f>
        <v>137079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18744364</v>
      </c>
      <c r="C1807" s="2" t="s">
        <v>573</v>
      </c>
      <c r="D1807" s="2" t="str">
        <f t="shared" si="27"/>
        <v>Error?</v>
      </c>
    </row>
    <row r="1808" spans="1:4" x14ac:dyDescent="0.2">
      <c r="A1808" s="5">
        <v>1747</v>
      </c>
      <c r="B1808" s="138">
        <f>'Tax Sched 23'!E4</f>
        <v>9321343</v>
      </c>
      <c r="D1808" s="2" t="str">
        <f t="shared" si="27"/>
        <v>Error?</v>
      </c>
    </row>
    <row r="1809" spans="1:4" x14ac:dyDescent="0.2">
      <c r="A1809" s="5">
        <v>1748</v>
      </c>
      <c r="B1809" s="138">
        <f>'Tax Sched 23'!E5</f>
        <v>1713482</v>
      </c>
      <c r="D1809" s="2" t="str">
        <f t="shared" si="27"/>
        <v>Error?</v>
      </c>
    </row>
    <row r="1810" spans="1:4" x14ac:dyDescent="0.2">
      <c r="A1810" s="5">
        <v>1749</v>
      </c>
      <c r="B1810" s="138">
        <f>'Tax Sched 23'!E6</f>
        <v>2270261</v>
      </c>
      <c r="D1810" s="2" t="str">
        <f t="shared" si="27"/>
        <v>Error?</v>
      </c>
    </row>
    <row r="1811" spans="1:4" x14ac:dyDescent="0.2">
      <c r="A1811" s="5">
        <v>1750</v>
      </c>
      <c r="B1811" s="138">
        <f>'Tax Sched 23'!E7</f>
        <v>685393</v>
      </c>
      <c r="D1811" s="2" t="str">
        <f t="shared" si="27"/>
        <v>Error?</v>
      </c>
    </row>
    <row r="1812" spans="1:4" x14ac:dyDescent="0.2">
      <c r="A1812" s="5">
        <v>1751</v>
      </c>
      <c r="B1812" s="138">
        <f>'Tax Sched 23'!E8</f>
        <v>1257285</v>
      </c>
      <c r="D1812" s="2" t="str">
        <f t="shared" si="27"/>
        <v>Error?</v>
      </c>
    </row>
    <row r="1813" spans="1:4" x14ac:dyDescent="0.2">
      <c r="A1813" s="5">
        <v>1752</v>
      </c>
      <c r="B1813" s="138">
        <f>'Tax Sched 23'!E10</f>
        <v>171348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1632709</v>
      </c>
      <c r="D1816" s="2" t="str">
        <f t="shared" si="27"/>
        <v>Error?</v>
      </c>
    </row>
    <row r="1817" spans="1:4" x14ac:dyDescent="0.2">
      <c r="A1817" s="5">
        <v>1756</v>
      </c>
      <c r="B1817" s="138">
        <f>'Tax Sched 23'!E12</f>
        <v>171348</v>
      </c>
      <c r="D1817" s="2" t="str">
        <f t="shared" si="27"/>
        <v>Error?</v>
      </c>
    </row>
    <row r="1818" spans="1:4" x14ac:dyDescent="0.2">
      <c r="A1818" s="5">
        <v>1757</v>
      </c>
      <c r="B1818" s="138">
        <f>'Tax Sched 23'!E14</f>
        <v>137079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18744364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32327533</v>
      </c>
      <c r="C1939" s="2" t="s">
        <v>573</v>
      </c>
      <c r="D1939" s="2" t="str">
        <f t="shared" si="29"/>
        <v>Error?</v>
      </c>
    </row>
    <row r="1940" spans="1:5" x14ac:dyDescent="0.2">
      <c r="A1940" s="5">
        <v>1879</v>
      </c>
      <c r="B1940" s="138">
        <f>'Short-Term Long-Term Debt 24'!F49</f>
        <v>969553</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130940</v>
      </c>
      <c r="D1971" s="2" t="str">
        <f t="shared" si="29"/>
        <v>Error?</v>
      </c>
    </row>
    <row r="1972" spans="1:5" x14ac:dyDescent="0.2">
      <c r="A1972" s="5">
        <v>1911</v>
      </c>
      <c r="B1972" s="138">
        <f>'Rest Tax Levies-Tort Im 25'!H5</f>
        <v>132755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132755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263695</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2318348</v>
      </c>
      <c r="D2008" s="2" t="str">
        <f t="shared" si="30"/>
        <v>Error?</v>
      </c>
    </row>
    <row r="2009" spans="1:4" x14ac:dyDescent="0.2">
      <c r="A2009" s="5">
        <v>1948</v>
      </c>
      <c r="B2009" s="138">
        <f>'Cap Outlay Deprec 26'!C8</f>
        <v>107624249</v>
      </c>
      <c r="D2009" s="2" t="str">
        <f t="shared" si="30"/>
        <v>Error?</v>
      </c>
    </row>
    <row r="2010" spans="1:4" x14ac:dyDescent="0.2">
      <c r="A2010" s="5">
        <v>1949</v>
      </c>
      <c r="B2010" s="138">
        <f>'Cap Outlay Deprec 26'!C10</f>
        <v>7010898</v>
      </c>
      <c r="D2010" s="2" t="str">
        <f t="shared" si="30"/>
        <v>Error?</v>
      </c>
    </row>
    <row r="2011" spans="1:4" x14ac:dyDescent="0.2">
      <c r="A2011" s="5">
        <v>1950</v>
      </c>
      <c r="B2011" s="138">
        <f>'Cap Outlay Deprec 26'!C12</f>
        <v>2767113</v>
      </c>
      <c r="D2011" s="2" t="str">
        <f t="shared" si="30"/>
        <v>Error?</v>
      </c>
    </row>
    <row r="2012" spans="1:4" x14ac:dyDescent="0.2">
      <c r="A2012" s="5">
        <v>1951</v>
      </c>
      <c r="B2012" s="138">
        <f>'Cap Outlay Deprec 26'!C13</f>
        <v>1766225</v>
      </c>
      <c r="D2012" s="2" t="str">
        <f t="shared" si="30"/>
        <v>Error?</v>
      </c>
    </row>
    <row r="2013" spans="1:4" x14ac:dyDescent="0.2">
      <c r="A2013" s="5">
        <v>1952</v>
      </c>
      <c r="B2013" s="138">
        <f>'Cap Outlay Deprec 26'!C16</f>
        <v>121836005</v>
      </c>
      <c r="C2013" s="2" t="s">
        <v>573</v>
      </c>
      <c r="D2013" s="2" t="str">
        <f t="shared" si="30"/>
        <v>Error?</v>
      </c>
    </row>
    <row r="2014" spans="1:4" x14ac:dyDescent="0.2">
      <c r="A2014" s="5">
        <v>1953</v>
      </c>
      <c r="B2014" s="138">
        <f>'Cap Outlay Deprec 26'!D5</f>
        <v>105450</v>
      </c>
      <c r="D2014" s="2" t="str">
        <f t="shared" si="30"/>
        <v>Error?</v>
      </c>
    </row>
    <row r="2015" spans="1:4" x14ac:dyDescent="0.2">
      <c r="A2015" s="5">
        <v>1954</v>
      </c>
      <c r="B2015" s="138">
        <f>'Cap Outlay Deprec 26'!D8</f>
        <v>809988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74659</v>
      </c>
      <c r="D2017" s="2" t="str">
        <f t="shared" si="30"/>
        <v>Error?</v>
      </c>
    </row>
    <row r="2018" spans="1:4" x14ac:dyDescent="0.2">
      <c r="A2018" s="5">
        <v>1957</v>
      </c>
      <c r="B2018" s="138">
        <f>'Cap Outlay Deprec 26'!D13</f>
        <v>76102</v>
      </c>
      <c r="D2018" s="2" t="str">
        <f t="shared" si="30"/>
        <v>Error?</v>
      </c>
    </row>
    <row r="2019" spans="1:4" x14ac:dyDescent="0.2">
      <c r="A2019" s="5">
        <v>1958</v>
      </c>
      <c r="B2019" s="138">
        <f>'Cap Outlay Deprec 26'!D16</f>
        <v>3610779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30369</v>
      </c>
      <c r="D2023" s="2" t="str">
        <f t="shared" si="30"/>
        <v>Error?</v>
      </c>
    </row>
    <row r="2024" spans="1:4" x14ac:dyDescent="0.2">
      <c r="A2024" s="5">
        <v>1963</v>
      </c>
      <c r="B2024" s="138">
        <f>'Cap Outlay Deprec 26'!E13</f>
        <v>11850</v>
      </c>
      <c r="D2024" s="2" t="str">
        <f t="shared" si="30"/>
        <v>Error?</v>
      </c>
    </row>
    <row r="2025" spans="1:4" x14ac:dyDescent="0.2">
      <c r="A2025" s="5">
        <v>1964</v>
      </c>
      <c r="B2025" s="138">
        <f>'Cap Outlay Deprec 26'!E16</f>
        <v>844996</v>
      </c>
      <c r="C2025" s="2" t="s">
        <v>573</v>
      </c>
      <c r="D2025" s="2" t="str">
        <f t="shared" si="30"/>
        <v>Error?</v>
      </c>
    </row>
    <row r="2026" spans="1:4" x14ac:dyDescent="0.2">
      <c r="A2026" s="5">
        <v>1965</v>
      </c>
      <c r="B2026" s="138">
        <f>'Cap Outlay Deprec 26'!F5</f>
        <v>2423798</v>
      </c>
      <c r="C2026" s="2" t="s">
        <v>573</v>
      </c>
      <c r="D2026" s="2" t="str">
        <f t="shared" si="30"/>
        <v>Error?</v>
      </c>
    </row>
    <row r="2027" spans="1:4" x14ac:dyDescent="0.2">
      <c r="A2027" s="5">
        <v>1966</v>
      </c>
      <c r="B2027" s="138">
        <f>'Cap Outlay Deprec 26'!F8</f>
        <v>108434237</v>
      </c>
      <c r="C2027" s="2" t="s">
        <v>573</v>
      </c>
      <c r="D2027" s="2" t="str">
        <f t="shared" si="30"/>
        <v>Error?</v>
      </c>
    </row>
    <row r="2028" spans="1:4" x14ac:dyDescent="0.2">
      <c r="A2028" s="5">
        <v>1967</v>
      </c>
      <c r="B2028" s="138">
        <f>'Cap Outlay Deprec 26'!F10</f>
        <v>7010898</v>
      </c>
      <c r="C2028" s="2" t="s">
        <v>573</v>
      </c>
      <c r="D2028" s="2" t="str">
        <f t="shared" si="30"/>
        <v>Error?</v>
      </c>
    </row>
    <row r="2029" spans="1:4" x14ac:dyDescent="0.2">
      <c r="A2029" s="5">
        <v>1968</v>
      </c>
      <c r="B2029" s="138">
        <f>'Cap Outlay Deprec 26'!F12</f>
        <v>2811403</v>
      </c>
      <c r="C2029" s="2" t="s">
        <v>573</v>
      </c>
      <c r="D2029" s="2" t="str">
        <f t="shared" si="30"/>
        <v>Error?</v>
      </c>
    </row>
    <row r="2030" spans="1:4" x14ac:dyDescent="0.2">
      <c r="A2030" s="5">
        <v>1969</v>
      </c>
      <c r="B2030" s="138">
        <f>'Cap Outlay Deprec 26'!F13</f>
        <v>1830477</v>
      </c>
      <c r="C2030" s="2" t="s">
        <v>573</v>
      </c>
      <c r="D2030" s="2" t="str">
        <f t="shared" si="30"/>
        <v>Error?</v>
      </c>
    </row>
    <row r="2031" spans="1:4" x14ac:dyDescent="0.2">
      <c r="A2031" s="5">
        <v>1970</v>
      </c>
      <c r="B2031" s="138">
        <f>'Cap Outlay Deprec 26'!F16</f>
        <v>124601788</v>
      </c>
      <c r="C2031" s="2" t="s">
        <v>573</v>
      </c>
      <c r="D2031" s="2" t="str">
        <f t="shared" si="30"/>
        <v>Error?</v>
      </c>
    </row>
    <row r="2032" spans="1:4" x14ac:dyDescent="0.2">
      <c r="A2032" s="10">
        <v>1971</v>
      </c>
      <c r="D2032" s="2" t="str">
        <f t="shared" si="30"/>
        <v>OK</v>
      </c>
    </row>
    <row r="2033" spans="1:4" x14ac:dyDescent="0.2">
      <c r="A2033" s="5">
        <v>1972</v>
      </c>
      <c r="B2033" s="138">
        <f>'Cap Outlay Deprec 26'!H8</f>
        <v>63880505</v>
      </c>
      <c r="D2033" s="2" t="str">
        <f t="shared" si="30"/>
        <v>Error?</v>
      </c>
    </row>
    <row r="2034" spans="1:4" x14ac:dyDescent="0.2">
      <c r="A2034" s="5">
        <v>1973</v>
      </c>
      <c r="B2034" s="138">
        <f>'Cap Outlay Deprec 26'!H10</f>
        <v>333369</v>
      </c>
      <c r="D2034" s="2" t="str">
        <f t="shared" si="30"/>
        <v>Error?</v>
      </c>
    </row>
    <row r="2035" spans="1:4" x14ac:dyDescent="0.2">
      <c r="A2035" s="5">
        <v>1974</v>
      </c>
      <c r="B2035" s="138">
        <f>'Cap Outlay Deprec 26'!H12</f>
        <v>2050181</v>
      </c>
      <c r="D2035" s="2" t="str">
        <f t="shared" si="30"/>
        <v>Error?</v>
      </c>
    </row>
    <row r="2036" spans="1:4" x14ac:dyDescent="0.2">
      <c r="A2036" s="5">
        <v>1975</v>
      </c>
      <c r="B2036" s="138">
        <f>'Cap Outlay Deprec 26'!H13</f>
        <v>1345134</v>
      </c>
      <c r="D2036" s="2" t="str">
        <f t="shared" si="30"/>
        <v>Error?</v>
      </c>
    </row>
    <row r="2037" spans="1:4" x14ac:dyDescent="0.2">
      <c r="A2037" s="5">
        <v>1976</v>
      </c>
      <c r="B2037" s="138">
        <f>'Cap Outlay Deprec 26'!H16</f>
        <v>67609189</v>
      </c>
      <c r="C2037" s="2" t="s">
        <v>573</v>
      </c>
      <c r="D2037" s="2" t="str">
        <f t="shared" si="30"/>
        <v>Error?</v>
      </c>
    </row>
    <row r="2038" spans="1:4" x14ac:dyDescent="0.2">
      <c r="A2038" s="10">
        <v>1977</v>
      </c>
      <c r="D2038" s="2" t="str">
        <f t="shared" si="30"/>
        <v>OK</v>
      </c>
    </row>
    <row r="2039" spans="1:4" x14ac:dyDescent="0.2">
      <c r="A2039" s="5">
        <v>1978</v>
      </c>
      <c r="B2039" s="138">
        <f>'Cap Outlay Deprec 26'!I8</f>
        <v>3022978</v>
      </c>
      <c r="D2039" s="2" t="str">
        <f t="shared" si="30"/>
        <v>Error?</v>
      </c>
    </row>
    <row r="2040" spans="1:4" x14ac:dyDescent="0.2">
      <c r="A2040" s="5">
        <v>1979</v>
      </c>
      <c r="B2040" s="138">
        <f>'Cap Outlay Deprec 26'!I10</f>
        <v>350545</v>
      </c>
      <c r="D2040" s="2" t="str">
        <f t="shared" si="30"/>
        <v>Error?</v>
      </c>
    </row>
    <row r="2041" spans="1:4" x14ac:dyDescent="0.2">
      <c r="A2041" s="5">
        <v>1980</v>
      </c>
      <c r="B2041" s="138">
        <f>'Cap Outlay Deprec 26'!I12</f>
        <v>108016</v>
      </c>
      <c r="D2041" s="2" t="str">
        <f t="shared" si="30"/>
        <v>Error?</v>
      </c>
    </row>
    <row r="2042" spans="1:4" x14ac:dyDescent="0.2">
      <c r="A2042" s="5">
        <v>1981</v>
      </c>
      <c r="B2042" s="138">
        <f>'Cap Outlay Deprec 26'!I13</f>
        <v>293485</v>
      </c>
      <c r="D2042" s="2" t="str">
        <f t="shared" si="30"/>
        <v>Error?</v>
      </c>
    </row>
    <row r="2043" spans="1:4" x14ac:dyDescent="0.2">
      <c r="A2043" s="5">
        <v>1982</v>
      </c>
      <c r="B2043" s="138">
        <f>'Cap Outlay Deprec 26'!I16</f>
        <v>3775024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18979</v>
      </c>
      <c r="D2047" s="2" t="str">
        <f t="shared" ref="D2047:D2110" si="31">IF(ISBLANK(B2047),"OK",IF(A2047-B2047=0,"OK","Error?"))</f>
        <v>Error?</v>
      </c>
    </row>
    <row r="2048" spans="1:4" x14ac:dyDescent="0.2">
      <c r="A2048" s="5">
        <v>1987</v>
      </c>
      <c r="B2048" s="138">
        <f>'Cap Outlay Deprec 26'!J13</f>
        <v>11850</v>
      </c>
      <c r="D2048" s="2" t="str">
        <f t="shared" si="31"/>
        <v>Error?</v>
      </c>
    </row>
    <row r="2049" spans="1:4" x14ac:dyDescent="0.2">
      <c r="A2049" s="5">
        <v>1988</v>
      </c>
      <c r="B2049" s="138">
        <f>'Cap Outlay Deprec 26'!J16</f>
        <v>30829</v>
      </c>
      <c r="C2049" s="2" t="s">
        <v>573</v>
      </c>
      <c r="D2049" s="2" t="str">
        <f t="shared" si="31"/>
        <v>Error?</v>
      </c>
    </row>
    <row r="2050" spans="1:4" x14ac:dyDescent="0.2">
      <c r="A2050" s="10">
        <v>1989</v>
      </c>
      <c r="D2050" s="2" t="str">
        <f t="shared" si="31"/>
        <v>OK</v>
      </c>
    </row>
    <row r="2051" spans="1:4" x14ac:dyDescent="0.2">
      <c r="A2051" s="5">
        <v>1990</v>
      </c>
      <c r="B2051" s="138">
        <f>'Cap Outlay Deprec 26'!K8</f>
        <v>66903483</v>
      </c>
      <c r="C2051" s="2" t="s">
        <v>573</v>
      </c>
      <c r="D2051" s="2" t="str">
        <f t="shared" si="31"/>
        <v>Error?</v>
      </c>
    </row>
    <row r="2052" spans="1:4" x14ac:dyDescent="0.2">
      <c r="A2052" s="5">
        <v>1991</v>
      </c>
      <c r="B2052" s="138">
        <f>'Cap Outlay Deprec 26'!K10</f>
        <v>683914</v>
      </c>
      <c r="C2052" s="2" t="s">
        <v>573</v>
      </c>
      <c r="D2052" s="2" t="str">
        <f t="shared" si="31"/>
        <v>Error?</v>
      </c>
    </row>
    <row r="2053" spans="1:4" x14ac:dyDescent="0.2">
      <c r="A2053" s="5">
        <v>1992</v>
      </c>
      <c r="B2053" s="138">
        <f>'Cap Outlay Deprec 26'!K12</f>
        <v>2139218</v>
      </c>
      <c r="C2053" s="2" t="s">
        <v>573</v>
      </c>
      <c r="D2053" s="2" t="str">
        <f t="shared" si="31"/>
        <v>Error?</v>
      </c>
    </row>
    <row r="2054" spans="1:4" x14ac:dyDescent="0.2">
      <c r="A2054" s="5">
        <v>1993</v>
      </c>
      <c r="B2054" s="138">
        <f>'Cap Outlay Deprec 26'!K13</f>
        <v>1626769</v>
      </c>
      <c r="C2054" s="2" t="s">
        <v>573</v>
      </c>
      <c r="D2054" s="2" t="str">
        <f t="shared" si="31"/>
        <v>Error?</v>
      </c>
    </row>
    <row r="2055" spans="1:4" x14ac:dyDescent="0.2">
      <c r="A2055" s="5">
        <v>1994</v>
      </c>
      <c r="B2055" s="138">
        <f>'Cap Outlay Deprec 26'!K16</f>
        <v>71353384</v>
      </c>
      <c r="C2055" s="2" t="s">
        <v>573</v>
      </c>
      <c r="D2055" s="2" t="str">
        <f t="shared" si="31"/>
        <v>Error?</v>
      </c>
    </row>
    <row r="2056" spans="1:4" x14ac:dyDescent="0.2">
      <c r="A2056" s="5">
        <v>1995</v>
      </c>
      <c r="B2056" s="138">
        <f>'Cap Outlay Deprec 26'!L5</f>
        <v>2423798</v>
      </c>
      <c r="C2056" s="2" t="s">
        <v>573</v>
      </c>
      <c r="D2056" s="2" t="str">
        <f t="shared" si="31"/>
        <v>Error?</v>
      </c>
    </row>
    <row r="2057" spans="1:4" x14ac:dyDescent="0.2">
      <c r="A2057" s="5">
        <v>1996</v>
      </c>
      <c r="B2057" s="138">
        <f>'Cap Outlay Deprec 26'!L8</f>
        <v>41530754</v>
      </c>
      <c r="C2057" s="2" t="s">
        <v>573</v>
      </c>
      <c r="D2057" s="2" t="str">
        <f t="shared" si="31"/>
        <v>Error?</v>
      </c>
    </row>
    <row r="2058" spans="1:4" x14ac:dyDescent="0.2">
      <c r="A2058" s="5">
        <v>1997</v>
      </c>
      <c r="B2058" s="138">
        <f>'Cap Outlay Deprec 26'!L10</f>
        <v>6326984</v>
      </c>
      <c r="C2058" s="2" t="s">
        <v>573</v>
      </c>
      <c r="D2058" s="2" t="str">
        <f t="shared" si="31"/>
        <v>Error?</v>
      </c>
    </row>
    <row r="2059" spans="1:4" x14ac:dyDescent="0.2">
      <c r="A2059" s="5">
        <v>1998</v>
      </c>
      <c r="B2059" s="138">
        <f>'Cap Outlay Deprec 26'!L12</f>
        <v>672185</v>
      </c>
      <c r="C2059" s="2" t="s">
        <v>573</v>
      </c>
      <c r="D2059" s="2" t="str">
        <f t="shared" si="31"/>
        <v>Error?</v>
      </c>
    </row>
    <row r="2060" spans="1:4" x14ac:dyDescent="0.2">
      <c r="A2060" s="5">
        <v>1999</v>
      </c>
      <c r="B2060" s="138">
        <f>'Cap Outlay Deprec 26'!L13</f>
        <v>203708</v>
      </c>
      <c r="C2060" s="2" t="s">
        <v>573</v>
      </c>
      <c r="D2060" s="2" t="str">
        <f t="shared" si="31"/>
        <v>Error?</v>
      </c>
    </row>
    <row r="2061" spans="1:4" x14ac:dyDescent="0.2">
      <c r="A2061" s="5">
        <v>2000</v>
      </c>
      <c r="B2061" s="138">
        <f>'Cap Outlay Deprec 26'!L16</f>
        <v>53248404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1005582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1095104</v>
      </c>
      <c r="C2088" s="2" t="s">
        <v>573</v>
      </c>
      <c r="D2088" s="2" t="str">
        <f t="shared" si="31"/>
        <v>Error?</v>
      </c>
    </row>
    <row r="2089" spans="1:4" x14ac:dyDescent="0.2">
      <c r="A2089" s="5">
        <v>2028</v>
      </c>
      <c r="B2089" s="138">
        <f>'Expenditures 15-22'!K92</f>
        <v>184240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1975000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2974385</v>
      </c>
      <c r="D2475" s="2" t="str">
        <f t="shared" si="37"/>
        <v>Error?</v>
      </c>
    </row>
    <row r="2476" spans="1:4" x14ac:dyDescent="0.2">
      <c r="A2476" s="10">
        <v>2415</v>
      </c>
      <c r="D2476" s="2" t="str">
        <f t="shared" si="37"/>
        <v>OK</v>
      </c>
    </row>
    <row r="2477" spans="1:4" x14ac:dyDescent="0.2">
      <c r="A2477" s="5">
        <v>2416</v>
      </c>
      <c r="B2477" s="138">
        <f>'Assets-Liab 5-6'!G38</f>
        <v>1701692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350520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760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12035752</v>
      </c>
      <c r="C2551" s="2" t="s">
        <v>573</v>
      </c>
      <c r="D2551" s="2" t="str">
        <f t="shared" si="38"/>
        <v>Error?</v>
      </c>
    </row>
    <row r="2552" spans="1:4" x14ac:dyDescent="0.2">
      <c r="A2552" s="10">
        <v>2491</v>
      </c>
      <c r="D2552" s="2" t="str">
        <f t="shared" si="38"/>
        <v>OK</v>
      </c>
    </row>
    <row r="2553" spans="1:4" x14ac:dyDescent="0.2">
      <c r="A2553" s="5">
        <v>2492</v>
      </c>
      <c r="B2553" s="138">
        <f>'Acct Summary 7-8'!C6</f>
        <v>38593450</v>
      </c>
      <c r="C2553" s="2" t="s">
        <v>573</v>
      </c>
      <c r="D2553" s="2" t="str">
        <f t="shared" si="38"/>
        <v>Error?</v>
      </c>
    </row>
    <row r="2554" spans="1:4" x14ac:dyDescent="0.2">
      <c r="A2554" s="5">
        <v>2493</v>
      </c>
      <c r="B2554" s="138">
        <f>'Acct Summary 7-8'!C7</f>
        <v>10699187</v>
      </c>
      <c r="C2554" s="2" t="s">
        <v>573</v>
      </c>
      <c r="D2554" s="2" t="str">
        <f t="shared" si="38"/>
        <v>Error?</v>
      </c>
    </row>
    <row r="2555" spans="1:4" x14ac:dyDescent="0.2">
      <c r="A2555" s="5">
        <v>2494</v>
      </c>
      <c r="B2555" s="138">
        <f>'Acct Summary 7-8'!C8</f>
        <v>61368389</v>
      </c>
      <c r="C2555" s="2" t="s">
        <v>573</v>
      </c>
      <c r="D2555" s="2" t="str">
        <f t="shared" si="38"/>
        <v>Error?</v>
      </c>
    </row>
    <row r="2556" spans="1:4" x14ac:dyDescent="0.2">
      <c r="A2556" s="5">
        <v>2495</v>
      </c>
      <c r="B2556" s="138">
        <f>'Acct Summary 7-8'!C12</f>
        <v>38216184</v>
      </c>
      <c r="C2556" s="2" t="s">
        <v>573</v>
      </c>
      <c r="D2556" s="2" t="str">
        <f t="shared" si="38"/>
        <v>Error?</v>
      </c>
    </row>
    <row r="2557" spans="1:4" x14ac:dyDescent="0.2">
      <c r="A2557" s="5">
        <v>2496</v>
      </c>
      <c r="B2557" s="138">
        <f>'Acct Summary 7-8'!C13</f>
        <v>20246840</v>
      </c>
      <c r="C2557" s="2" t="s">
        <v>573</v>
      </c>
      <c r="D2557" s="2" t="str">
        <f t="shared" si="38"/>
        <v>Error?</v>
      </c>
    </row>
    <row r="2558" spans="1:4" x14ac:dyDescent="0.2">
      <c r="A2558" s="5">
        <v>2497</v>
      </c>
      <c r="B2558" s="138">
        <f>'Acct Summary 7-8'!C14</f>
        <v>1241499</v>
      </c>
      <c r="C2558" s="2" t="s">
        <v>573</v>
      </c>
      <c r="D2558" s="2" t="str">
        <f t="shared" si="38"/>
        <v>Error?</v>
      </c>
    </row>
    <row r="2559" spans="1:4" x14ac:dyDescent="0.2">
      <c r="A2559" s="5">
        <v>2498</v>
      </c>
      <c r="B2559" s="138">
        <f>'Acct Summary 7-8'!C15</f>
        <v>1279344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60983867</v>
      </c>
      <c r="C2561" s="2" t="s">
        <v>573</v>
      </c>
      <c r="D2561" s="2" t="str">
        <f t="shared" si="39"/>
        <v>Error?</v>
      </c>
    </row>
    <row r="2562" spans="1:4" x14ac:dyDescent="0.2">
      <c r="A2562" s="5">
        <v>2501</v>
      </c>
      <c r="B2562" s="138">
        <f>'Acct Summary 7-8'!C20</f>
        <v>384522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3359249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3359249</v>
      </c>
      <c r="C2568" s="2" t="s">
        <v>573</v>
      </c>
      <c r="D2568" s="2" t="str">
        <f t="shared" si="39"/>
        <v>Error?</v>
      </c>
    </row>
    <row r="2569" spans="1:4" x14ac:dyDescent="0.2">
      <c r="A2569" s="5">
        <v>2508</v>
      </c>
      <c r="B2569" s="138">
        <f>'Acct Summary 7-8'!D13</f>
        <v>4359195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4359195</v>
      </c>
      <c r="C2573" s="2" t="s">
        <v>573</v>
      </c>
      <c r="D2573" s="2" t="str">
        <f t="shared" si="39"/>
        <v>Error?</v>
      </c>
    </row>
    <row r="2574" spans="1:4" x14ac:dyDescent="0.2">
      <c r="A2574" s="5">
        <v>2513</v>
      </c>
      <c r="B2574" s="138">
        <f>'Acct Summary 7-8'!D20</f>
        <v>-999946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710798</v>
      </c>
      <c r="C2591" s="2" t="s">
        <v>573</v>
      </c>
      <c r="D2591" s="2" t="str">
        <f t="shared" si="39"/>
        <v>Error?</v>
      </c>
    </row>
    <row r="2592" spans="1:4" x14ac:dyDescent="0.2">
      <c r="A2592" s="10">
        <v>2531</v>
      </c>
      <c r="D2592" s="2" t="str">
        <f t="shared" si="39"/>
        <v>OK</v>
      </c>
    </row>
    <row r="2593" spans="1:4" x14ac:dyDescent="0.2">
      <c r="A2593" s="5">
        <v>2532</v>
      </c>
      <c r="B2593" s="138">
        <f>'Acct Summary 7-8'!F6</f>
        <v>3750711</v>
      </c>
      <c r="C2593" s="2" t="s">
        <v>573</v>
      </c>
      <c r="D2593" s="2" t="str">
        <f t="shared" si="39"/>
        <v>Error?</v>
      </c>
    </row>
    <row r="2594" spans="1:4" x14ac:dyDescent="0.2">
      <c r="A2594" s="5">
        <v>2533</v>
      </c>
      <c r="B2594" s="138">
        <f>'Acct Summary 7-8'!F7</f>
        <v>495906</v>
      </c>
      <c r="C2594" s="2" t="s">
        <v>573</v>
      </c>
      <c r="D2594" s="2" t="str">
        <f t="shared" si="39"/>
        <v>Error?</v>
      </c>
    </row>
    <row r="2595" spans="1:4" x14ac:dyDescent="0.2">
      <c r="A2595" s="5">
        <v>2534</v>
      </c>
      <c r="B2595" s="138">
        <f>'Acct Summary 7-8'!F8</f>
        <v>4957415</v>
      </c>
      <c r="C2595" s="2" t="s">
        <v>573</v>
      </c>
      <c r="D2595" s="2" t="str">
        <f t="shared" si="39"/>
        <v>Error?</v>
      </c>
    </row>
    <row r="2596" spans="1:4" x14ac:dyDescent="0.2">
      <c r="A2596" s="5">
        <v>2535</v>
      </c>
      <c r="B2596" s="138">
        <f>'Acct Summary 7-8'!F13</f>
        <v>5020688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5020688</v>
      </c>
      <c r="C2600" s="2" t="s">
        <v>573</v>
      </c>
      <c r="D2600" s="2" t="str">
        <f t="shared" si="39"/>
        <v>Error?</v>
      </c>
    </row>
    <row r="2601" spans="1:4" x14ac:dyDescent="0.2">
      <c r="A2601" s="5">
        <v>2540</v>
      </c>
      <c r="B2601" s="138">
        <f>'Acct Summary 7-8'!F20</f>
        <v>-63273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2636520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2636520</v>
      </c>
      <c r="C2606" s="2" t="s">
        <v>573</v>
      </c>
      <c r="D2606" s="2" t="str">
        <f t="shared" si="39"/>
        <v>Error?</v>
      </c>
    </row>
    <row r="2607" spans="1:4" x14ac:dyDescent="0.2">
      <c r="A2607" s="5">
        <v>2546</v>
      </c>
      <c r="B2607" s="138">
        <f>'Acct Summary 7-8'!G12</f>
        <v>1046765</v>
      </c>
      <c r="C2607" s="2" t="s">
        <v>573</v>
      </c>
      <c r="D2607" s="2" t="str">
        <f t="shared" si="39"/>
        <v>Error?</v>
      </c>
    </row>
    <row r="2608" spans="1:4" x14ac:dyDescent="0.2">
      <c r="A2608" s="5">
        <v>2547</v>
      </c>
      <c r="B2608" s="138">
        <f>'Acct Summary 7-8'!G13</f>
        <v>1370500</v>
      </c>
      <c r="C2608" s="2" t="s">
        <v>573</v>
      </c>
      <c r="D2608" s="2" t="str">
        <f t="shared" si="39"/>
        <v>Error?</v>
      </c>
    </row>
    <row r="2609" spans="1:4" x14ac:dyDescent="0.2">
      <c r="A2609" s="5">
        <v>2548</v>
      </c>
      <c r="B2609" s="138">
        <f>'Acct Summary 7-8'!G14</f>
        <v>150184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2567449</v>
      </c>
      <c r="C2612" s="2" t="s">
        <v>573</v>
      </c>
      <c r="D2612" s="2" t="str">
        <f t="shared" si="39"/>
        <v>Error?</v>
      </c>
    </row>
    <row r="2613" spans="1:4" x14ac:dyDescent="0.2">
      <c r="A2613" s="5">
        <v>2552</v>
      </c>
      <c r="B2613" s="138">
        <f>'Acct Summary 7-8'!G20</f>
        <v>69071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2269207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2790467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3694072</v>
      </c>
      <c r="C2634" s="2" t="s">
        <v>573</v>
      </c>
      <c r="D2634" s="2" t="str">
        <f t="shared" si="40"/>
        <v>Error?</v>
      </c>
    </row>
    <row r="2635" spans="1:4" x14ac:dyDescent="0.2">
      <c r="A2635" s="5">
        <v>2574</v>
      </c>
      <c r="B2635" s="138">
        <f>'Acct Summary 7-8'!E17</f>
        <v>3694072</v>
      </c>
      <c r="C2635" s="2" t="s">
        <v>573</v>
      </c>
      <c r="D2635" s="2" t="str">
        <f t="shared" si="40"/>
        <v>Error?</v>
      </c>
    </row>
    <row r="2636" spans="1:4" x14ac:dyDescent="0.2">
      <c r="A2636" s="5">
        <v>2575</v>
      </c>
      <c r="B2636" s="138">
        <f>'Acct Summary 7-8'!E20</f>
        <v>-903605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42308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42308</v>
      </c>
      <c r="C2658" s="2" t="s">
        <v>573</v>
      </c>
      <c r="D2658" s="2" t="str">
        <f t="shared" si="40"/>
        <v>Error?</v>
      </c>
    </row>
    <row r="2659" spans="1:4" x14ac:dyDescent="0.2">
      <c r="A2659" s="5">
        <v>2598</v>
      </c>
      <c r="B2659" s="138">
        <f>'Acct Summary 7-8'!H13</f>
        <v>489588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489588</v>
      </c>
      <c r="C2661" s="2" t="s">
        <v>573</v>
      </c>
      <c r="D2661" s="2" t="str">
        <f t="shared" si="40"/>
        <v>Error?</v>
      </c>
    </row>
    <row r="2662" spans="1:4" x14ac:dyDescent="0.2">
      <c r="A2662" s="5">
        <v>2601</v>
      </c>
      <c r="B2662" s="138">
        <f>'Acct Summary 7-8'!H20</f>
        <v>-447280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270230</v>
      </c>
      <c r="D2718" s="2" t="str">
        <f t="shared" si="41"/>
        <v>Error?</v>
      </c>
    </row>
    <row r="2719" spans="1:4" x14ac:dyDescent="0.2">
      <c r="A2719" s="5">
        <v>2658</v>
      </c>
      <c r="B2719" s="138">
        <f>'Expenditures 15-22'!D51</f>
        <v>63093</v>
      </c>
      <c r="D2719" s="2" t="str">
        <f t="shared" si="41"/>
        <v>Error?</v>
      </c>
    </row>
    <row r="2720" spans="1:4" x14ac:dyDescent="0.2">
      <c r="A2720" s="5">
        <v>2659</v>
      </c>
      <c r="B2720" s="138">
        <f>'Expenditures 15-22'!E51</f>
        <v>1444</v>
      </c>
      <c r="D2720" s="2" t="str">
        <f t="shared" si="41"/>
        <v>Error?</v>
      </c>
    </row>
    <row r="2721" spans="1:4" x14ac:dyDescent="0.2">
      <c r="A2721" s="5">
        <v>2660</v>
      </c>
      <c r="B2721" s="138">
        <f>'Expenditures 15-22'!F51</f>
        <v>2582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1519</v>
      </c>
      <c r="D2723" s="2" t="str">
        <f t="shared" si="41"/>
        <v>Error?</v>
      </c>
    </row>
    <row r="2724" spans="1:4" x14ac:dyDescent="0.2">
      <c r="A2724" s="5">
        <v>2663</v>
      </c>
      <c r="B2724" s="138">
        <f>'Expenditures 15-22'!K51</f>
        <v>338868</v>
      </c>
      <c r="C2724" s="2" t="s">
        <v>573</v>
      </c>
      <c r="D2724" s="2" t="str">
        <f t="shared" si="41"/>
        <v>Error?</v>
      </c>
    </row>
    <row r="2725" spans="1:4" x14ac:dyDescent="0.2">
      <c r="A2725" s="5">
        <v>2664</v>
      </c>
      <c r="B2725" s="138">
        <f>'Expenditures 15-22'!D247</f>
        <v>15897</v>
      </c>
      <c r="D2725" s="2" t="str">
        <f t="shared" si="41"/>
        <v>Error?</v>
      </c>
    </row>
    <row r="2726" spans="1:4" x14ac:dyDescent="0.2">
      <c r="A2726" s="5">
        <v>2665</v>
      </c>
      <c r="B2726" s="138">
        <f>'Expenditures 15-22'!K247</f>
        <v>15897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89522</v>
      </c>
      <c r="C2789" s="2" t="s">
        <v>573</v>
      </c>
      <c r="D2789" s="2" t="str">
        <f t="shared" si="42"/>
        <v>Error?</v>
      </c>
    </row>
    <row r="2790" spans="1:4" x14ac:dyDescent="0.2">
      <c r="A2790" s="5">
        <v>2729</v>
      </c>
      <c r="B2790" s="138">
        <f>'Expenditures 15-22'!E102</f>
        <v>89522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2090975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168778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2879367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3275804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695333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168778</v>
      </c>
      <c r="D2908" s="2" t="str">
        <f t="shared" si="44"/>
        <v>Error?</v>
      </c>
    </row>
    <row r="2909" spans="1:4" x14ac:dyDescent="0.2">
      <c r="A2909" s="10">
        <v>2848</v>
      </c>
      <c r="D2909" s="2" t="str">
        <f t="shared" si="44"/>
        <v>OK</v>
      </c>
    </row>
    <row r="2910" spans="1:4" x14ac:dyDescent="0.2">
      <c r="A2910" s="5">
        <v>2849</v>
      </c>
      <c r="B2910" s="138">
        <f>'Assets-Liab 5-6'!I34</f>
        <v>168778</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3107026</v>
      </c>
      <c r="D2912" s="2" t="str">
        <f t="shared" si="44"/>
        <v>Error?</v>
      </c>
    </row>
    <row r="2913" spans="1:4" x14ac:dyDescent="0.2">
      <c r="A2913" s="5">
        <v>2852</v>
      </c>
      <c r="B2913" s="138">
        <f>'Assets-Liab 5-6'!I41</f>
        <v>3275804</v>
      </c>
      <c r="C2913" s="2" t="s">
        <v>573</v>
      </c>
      <c r="D2913" s="2" t="str">
        <f t="shared" si="44"/>
        <v>Error?</v>
      </c>
    </row>
    <row r="2914" spans="1:4" x14ac:dyDescent="0.2">
      <c r="A2914" s="5">
        <v>2853</v>
      </c>
      <c r="B2914" s="138">
        <f>'Assets-Liab 5-6'!L33</f>
        <v>695333</v>
      </c>
      <c r="D2914" s="2" t="str">
        <f t="shared" si="44"/>
        <v>Error?</v>
      </c>
    </row>
    <row r="2915" spans="1:4" x14ac:dyDescent="0.2">
      <c r="A2915" s="10">
        <v>2854</v>
      </c>
      <c r="D2915" s="2" t="str">
        <f t="shared" si="44"/>
        <v>OK</v>
      </c>
    </row>
    <row r="2916" spans="1:4" x14ac:dyDescent="0.2">
      <c r="A2916" s="5">
        <v>2855</v>
      </c>
      <c r="B2916" s="138">
        <f>'Assets-Liab 5-6'!L34</f>
        <v>695333</v>
      </c>
      <c r="C2916" s="2" t="s">
        <v>573</v>
      </c>
      <c r="D2916" s="2" t="str">
        <f t="shared" si="44"/>
        <v>Error?</v>
      </c>
    </row>
    <row r="2917" spans="1:4" x14ac:dyDescent="0.2">
      <c r="A2917" s="5">
        <v>2856</v>
      </c>
      <c r="B2917" s="138">
        <f>'Assets-Liab 5-6'!L41</f>
        <v>695333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52639</v>
      </c>
      <c r="D2949" s="2" t="str">
        <f t="shared" si="45"/>
        <v>Error?</v>
      </c>
    </row>
    <row r="2950" spans="1:4" x14ac:dyDescent="0.2">
      <c r="A2950" s="5">
        <v>2889</v>
      </c>
      <c r="B2950" s="138">
        <f>'Expenditures 15-22'!E79</f>
        <v>36883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882990</v>
      </c>
      <c r="D2955" s="2" t="str">
        <f t="shared" si="45"/>
        <v>Error?</v>
      </c>
    </row>
    <row r="2956" spans="1:4" x14ac:dyDescent="0.2">
      <c r="A2956" s="5">
        <v>2895</v>
      </c>
      <c r="B2956" s="138">
        <f>'Expenditures 15-22'!H79</f>
        <v>122592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935629</v>
      </c>
      <c r="C2973" s="2" t="s">
        <v>573</v>
      </c>
      <c r="D2973" s="2" t="str">
        <f t="shared" si="45"/>
        <v>Error?</v>
      </c>
    </row>
    <row r="2974" spans="1:4" x14ac:dyDescent="0.2">
      <c r="A2974" s="5">
        <v>2913</v>
      </c>
      <c r="B2974" s="138">
        <f>'Expenditures 15-22'!K79</f>
        <v>159475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981231</v>
      </c>
      <c r="D3055" s="2" t="str">
        <f t="shared" si="46"/>
        <v>Error?</v>
      </c>
    </row>
    <row r="3056" spans="1:4" x14ac:dyDescent="0.2">
      <c r="A3056" s="5">
        <v>2995</v>
      </c>
      <c r="B3056" s="138">
        <f>'Expenditures 15-22'!D10</f>
        <v>186221</v>
      </c>
      <c r="D3056" s="2" t="str">
        <f t="shared" si="46"/>
        <v>Error?</v>
      </c>
    </row>
    <row r="3057" spans="1:4" x14ac:dyDescent="0.2">
      <c r="A3057" s="5">
        <v>2996</v>
      </c>
      <c r="B3057" s="138">
        <f>'Expenditures 15-22'!E10</f>
        <v>453030</v>
      </c>
      <c r="D3057" s="2" t="str">
        <f t="shared" si="46"/>
        <v>Error?</v>
      </c>
    </row>
    <row r="3058" spans="1:4" x14ac:dyDescent="0.2">
      <c r="A3058" s="5">
        <v>2997</v>
      </c>
      <c r="B3058" s="138">
        <f>'Expenditures 15-22'!F10</f>
        <v>477697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2451360</v>
      </c>
      <c r="C3062" s="2" t="s">
        <v>573</v>
      </c>
      <c r="D3062" s="2" t="str">
        <f t="shared" si="46"/>
        <v>Error?</v>
      </c>
    </row>
    <row r="3063" spans="1:4" x14ac:dyDescent="0.2">
      <c r="A3063" s="10">
        <v>3002</v>
      </c>
      <c r="D3063" s="2" t="str">
        <f t="shared" si="46"/>
        <v>OK</v>
      </c>
    </row>
    <row r="3064" spans="1:4" x14ac:dyDescent="0.2">
      <c r="A3064" s="5">
        <v>3003</v>
      </c>
      <c r="B3064" s="138">
        <f>'Expenditures 15-22'!D219</f>
        <v>123032</v>
      </c>
      <c r="D3064" s="2" t="str">
        <f t="shared" si="46"/>
        <v>Error?</v>
      </c>
    </row>
    <row r="3065" spans="1:4" x14ac:dyDescent="0.2">
      <c r="A3065" s="5">
        <v>3004</v>
      </c>
      <c r="B3065" s="138">
        <f>'Expenditures 15-22'!K219</f>
        <v>123032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227446</v>
      </c>
      <c r="C3225" s="2" t="s">
        <v>573</v>
      </c>
      <c r="D3225" s="2" t="str">
        <f t="shared" si="49"/>
        <v>Error?</v>
      </c>
    </row>
    <row r="3226" spans="1:4" x14ac:dyDescent="0.2">
      <c r="A3226" s="5">
        <v>3165</v>
      </c>
      <c r="B3226" s="138">
        <f>'Acct Summary 7-8'!I8</f>
        <v>227446</v>
      </c>
      <c r="C3226" s="2" t="s">
        <v>573</v>
      </c>
      <c r="D3226" s="2" t="str">
        <f t="shared" si="49"/>
        <v>Error?</v>
      </c>
    </row>
    <row r="3227" spans="1:4" x14ac:dyDescent="0.2">
      <c r="A3227" s="5">
        <v>3166</v>
      </c>
      <c r="B3227" s="138">
        <f>'Acct Summary 7-8'!I20</f>
        <v>227446</v>
      </c>
      <c r="C3227" s="2" t="s">
        <v>573</v>
      </c>
      <c r="D3227" s="2" t="str">
        <f t="shared" si="49"/>
        <v>Error?</v>
      </c>
    </row>
    <row r="3228" spans="1:4" x14ac:dyDescent="0.2">
      <c r="A3228" s="5">
        <v>3167</v>
      </c>
      <c r="B3228" s="138">
        <f>'Acct Summary 7-8'!C43</f>
        <v>969553</v>
      </c>
      <c r="D3228" s="2" t="str">
        <f t="shared" si="49"/>
        <v>Error?</v>
      </c>
    </row>
    <row r="3229" spans="1:4" x14ac:dyDescent="0.2">
      <c r="A3229" s="5">
        <v>3168</v>
      </c>
      <c r="B3229" s="138">
        <f>'Acct Summary 7-8'!C44</f>
        <v>969553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1013135</v>
      </c>
      <c r="C3231" s="2" t="s">
        <v>573</v>
      </c>
      <c r="D3231" s="2" t="str">
        <f t="shared" si="49"/>
        <v>Error?</v>
      </c>
    </row>
    <row r="3232" spans="1:4" x14ac:dyDescent="0.2">
      <c r="A3232" s="5">
        <v>3171</v>
      </c>
      <c r="B3232" s="138">
        <f>'Acct Summary 7-8'!C77</f>
        <v>-43582</v>
      </c>
      <c r="C3232" s="2" t="s">
        <v>573</v>
      </c>
      <c r="D3232" s="2" t="str">
        <f t="shared" si="49"/>
        <v>Error?</v>
      </c>
    </row>
    <row r="3233" spans="1:4" x14ac:dyDescent="0.2">
      <c r="A3233" s="5">
        <v>3172</v>
      </c>
      <c r="B3233" s="138">
        <f>'Acct Summary 7-8'!C78</f>
        <v>340940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-999946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-63273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69071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1013135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1013135</v>
      </c>
      <c r="C3277" s="2" t="s">
        <v>573</v>
      </c>
      <c r="D3277" s="2" t="str">
        <f t="shared" si="50"/>
        <v>Error?</v>
      </c>
    </row>
    <row r="3278" spans="1:4" x14ac:dyDescent="0.2">
      <c r="A3278" s="5">
        <v>3217</v>
      </c>
      <c r="B3278" s="138">
        <f>'Acct Summary 7-8'!E78</f>
        <v>109530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-447280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227446</v>
      </c>
      <c r="C3320" s="2" t="s">
        <v>573</v>
      </c>
      <c r="D3320" s="2" t="str">
        <f t="shared" si="50"/>
        <v>Error?</v>
      </c>
    </row>
    <row r="3321" spans="1:4" x14ac:dyDescent="0.2">
      <c r="A3321" s="5">
        <v>3260</v>
      </c>
      <c r="B3321" s="138">
        <f>'Acct Summary 7-8'!I79</f>
        <v>2879580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3107026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4404827</v>
      </c>
      <c r="D3366" s="2" t="str">
        <f t="shared" si="51"/>
        <v>Error?</v>
      </c>
    </row>
    <row r="3367" spans="1:4" x14ac:dyDescent="0.2">
      <c r="A3367" s="5">
        <v>3306</v>
      </c>
      <c r="B3367" s="138">
        <f>'Expenditures 15-22'!C19</f>
        <v>140388</v>
      </c>
      <c r="D3367" s="2" t="str">
        <f t="shared" si="51"/>
        <v>Error?</v>
      </c>
    </row>
    <row r="3368" spans="1:4" x14ac:dyDescent="0.2">
      <c r="A3368" s="5">
        <v>3307</v>
      </c>
      <c r="B3368" s="138">
        <f>'Expenditures 15-22'!D8</f>
        <v>1136550</v>
      </c>
      <c r="D3368" s="2" t="str">
        <f t="shared" si="51"/>
        <v>Error?</v>
      </c>
    </row>
    <row r="3369" spans="1:4" x14ac:dyDescent="0.2">
      <c r="A3369" s="5">
        <v>3308</v>
      </c>
      <c r="B3369" s="138">
        <f>'Expenditures 15-22'!D19</f>
        <v>32544</v>
      </c>
      <c r="D3369" s="2" t="str">
        <f t="shared" si="51"/>
        <v>Error?</v>
      </c>
    </row>
    <row r="3370" spans="1:4" x14ac:dyDescent="0.2">
      <c r="A3370" s="5">
        <v>3309</v>
      </c>
      <c r="B3370" s="138">
        <f>'Expenditures 15-22'!E8</f>
        <v>46662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60487</v>
      </c>
      <c r="D3372" s="2" t="str">
        <f t="shared" si="51"/>
        <v>Error?</v>
      </c>
    </row>
    <row r="3373" spans="1:4" x14ac:dyDescent="0.2">
      <c r="A3373" s="5">
        <v>3312</v>
      </c>
      <c r="B3373" s="138">
        <f>'Expenditures 15-22'!F19</f>
        <v>5663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5660789</v>
      </c>
      <c r="C3380" s="2" t="s">
        <v>573</v>
      </c>
      <c r="D3380" s="2" t="str">
        <f t="shared" si="51"/>
        <v>Error?</v>
      </c>
    </row>
    <row r="3381" spans="1:4" x14ac:dyDescent="0.2">
      <c r="A3381" s="5">
        <v>3320</v>
      </c>
      <c r="B3381" s="138">
        <f>'Expenditures 15-22'!K19</f>
        <v>178595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533785</v>
      </c>
      <c r="D3387" s="2" t="str">
        <f t="shared" si="51"/>
        <v>Error?</v>
      </c>
    </row>
    <row r="3388" spans="1:4" x14ac:dyDescent="0.2">
      <c r="A3388" s="5">
        <v>3327</v>
      </c>
      <c r="B3388" s="138">
        <f>'Expenditures 15-22'!D217</f>
        <v>318933</v>
      </c>
      <c r="D3388" s="2" t="str">
        <f t="shared" si="51"/>
        <v>Error?</v>
      </c>
    </row>
    <row r="3389" spans="1:4" x14ac:dyDescent="0.2">
      <c r="A3389" s="5">
        <v>3328</v>
      </c>
      <c r="B3389" s="138">
        <f>'Expenditures 15-22'!D228</f>
        <v>2035</v>
      </c>
      <c r="D3389" s="2" t="str">
        <f t="shared" si="51"/>
        <v>Error?</v>
      </c>
    </row>
    <row r="3390" spans="1:4" x14ac:dyDescent="0.2">
      <c r="A3390" s="5">
        <v>3329</v>
      </c>
      <c r="B3390" s="138">
        <f>'Expenditures 15-22'!K215</f>
        <v>533785</v>
      </c>
      <c r="C3390" s="2" t="s">
        <v>573</v>
      </c>
      <c r="D3390" s="2" t="str">
        <f t="shared" si="51"/>
        <v>Error?</v>
      </c>
    </row>
    <row r="3391" spans="1:4" x14ac:dyDescent="0.2">
      <c r="A3391" s="5">
        <v>3330</v>
      </c>
      <c r="B3391" s="138">
        <f>'Expenditures 15-22'!K217</f>
        <v>318933</v>
      </c>
      <c r="C3391" s="2" t="s">
        <v>573</v>
      </c>
      <c r="D3391" s="2" t="str">
        <f t="shared" ref="D3391:D3454" si="52">IF(ISBLANK(B3391),"OK",IF(A3391-B3391=0,"OK","Error?"))</f>
        <v>Error?</v>
      </c>
    </row>
    <row r="3392" spans="1:4" x14ac:dyDescent="0.2">
      <c r="A3392" s="5">
        <v>3331</v>
      </c>
      <c r="B3392" s="138">
        <f>'Expenditures 15-22'!K228</f>
        <v>2035</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40000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2420119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350519</v>
      </c>
      <c r="D3417" s="2" t="str">
        <f t="shared" si="52"/>
        <v>Error?</v>
      </c>
    </row>
    <row r="3418" spans="1:4" x14ac:dyDescent="0.2">
      <c r="A3418" s="10">
        <v>3357</v>
      </c>
      <c r="D3418" s="2" t="str">
        <f t="shared" si="52"/>
        <v>OK</v>
      </c>
    </row>
    <row r="3419" spans="1:4" x14ac:dyDescent="0.2">
      <c r="A3419" s="5">
        <v>3358</v>
      </c>
      <c r="B3419" s="138">
        <f>'Assets-Liab 5-6'!F4</f>
        <v>676276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154413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760</v>
      </c>
      <c r="D3425" s="2" t="str">
        <f t="shared" si="52"/>
        <v>Error?</v>
      </c>
    </row>
    <row r="3426" spans="1:4" x14ac:dyDescent="0.2">
      <c r="A3426" s="10">
        <v>3365</v>
      </c>
      <c r="D3426" s="2" t="str">
        <f t="shared" si="52"/>
        <v>OK</v>
      </c>
    </row>
    <row r="3427" spans="1:4" x14ac:dyDescent="0.2">
      <c r="A3427" s="5">
        <v>3366</v>
      </c>
      <c r="B3427" s="138">
        <f>'Assets-Liab 5-6'!I4</f>
        <v>227659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695333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1200597</v>
      </c>
      <c r="C3446" s="2" t="s">
        <v>573</v>
      </c>
      <c r="D3446" s="2" t="str">
        <f t="shared" si="52"/>
        <v>Error?</v>
      </c>
    </row>
    <row r="3447" spans="1:4" x14ac:dyDescent="0.2">
      <c r="A3447" s="5">
        <v>3386</v>
      </c>
      <c r="B3447" s="138">
        <f>'Tax Sched 23'!D16</f>
        <v>1200597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1212768</v>
      </c>
      <c r="C3449" s="2" t="s">
        <v>573</v>
      </c>
      <c r="D3449" s="2" t="str">
        <f t="shared" si="52"/>
        <v>Error?</v>
      </c>
    </row>
    <row r="3450" spans="1:4" x14ac:dyDescent="0.2">
      <c r="A3450" s="5">
        <v>3389</v>
      </c>
      <c r="B3450" s="138">
        <f>'Tax Sched 23'!E16</f>
        <v>1212768</v>
      </c>
      <c r="D3450" s="2" t="str">
        <f t="shared" si="52"/>
        <v>Error?</v>
      </c>
    </row>
    <row r="3451" spans="1:4" x14ac:dyDescent="0.2">
      <c r="A3451" s="5">
        <v>3390</v>
      </c>
      <c r="B3451" s="138">
        <f>'Cap Outlay Deprec 26'!C15</f>
        <v>349172</v>
      </c>
      <c r="D3451" s="2" t="str">
        <f t="shared" si="52"/>
        <v>Error?</v>
      </c>
    </row>
    <row r="3452" spans="1:4" x14ac:dyDescent="0.2">
      <c r="A3452" s="5">
        <v>3391</v>
      </c>
      <c r="B3452" s="138">
        <f>'Cap Outlay Deprec 26'!D15</f>
        <v>2544580</v>
      </c>
      <c r="D3452" s="2" t="str">
        <f t="shared" si="52"/>
        <v>Error?</v>
      </c>
    </row>
    <row r="3453" spans="1:4" x14ac:dyDescent="0.2">
      <c r="A3453" s="5">
        <v>3392</v>
      </c>
      <c r="B3453" s="138">
        <f>'Cap Outlay Deprec 26'!E15</f>
        <v>802777</v>
      </c>
      <c r="D3453" s="2" t="str">
        <f t="shared" si="52"/>
        <v>Error?</v>
      </c>
    </row>
    <row r="3454" spans="1:4" x14ac:dyDescent="0.2">
      <c r="A3454" s="5">
        <v>3393</v>
      </c>
      <c r="B3454" s="138">
        <f>'Cap Outlay Deprec 26'!F15</f>
        <v>2090975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2090975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16475</v>
      </c>
      <c r="D3546" s="2" t="str">
        <f t="shared" si="54"/>
        <v>Error?</v>
      </c>
    </row>
    <row r="3547" spans="1:4" x14ac:dyDescent="0.2">
      <c r="A3547" s="10">
        <v>3486</v>
      </c>
      <c r="D3547" s="2" t="str">
        <f t="shared" si="54"/>
        <v>OK</v>
      </c>
    </row>
    <row r="3548" spans="1:4" x14ac:dyDescent="0.2">
      <c r="A3548" s="5">
        <v>3487</v>
      </c>
      <c r="B3548" s="138">
        <f>'Assets-Liab 5-6'!K6</f>
        <v>168778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44878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230131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168778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168778</v>
      </c>
      <c r="C3565" s="2" t="s">
        <v>573</v>
      </c>
      <c r="D3565" s="2" t="str">
        <f t="shared" si="54"/>
        <v>Error?</v>
      </c>
    </row>
    <row r="3566" spans="1:4" x14ac:dyDescent="0.2">
      <c r="A3566" s="5">
        <v>3505</v>
      </c>
      <c r="B3566" s="138">
        <f>'Assets-Liab 5-6'!K38</f>
        <v>61353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230131</v>
      </c>
      <c r="C3568" s="2" t="s">
        <v>573</v>
      </c>
      <c r="D3568" s="2" t="str">
        <f t="shared" si="54"/>
        <v>Error?</v>
      </c>
    </row>
    <row r="3569" spans="1:4" x14ac:dyDescent="0.2">
      <c r="A3569" s="5">
        <v>3508</v>
      </c>
      <c r="B3569" s="138">
        <f>'Acct Summary 7-8'!K4</f>
        <v>166980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166980</v>
      </c>
      <c r="C3571" s="2" t="s">
        <v>573</v>
      </c>
      <c r="D3571" s="2" t="str">
        <f t="shared" si="54"/>
        <v>Error?</v>
      </c>
    </row>
    <row r="3572" spans="1:4" x14ac:dyDescent="0.2">
      <c r="A3572" s="5">
        <v>3511</v>
      </c>
      <c r="B3572" s="138">
        <f>'Acct Summary 7-8'!K13</f>
        <v>105627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105627</v>
      </c>
      <c r="C3575" s="2" t="s">
        <v>573</v>
      </c>
      <c r="D3575" s="2" t="str">
        <f t="shared" si="54"/>
        <v>Error?</v>
      </c>
    </row>
    <row r="3576" spans="1:4" x14ac:dyDescent="0.2">
      <c r="A3576" s="5">
        <v>3515</v>
      </c>
      <c r="B3576" s="138">
        <f>'Acct Summary 7-8'!K20</f>
        <v>61353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61353</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61353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105627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105627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105627</v>
      </c>
      <c r="C3649" s="2" t="s">
        <v>573</v>
      </c>
      <c r="D3649" s="2" t="str">
        <f t="shared" si="56"/>
        <v>Error?</v>
      </c>
    </row>
    <row r="3650" spans="1:4" x14ac:dyDescent="0.2">
      <c r="A3650" s="5">
        <v>3589</v>
      </c>
      <c r="B3650" s="138">
        <f>'Expenditures 15-22'!G367</f>
        <v>105627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105627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105627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105627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105627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61353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165935</v>
      </c>
      <c r="C3725" s="2" t="s">
        <v>573</v>
      </c>
      <c r="D3725" s="2" t="str">
        <f t="shared" si="57"/>
        <v>Error?</v>
      </c>
    </row>
    <row r="3726" spans="1:4" x14ac:dyDescent="0.2">
      <c r="A3726" s="5">
        <v>3665</v>
      </c>
      <c r="B3726" s="138">
        <f>'Tax Sched 23'!D13</f>
        <v>165935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171348</v>
      </c>
      <c r="C3728" s="2" t="s">
        <v>573</v>
      </c>
      <c r="D3728" s="2" t="str">
        <f t="shared" si="57"/>
        <v>Error?</v>
      </c>
    </row>
    <row r="3729" spans="1:4" x14ac:dyDescent="0.2">
      <c r="A3729" s="5">
        <v>3668</v>
      </c>
      <c r="B3729" s="138">
        <f>'Tax Sched 23'!E13</f>
        <v>171348</v>
      </c>
      <c r="D3729" s="2" t="str">
        <f t="shared" si="57"/>
        <v>Error?</v>
      </c>
    </row>
    <row r="3730" spans="1:4" x14ac:dyDescent="0.2">
      <c r="A3730" s="5">
        <v>3669</v>
      </c>
      <c r="B3730" s="138">
        <f>'ICR Computation 30'!E10</f>
        <v>3580871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71729</v>
      </c>
      <c r="D4081" s="2" t="str">
        <f t="shared" si="62"/>
        <v>Error?</v>
      </c>
    </row>
    <row r="4082" spans="1:4" x14ac:dyDescent="0.2">
      <c r="A4082" s="5">
        <v>4021</v>
      </c>
      <c r="B4082" s="138">
        <f>'Expenditures 15-22'!D180</f>
        <v>2636</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74365</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22459235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83827624</v>
      </c>
      <c r="C4122" s="2" t="s">
        <v>573</v>
      </c>
      <c r="D4122" s="2" t="str">
        <f t="shared" si="63"/>
        <v>Error?</v>
      </c>
    </row>
    <row r="4123" spans="1:4" x14ac:dyDescent="0.2">
      <c r="A4123" s="5">
        <v>4062</v>
      </c>
      <c r="B4123" s="138">
        <f>'Acct Summary 7-8'!D10</f>
        <v>3359249</v>
      </c>
      <c r="C4123" s="2" t="s">
        <v>573</v>
      </c>
      <c r="D4123" s="2" t="str">
        <f t="shared" si="63"/>
        <v>Error?</v>
      </c>
    </row>
    <row r="4124" spans="1:4" x14ac:dyDescent="0.2">
      <c r="A4124" s="5">
        <v>4063</v>
      </c>
      <c r="B4124" s="138">
        <f>'Acct Summary 7-8'!E10</f>
        <v>2790467</v>
      </c>
      <c r="C4124" s="2" t="s">
        <v>573</v>
      </c>
      <c r="D4124" s="2" t="str">
        <f t="shared" si="63"/>
        <v>Error?</v>
      </c>
    </row>
    <row r="4125" spans="1:4" x14ac:dyDescent="0.2">
      <c r="A4125" s="5">
        <v>4064</v>
      </c>
      <c r="B4125" s="138">
        <f>'Acct Summary 7-8'!F10</f>
        <v>4957415</v>
      </c>
      <c r="C4125" s="2" t="s">
        <v>573</v>
      </c>
      <c r="D4125" s="2" t="str">
        <f t="shared" si="63"/>
        <v>Error?</v>
      </c>
    </row>
    <row r="4126" spans="1:4" x14ac:dyDescent="0.2">
      <c r="A4126" s="5">
        <v>4065</v>
      </c>
      <c r="B4126" s="138">
        <f>'Acct Summary 7-8'!G10</f>
        <v>2636520</v>
      </c>
      <c r="C4126" s="2" t="s">
        <v>573</v>
      </c>
      <c r="D4126" s="2" t="str">
        <f t="shared" si="63"/>
        <v>Error?</v>
      </c>
    </row>
    <row r="4127" spans="1:4" x14ac:dyDescent="0.2">
      <c r="A4127" s="5">
        <v>4066</v>
      </c>
      <c r="B4127" s="138">
        <f>'Acct Summary 7-8'!H10</f>
        <v>42308</v>
      </c>
      <c r="C4127" s="2" t="s">
        <v>573</v>
      </c>
      <c r="D4127" s="2" t="str">
        <f t="shared" si="63"/>
        <v>Error?</v>
      </c>
    </row>
    <row r="4128" spans="1:4" x14ac:dyDescent="0.2">
      <c r="A4128" s="5">
        <v>4067</v>
      </c>
      <c r="B4128" s="138">
        <f>'Acct Summary 7-8'!I10</f>
        <v>227446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166980</v>
      </c>
      <c r="C4130" s="2" t="s">
        <v>573</v>
      </c>
      <c r="D4130" s="2" t="str">
        <f t="shared" si="63"/>
        <v>Error?</v>
      </c>
    </row>
    <row r="4131" spans="1:4" x14ac:dyDescent="0.2">
      <c r="A4131" s="5">
        <v>4070</v>
      </c>
      <c r="B4131" s="138">
        <f>'Acct Summary 7-8'!C18</f>
        <v>22459235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83443102</v>
      </c>
      <c r="C4136" s="2" t="s">
        <v>573</v>
      </c>
      <c r="D4136" s="2" t="str">
        <f t="shared" si="63"/>
        <v>Error?</v>
      </c>
    </row>
    <row r="4137" spans="1:4" x14ac:dyDescent="0.2">
      <c r="A4137" s="5">
        <v>4076</v>
      </c>
      <c r="B4137" s="138">
        <f>'Acct Summary 7-8'!D19</f>
        <v>4359195</v>
      </c>
      <c r="C4137" s="2" t="s">
        <v>573</v>
      </c>
      <c r="D4137" s="2" t="str">
        <f t="shared" si="63"/>
        <v>Error?</v>
      </c>
    </row>
    <row r="4138" spans="1:4" x14ac:dyDescent="0.2">
      <c r="A4138" s="5">
        <v>4077</v>
      </c>
      <c r="B4138" s="138">
        <f>'Acct Summary 7-8'!E19</f>
        <v>3694072</v>
      </c>
      <c r="C4138" s="2" t="s">
        <v>573</v>
      </c>
      <c r="D4138" s="2" t="str">
        <f t="shared" si="63"/>
        <v>Error?</v>
      </c>
    </row>
    <row r="4139" spans="1:4" x14ac:dyDescent="0.2">
      <c r="A4139" s="5">
        <v>4078</v>
      </c>
      <c r="B4139" s="138">
        <f>'Acct Summary 7-8'!F19</f>
        <v>5020688</v>
      </c>
      <c r="C4139" s="2" t="s">
        <v>573</v>
      </c>
      <c r="D4139" s="2" t="str">
        <f t="shared" si="63"/>
        <v>Error?</v>
      </c>
    </row>
    <row r="4140" spans="1:4" x14ac:dyDescent="0.2">
      <c r="A4140" s="5">
        <v>4079</v>
      </c>
      <c r="B4140" s="138">
        <f>'Acct Summary 7-8'!G19</f>
        <v>2567449</v>
      </c>
      <c r="C4140" s="2" t="s">
        <v>573</v>
      </c>
      <c r="D4140" s="2" t="str">
        <f t="shared" si="63"/>
        <v>Error?</v>
      </c>
    </row>
    <row r="4141" spans="1:4" x14ac:dyDescent="0.2">
      <c r="A4141" s="5">
        <v>4080</v>
      </c>
      <c r="B4141" s="138">
        <f>'Acct Summary 7-8'!H19</f>
        <v>489588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105627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31146681</v>
      </c>
      <c r="C4171" s="2" t="s">
        <v>573</v>
      </c>
      <c r="D4171" s="2" t="str">
        <f t="shared" si="64"/>
        <v>Error?</v>
      </c>
    </row>
    <row r="4172" spans="1:4" x14ac:dyDescent="0.2">
      <c r="A4172" s="5">
        <v>4111</v>
      </c>
      <c r="B4172" s="138">
        <f>'Short-Term Long-Term Debt 24'!J49</f>
        <v>30796161</v>
      </c>
      <c r="C4172" s="2" t="s">
        <v>573</v>
      </c>
      <c r="D4172" s="2" t="str">
        <f t="shared" si="64"/>
        <v>Error?</v>
      </c>
    </row>
    <row r="4173" spans="1:4" x14ac:dyDescent="0.2">
      <c r="A4173" s="5">
        <v>4112</v>
      </c>
      <c r="B4173" s="138">
        <f>'Short-Term Long-Term Debt 24'!H49</f>
        <v>2150405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2767.326</v>
      </c>
      <c r="C4265" s="2" t="s">
        <v>573</v>
      </c>
      <c r="D4265" s="2" t="str">
        <f t="shared" si="65"/>
        <v>Error?</v>
      </c>
      <c r="E4265" s="128"/>
    </row>
    <row r="4266" spans="1:5" x14ac:dyDescent="0.2">
      <c r="A4266" s="12">
        <v>4205</v>
      </c>
      <c r="B4266" s="138">
        <f>('FP Info 3'!F10)*100000</f>
        <v>508.70000000000005</v>
      </c>
      <c r="C4266" s="2" t="s">
        <v>573</v>
      </c>
      <c r="D4266" s="2" t="str">
        <f t="shared" si="65"/>
        <v>Error?</v>
      </c>
      <c r="E4266" s="128"/>
    </row>
    <row r="4267" spans="1:5" x14ac:dyDescent="0.2">
      <c r="A4267" s="12">
        <v>4206</v>
      </c>
      <c r="B4267" s="138">
        <f>('FP Info 3'!H10)*100000</f>
        <v>203.48</v>
      </c>
      <c r="C4267" s="2" t="s">
        <v>573</v>
      </c>
      <c r="D4267" s="2" t="str">
        <f t="shared" si="65"/>
        <v>Error?</v>
      </c>
      <c r="E4267" s="128"/>
    </row>
    <row r="4268" spans="1:5" x14ac:dyDescent="0.2">
      <c r="A4268" s="12">
        <v>4207</v>
      </c>
      <c r="B4268" s="138">
        <f>('FP Info 3'!J10)*100000</f>
        <v>3479.9999999999995</v>
      </c>
      <c r="C4268" s="2" t="s">
        <v>573</v>
      </c>
      <c r="D4268" s="2" t="str">
        <f t="shared" si="65"/>
        <v>Error?</v>
      </c>
    </row>
    <row r="4269" spans="1:5" x14ac:dyDescent="0.2">
      <c r="A4269" s="12">
        <v>4208</v>
      </c>
      <c r="B4269" s="138">
        <f>'FP Info 3'!J16</f>
        <v>29701352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211526</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102342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242110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22580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371724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521260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521260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398629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104770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358666114</v>
      </c>
      <c r="D4995" s="2" t="str">
        <f t="shared" si="77"/>
        <v>Error?</v>
      </c>
    </row>
    <row r="4996" spans="1:4" x14ac:dyDescent="0.2">
      <c r="A4996" s="12">
        <v>4935</v>
      </c>
      <c r="B4996" s="138">
        <f>'FP Info 3'!H31</f>
        <v>49495923.732000001</v>
      </c>
      <c r="D4996" s="2" t="str">
        <f t="shared" si="77"/>
        <v>Error?</v>
      </c>
    </row>
    <row r="4997" spans="1:4" x14ac:dyDescent="0.2">
      <c r="A4997" s="12">
        <v>4936</v>
      </c>
      <c r="B4997" s="138">
        <f>'FP Info 3'!H37</f>
        <v>31146681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165935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9027374</v>
      </c>
      <c r="D5061" s="2" t="str">
        <f t="shared" si="78"/>
        <v>Error?</v>
      </c>
    </row>
    <row r="5062" spans="1:4" x14ac:dyDescent="0.2">
      <c r="A5062" s="10">
        <v>5001</v>
      </c>
      <c r="D5062" s="2" t="str">
        <f t="shared" si="78"/>
        <v>OK</v>
      </c>
    </row>
    <row r="5063" spans="1:4" x14ac:dyDescent="0.2">
      <c r="A5063" s="5">
        <v>5002</v>
      </c>
      <c r="B5063" s="138">
        <f>'Revenues 9-14'!C7</f>
        <v>132755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9326064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1737315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1737315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4576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4576</v>
      </c>
      <c r="C5087" s="2" t="s">
        <v>573</v>
      </c>
      <c r="D5087" s="2" t="str">
        <f t="shared" si="78"/>
        <v>Error?</v>
      </c>
    </row>
    <row r="5088" spans="1:4" x14ac:dyDescent="0.2">
      <c r="A5088" s="5">
        <v>5027</v>
      </c>
      <c r="B5088" s="138">
        <f>'Revenues 9-14'!C65</f>
        <v>456355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456355</v>
      </c>
      <c r="C5090" s="2" t="s">
        <v>573</v>
      </c>
      <c r="D5090" s="2" t="str">
        <f t="shared" si="78"/>
        <v>Error?</v>
      </c>
    </row>
    <row r="5091" spans="1:4" x14ac:dyDescent="0.2">
      <c r="A5091" s="5">
        <v>5030</v>
      </c>
      <c r="B5091" s="138">
        <f>'Revenues 9-14'!C70</f>
        <v>3</v>
      </c>
      <c r="D5091" s="2" t="str">
        <f t="shared" si="78"/>
        <v>Error?</v>
      </c>
    </row>
    <row r="5092" spans="1:4" x14ac:dyDescent="0.2">
      <c r="A5092" s="5">
        <v>5031</v>
      </c>
      <c r="B5092" s="138">
        <f>'Revenues 9-14'!C71</f>
        <v>41150</v>
      </c>
      <c r="D5092" s="2" t="str">
        <f t="shared" si="78"/>
        <v>Error?</v>
      </c>
    </row>
    <row r="5093" spans="1:4" x14ac:dyDescent="0.2">
      <c r="A5093" s="5">
        <v>5032</v>
      </c>
      <c r="B5093" s="138">
        <f>'Revenues 9-14'!C72</f>
        <v>4229</v>
      </c>
      <c r="D5093" s="2" t="str">
        <f t="shared" si="78"/>
        <v>Error?</v>
      </c>
    </row>
    <row r="5094" spans="1:4" x14ac:dyDescent="0.2">
      <c r="A5094" s="5">
        <v>5033</v>
      </c>
      <c r="B5094" s="138">
        <f>'Revenues 9-14'!C73</f>
        <v>15519</v>
      </c>
      <c r="D5094" s="2" t="str">
        <f t="shared" si="78"/>
        <v>Error?</v>
      </c>
    </row>
    <row r="5095" spans="1:4" x14ac:dyDescent="0.2">
      <c r="A5095" s="5">
        <v>5034</v>
      </c>
      <c r="B5095" s="138">
        <f>'Revenues 9-14'!C74</f>
        <v>60726</v>
      </c>
      <c r="D5095" s="2" t="str">
        <f t="shared" si="78"/>
        <v>Error?</v>
      </c>
    </row>
    <row r="5096" spans="1:4" x14ac:dyDescent="0.2">
      <c r="A5096" s="5">
        <v>5035</v>
      </c>
      <c r="B5096" s="138">
        <f>'Revenues 9-14'!C75</f>
        <v>126033</v>
      </c>
      <c r="C5096" s="2" t="s">
        <v>573</v>
      </c>
      <c r="D5096" s="2" t="str">
        <f t="shared" si="78"/>
        <v>Error?</v>
      </c>
    </row>
    <row r="5097" spans="1:4" x14ac:dyDescent="0.2">
      <c r="A5097" s="5">
        <v>5036</v>
      </c>
      <c r="B5097" s="138">
        <f>'Revenues 9-14'!C77</f>
        <v>26025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32691</v>
      </c>
      <c r="C5102" s="2" t="s">
        <v>573</v>
      </c>
      <c r="D5102" s="2" t="str">
        <f t="shared" si="78"/>
        <v>Error?</v>
      </c>
    </row>
    <row r="5103" spans="1:4" x14ac:dyDescent="0.2">
      <c r="A5103" s="5">
        <v>5042</v>
      </c>
      <c r="B5103" s="138">
        <f>'Revenues 9-14'!C84</f>
        <v>56460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838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57298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1723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445</v>
      </c>
      <c r="D5118" s="2" t="str">
        <f t="shared" si="78"/>
        <v>Error?</v>
      </c>
    </row>
    <row r="5119" spans="1:4" x14ac:dyDescent="0.2">
      <c r="A5119" s="5">
        <v>5058</v>
      </c>
      <c r="B5119" s="138">
        <f>'Revenues 9-14'!C107</f>
        <v>281553</v>
      </c>
      <c r="D5119" s="2" t="str">
        <f t="shared" ref="D5119:D5182" si="79">IF(ISBLANK(B5119),"OK",IF(A5119-B5119=0,"OK","Error?"))</f>
        <v>Error?</v>
      </c>
    </row>
    <row r="5120" spans="1:4" x14ac:dyDescent="0.2">
      <c r="A5120" s="5">
        <v>5059</v>
      </c>
      <c r="B5120" s="138">
        <f>'Revenues 9-14'!C108</f>
        <v>295420</v>
      </c>
      <c r="C5120" s="2" t="s">
        <v>573</v>
      </c>
      <c r="D5120" s="2" t="str">
        <f t="shared" si="79"/>
        <v>Error?</v>
      </c>
    </row>
    <row r="5121" spans="1:4" x14ac:dyDescent="0.2">
      <c r="A5121" s="5">
        <v>5060</v>
      </c>
      <c r="B5121" s="138">
        <f>'Revenues 9-14'!C109</f>
        <v>12035752</v>
      </c>
      <c r="C5121" s="2" t="s">
        <v>573</v>
      </c>
      <c r="D5121" s="2" t="str">
        <f t="shared" si="79"/>
        <v>Error?</v>
      </c>
    </row>
    <row r="5122" spans="1:4" x14ac:dyDescent="0.2">
      <c r="A5122" s="5">
        <v>5061</v>
      </c>
      <c r="B5122" s="138">
        <f>'Revenues 9-14'!C111</f>
        <v>40000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40000</v>
      </c>
      <c r="C5125" s="2" t="s">
        <v>573</v>
      </c>
      <c r="D5125" s="2" t="str">
        <f t="shared" si="79"/>
        <v>Error?</v>
      </c>
    </row>
    <row r="5126" spans="1:4" x14ac:dyDescent="0.2">
      <c r="A5126" s="5">
        <v>5065</v>
      </c>
      <c r="B5126" s="138">
        <f>'Revenues 9-14'!C117</f>
        <v>34940970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34940970</v>
      </c>
      <c r="C5132" s="2" t="s">
        <v>573</v>
      </c>
      <c r="D5132" s="2" t="str">
        <f t="shared" si="79"/>
        <v>Error?</v>
      </c>
    </row>
    <row r="5133" spans="1:4" x14ac:dyDescent="0.2">
      <c r="A5133" s="5">
        <v>5072</v>
      </c>
      <c r="B5133" s="138">
        <f>'Revenues 9-14'!C125</f>
        <v>360622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116647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477269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63351</v>
      </c>
      <c r="D5167" s="2" t="str">
        <f t="shared" si="79"/>
        <v>Error?</v>
      </c>
    </row>
    <row r="5168" spans="1:4" x14ac:dyDescent="0.2">
      <c r="A5168" s="5">
        <v>5107</v>
      </c>
      <c r="B5168" s="138">
        <f>'Revenues 9-14'!C148</f>
        <v>51928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2661303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3652480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38593450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104770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2384087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893503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3580871</v>
      </c>
      <c r="C5246" s="2" t="s">
        <v>573</v>
      </c>
      <c r="D5246" s="2" t="str">
        <f t="shared" si="80"/>
        <v>Error?</v>
      </c>
    </row>
    <row r="5247" spans="1:4" x14ac:dyDescent="0.2">
      <c r="A5247" s="5">
        <v>5186</v>
      </c>
      <c r="B5247" s="138">
        <f>'Revenues 9-14'!C200</f>
        <v>4499517</v>
      </c>
      <c r="D5247" s="2" t="str">
        <f t="shared" ref="D5247:D5310" si="81">IF(ISBLANK(B5247),"OK",IF(A5247-B5247=0,"OK","Error?"))</f>
        <v>Error?</v>
      </c>
    </row>
    <row r="5248" spans="1:4" x14ac:dyDescent="0.2">
      <c r="A5248" s="5">
        <v>5187</v>
      </c>
      <c r="B5248" s="138">
        <f>'Revenues 9-14'!C201</f>
        <v>18929</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4518446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89321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1665868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1755189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1155</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10594417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10699187</v>
      </c>
      <c r="C5326" s="2" t="s">
        <v>573</v>
      </c>
      <c r="D5326" s="2" t="str">
        <f t="shared" si="82"/>
        <v>Error?</v>
      </c>
    </row>
    <row r="5327" spans="1:5" x14ac:dyDescent="0.2">
      <c r="A5327" s="5">
        <v>5266</v>
      </c>
      <c r="B5327" s="138">
        <f>'Revenues 9-14'!C268</f>
        <v>61368389</v>
      </c>
      <c r="C5327" s="2" t="s">
        <v>573</v>
      </c>
      <c r="D5327" s="2" t="str">
        <f t="shared" si="82"/>
        <v>Error?</v>
      </c>
    </row>
    <row r="5328" spans="1:5" x14ac:dyDescent="0.2">
      <c r="A5328" s="5">
        <v>5267</v>
      </c>
      <c r="B5328" s="138">
        <f>'Revenues 9-14'!D5</f>
        <v>1659439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1659439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1586943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1586943</v>
      </c>
      <c r="C5339" s="2" t="s">
        <v>573</v>
      </c>
      <c r="D5339" s="2" t="str">
        <f t="shared" si="82"/>
        <v>Error?</v>
      </c>
    </row>
    <row r="5340" spans="1:4" x14ac:dyDescent="0.2">
      <c r="A5340" s="5">
        <v>5279</v>
      </c>
      <c r="B5340" s="138">
        <f>'Revenues 9-14'!D65</f>
        <v>97664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97664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15133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42</v>
      </c>
      <c r="D5354" s="2" t="str">
        <f t="shared" si="82"/>
        <v>Error?</v>
      </c>
    </row>
    <row r="5355" spans="1:4" x14ac:dyDescent="0.2">
      <c r="A5355" s="5">
        <v>5294</v>
      </c>
      <c r="B5355" s="138">
        <f>'Revenues 9-14'!D108</f>
        <v>15203</v>
      </c>
      <c r="C5355" s="2" t="s">
        <v>573</v>
      </c>
      <c r="D5355" s="2" t="str">
        <f t="shared" si="82"/>
        <v>Error?</v>
      </c>
    </row>
    <row r="5356" spans="1:4" x14ac:dyDescent="0.2">
      <c r="A5356" s="5">
        <v>5295</v>
      </c>
      <c r="B5356" s="138">
        <f>'Revenues 9-14'!D109</f>
        <v>3359249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3359249</v>
      </c>
      <c r="C5508" s="2" t="s">
        <v>573</v>
      </c>
      <c r="D5508" s="2" t="str">
        <f t="shared" si="85"/>
        <v>Error?</v>
      </c>
    </row>
    <row r="5509" spans="1:4" x14ac:dyDescent="0.2">
      <c r="A5509" s="5">
        <v>5448</v>
      </c>
      <c r="B5509" s="138">
        <f>'Revenues 9-14'!E5</f>
        <v>2258283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2258283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10924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10924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2269207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2790467</v>
      </c>
      <c r="C5552" s="2" t="s">
        <v>573</v>
      </c>
      <c r="D5552" s="2" t="str">
        <f t="shared" si="85"/>
        <v>Error?</v>
      </c>
    </row>
    <row r="5553" spans="1:4" x14ac:dyDescent="0.2">
      <c r="A5553" s="5">
        <v>5492</v>
      </c>
      <c r="B5553" s="138">
        <f>'Revenues 9-14'!F5</f>
        <v>663775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663775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47023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47023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710798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1885230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1885230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1360871</v>
      </c>
      <c r="D5615" s="2" t="str">
        <f t="shared" si="86"/>
        <v>Error?</v>
      </c>
    </row>
    <row r="5616" spans="1:4" x14ac:dyDescent="0.2">
      <c r="A5616" s="10">
        <v>5555</v>
      </c>
      <c r="D5616" s="2" t="str">
        <f t="shared" si="86"/>
        <v>OK</v>
      </c>
    </row>
    <row r="5617" spans="1:5" x14ac:dyDescent="0.2">
      <c r="A5617" s="5">
        <v>5556</v>
      </c>
      <c r="B5617" s="138">
        <f>'Revenues 9-14'!F153</f>
        <v>392666</v>
      </c>
      <c r="D5617" s="2" t="str">
        <f t="shared" si="86"/>
        <v>Error?</v>
      </c>
    </row>
    <row r="5618" spans="1:5" x14ac:dyDescent="0.2">
      <c r="A5618" s="5">
        <v>5557</v>
      </c>
      <c r="B5618" s="138">
        <f>'Revenues 9-14'!F155</f>
        <v>1753537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111944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1865481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3750711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495906</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495906</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495906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495906</v>
      </c>
      <c r="C5719" s="2" t="s">
        <v>573</v>
      </c>
      <c r="D5719" s="2" t="str">
        <f t="shared" si="88"/>
        <v>Error?</v>
      </c>
    </row>
    <row r="5720" spans="1:4" x14ac:dyDescent="0.2">
      <c r="A5720" s="5">
        <v>5659</v>
      </c>
      <c r="B5720" s="138">
        <f>'Revenues 9-14'!F268</f>
        <v>4957415</v>
      </c>
      <c r="C5720" s="2" t="s">
        <v>573</v>
      </c>
      <c r="D5720" s="2" t="str">
        <f t="shared" si="88"/>
        <v>Error?</v>
      </c>
    </row>
    <row r="5721" spans="1:4" x14ac:dyDescent="0.2">
      <c r="A5721" s="5">
        <v>5660</v>
      </c>
      <c r="B5721" s="138">
        <f>'Revenues 9-14'!G5</f>
        <v>1244648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1200597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2445245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135000</v>
      </c>
      <c r="C5730" s="2" t="s">
        <v>573</v>
      </c>
      <c r="D5730" s="2" t="str">
        <f t="shared" si="88"/>
        <v>Error?</v>
      </c>
    </row>
    <row r="5731" spans="1:4" x14ac:dyDescent="0.2">
      <c r="A5731" s="5">
        <v>5670</v>
      </c>
      <c r="B5731" s="138">
        <f>'Revenues 9-14'!G65</f>
        <v>56275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56275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2636520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3144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3144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8332</v>
      </c>
      <c r="D5885" s="2" t="str">
        <f t="shared" si="90"/>
        <v>Error?</v>
      </c>
    </row>
    <row r="5886" spans="1:4" x14ac:dyDescent="0.2">
      <c r="A5886" s="5">
        <v>5825</v>
      </c>
      <c r="B5886" s="138">
        <f>'Revenues 9-14'!H108</f>
        <v>39164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42308</v>
      </c>
      <c r="C5915" s="2" t="s">
        <v>573</v>
      </c>
      <c r="D5915" s="2" t="str">
        <f t="shared" si="91"/>
        <v>Error?</v>
      </c>
    </row>
    <row r="5916" spans="1:4" x14ac:dyDescent="0.2">
      <c r="A5916" s="5">
        <v>5855</v>
      </c>
      <c r="B5916" s="138">
        <f>'Revenues 9-14'!I5</f>
        <v>165935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165935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61511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61511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227446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165935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165935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1045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1045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166980</v>
      </c>
      <c r="C6023" s="2" t="s">
        <v>573</v>
      </c>
      <c r="D6023" s="2" t="str">
        <f t="shared" si="93"/>
        <v>Error?</v>
      </c>
    </row>
    <row r="6024" spans="1:5" x14ac:dyDescent="0.2">
      <c r="A6024" s="5">
        <v>5963</v>
      </c>
      <c r="B6024" s="138">
        <f>'Revenues 9-14'!G109</f>
        <v>2636520</v>
      </c>
      <c r="C6024" s="2" t="s">
        <v>573</v>
      </c>
      <c r="D6024" s="2" t="str">
        <f t="shared" si="93"/>
        <v>Error?</v>
      </c>
    </row>
    <row r="6025" spans="1:5" x14ac:dyDescent="0.2">
      <c r="A6025" s="5">
        <v>5964</v>
      </c>
      <c r="B6025" s="138">
        <f>'Revenues 9-14'!H109</f>
        <v>42308</v>
      </c>
      <c r="C6025" s="2" t="s">
        <v>573</v>
      </c>
      <c r="D6025" s="2" t="str">
        <f t="shared" si="93"/>
        <v>Error?</v>
      </c>
    </row>
    <row r="6026" spans="1:5" x14ac:dyDescent="0.2">
      <c r="A6026" s="5">
        <v>5965</v>
      </c>
      <c r="B6026" s="138">
        <f>'Revenues 9-14'!I109</f>
        <v>227446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166980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4406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264475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4510.3999999999996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38412</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3856822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437392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996</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66430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3017444</v>
      </c>
      <c r="D6124" s="2" t="str">
        <f t="shared" si="94"/>
        <v>Error?</v>
      </c>
      <c r="E6124" s="2" t="s">
        <v>190</v>
      </c>
    </row>
    <row r="6125" spans="1:5" x14ac:dyDescent="0.2">
      <c r="A6125">
        <v>6064</v>
      </c>
      <c r="B6125" s="138">
        <f>'Assets-Liab 5-6'!C25</f>
        <v>38412</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1159613</v>
      </c>
      <c r="D6142" s="2" t="str">
        <f t="shared" si="94"/>
        <v>Error?</v>
      </c>
      <c r="E6142" s="2" t="s">
        <v>190</v>
      </c>
    </row>
    <row r="6143" spans="1:5" x14ac:dyDescent="0.2">
      <c r="A6143">
        <v>6082</v>
      </c>
      <c r="B6143" s="138">
        <f>'Assets-Liab 5-6'!D27</f>
        <v>426557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383315</v>
      </c>
      <c r="D6145" s="2" t="str">
        <f t="shared" si="95"/>
        <v>Error?</v>
      </c>
      <c r="E6145" s="2" t="s">
        <v>190</v>
      </c>
    </row>
    <row r="6146" spans="1:5" x14ac:dyDescent="0.2">
      <c r="A6146">
        <v>6085</v>
      </c>
      <c r="B6146" s="138">
        <f>'Assets-Liab 5-6'!G27</f>
        <v>121</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219365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3246920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97924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11270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1608218</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1838853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1178591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3017444</v>
      </c>
      <c r="D6216" s="2" t="str">
        <f t="shared" si="96"/>
        <v>Error?</v>
      </c>
      <c r="E6216" s="2" t="s">
        <v>190</v>
      </c>
    </row>
    <row r="6217" spans="1:5" x14ac:dyDescent="0.2">
      <c r="A6217">
        <v>6156</v>
      </c>
      <c r="B6217" s="138">
        <f>'Assets-Liab 5-6'!J4</f>
        <v>4073</v>
      </c>
      <c r="D6217" s="2" t="str">
        <f t="shared" si="96"/>
        <v>Error?</v>
      </c>
      <c r="E6217" s="2" t="s">
        <v>190</v>
      </c>
    </row>
    <row r="6218" spans="1:5" x14ac:dyDescent="0.2">
      <c r="A6218">
        <v>6157</v>
      </c>
      <c r="B6218" s="138">
        <f>'Assets-Liab 5-6'!J5</f>
        <v>1366741</v>
      </c>
      <c r="D6218" s="2" t="str">
        <f t="shared" si="96"/>
        <v>Error?</v>
      </c>
      <c r="E6218" s="2" t="s">
        <v>190</v>
      </c>
    </row>
    <row r="6219" spans="1:5" x14ac:dyDescent="0.2">
      <c r="A6219">
        <v>6158</v>
      </c>
      <c r="B6219" s="138">
        <f>'Assets-Liab 5-6'!J6</f>
        <v>1608218</v>
      </c>
      <c r="D6219" s="2" t="str">
        <f t="shared" si="96"/>
        <v>Error?</v>
      </c>
      <c r="E6219" s="2" t="s">
        <v>190</v>
      </c>
    </row>
    <row r="6220" spans="1:5" x14ac:dyDescent="0.2">
      <c r="A6220">
        <v>6159</v>
      </c>
      <c r="B6220" s="138">
        <f>'Acct Summary 7-8'!J4</f>
        <v>1657885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1657885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1657885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1633225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1633225</v>
      </c>
      <c r="D6229" s="2" t="str">
        <f t="shared" si="96"/>
        <v>Error?</v>
      </c>
      <c r="E6229" s="2" t="s">
        <v>190</v>
      </c>
    </row>
    <row r="6230" spans="1:5" x14ac:dyDescent="0.2">
      <c r="A6230">
        <v>6169</v>
      </c>
      <c r="B6230" s="138">
        <f>'Acct Summary 7-8'!J20</f>
        <v>24660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24660</v>
      </c>
      <c r="D6263" s="2" t="str">
        <f t="shared" si="96"/>
        <v>Error?</v>
      </c>
      <c r="E6263" s="2" t="s">
        <v>190</v>
      </c>
    </row>
    <row r="6264" spans="1:5" x14ac:dyDescent="0.2">
      <c r="A6264">
        <v>6203</v>
      </c>
      <c r="B6264" s="138">
        <f>'Acct Summary 7-8'!J79</f>
        <v>1153931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1178591</v>
      </c>
      <c r="D6266" s="2" t="str">
        <f t="shared" si="96"/>
        <v>Error?</v>
      </c>
      <c r="E6266" s="2" t="s">
        <v>190</v>
      </c>
    </row>
    <row r="6267" spans="1:5" x14ac:dyDescent="0.2">
      <c r="A6267">
        <v>6206</v>
      </c>
      <c r="B6267" s="138">
        <f>'Acct Summary 7-8'!C82</f>
        <v>340940</v>
      </c>
      <c r="D6267" s="2" t="str">
        <f t="shared" si="96"/>
        <v>Error?</v>
      </c>
      <c r="E6267" s="2" t="s">
        <v>190</v>
      </c>
    </row>
    <row r="6268" spans="1:5" x14ac:dyDescent="0.2">
      <c r="A6268">
        <v>6207</v>
      </c>
      <c r="B6268" s="138">
        <f>'Acct Summary 7-8'!D82</f>
        <v>-999946</v>
      </c>
      <c r="D6268" s="2" t="str">
        <f t="shared" si="96"/>
        <v>Error?</v>
      </c>
      <c r="E6268" s="2" t="s">
        <v>190</v>
      </c>
    </row>
    <row r="6269" spans="1:5" x14ac:dyDescent="0.2">
      <c r="A6269">
        <v>6208</v>
      </c>
      <c r="B6269" s="138">
        <f>'Acct Summary 7-8'!E82</f>
        <v>109530</v>
      </c>
      <c r="D6269" s="2" t="str">
        <f t="shared" si="96"/>
        <v>Error?</v>
      </c>
      <c r="E6269" s="2" t="s">
        <v>190</v>
      </c>
    </row>
    <row r="6270" spans="1:5" x14ac:dyDescent="0.2">
      <c r="A6270">
        <v>6209</v>
      </c>
      <c r="B6270" s="138">
        <f>'Acct Summary 7-8'!F82</f>
        <v>-63273</v>
      </c>
      <c r="D6270" s="2" t="str">
        <f t="shared" si="96"/>
        <v>Error?</v>
      </c>
      <c r="E6270" s="2" t="s">
        <v>190</v>
      </c>
    </row>
    <row r="6271" spans="1:5" x14ac:dyDescent="0.2">
      <c r="A6271">
        <v>6210</v>
      </c>
      <c r="B6271" s="138">
        <f>'Acct Summary 7-8'!G82</f>
        <v>69071</v>
      </c>
      <c r="D6271" s="2" t="str">
        <f t="shared" ref="D6271:D6334" si="97">IF(ISBLANK(B6271),"OK",IF(A6271-B6271=0,"OK","Error?"))</f>
        <v>Error?</v>
      </c>
      <c r="E6271" s="2" t="s">
        <v>190</v>
      </c>
    </row>
    <row r="6272" spans="1:5" x14ac:dyDescent="0.2">
      <c r="A6272">
        <v>6211</v>
      </c>
      <c r="B6272" s="138">
        <f>'Acct Summary 7-8'!H82</f>
        <v>-447280</v>
      </c>
      <c r="D6272" s="2" t="str">
        <f t="shared" si="97"/>
        <v>Error?</v>
      </c>
      <c r="E6272" s="2" t="s">
        <v>190</v>
      </c>
    </row>
    <row r="6273" spans="1:5" x14ac:dyDescent="0.2">
      <c r="A6273">
        <v>6212</v>
      </c>
      <c r="B6273" s="138">
        <f>'Acct Summary 7-8'!I82</f>
        <v>227446</v>
      </c>
      <c r="D6273" s="2" t="str">
        <f t="shared" si="97"/>
        <v>Error?</v>
      </c>
      <c r="E6273" s="2" t="s">
        <v>190</v>
      </c>
    </row>
    <row r="6274" spans="1:5" x14ac:dyDescent="0.2">
      <c r="A6274">
        <v>6213</v>
      </c>
      <c r="B6274" s="138">
        <f>'Acct Summary 7-8'!J82</f>
        <v>24660</v>
      </c>
      <c r="D6274" s="2" t="str">
        <f t="shared" si="97"/>
        <v>Error?</v>
      </c>
      <c r="E6274" s="2" t="s">
        <v>190</v>
      </c>
    </row>
    <row r="6275" spans="1:5" x14ac:dyDescent="0.2">
      <c r="A6275">
        <v>6214</v>
      </c>
      <c r="B6275" s="138">
        <f>'Acct Summary 7-8'!K82</f>
        <v>61353</v>
      </c>
      <c r="D6275" s="2" t="str">
        <f t="shared" si="97"/>
        <v>Error?</v>
      </c>
      <c r="E6275" s="2" t="s">
        <v>190</v>
      </c>
    </row>
    <row r="6276" spans="1:5" x14ac:dyDescent="0.2">
      <c r="A6276">
        <v>6215</v>
      </c>
      <c r="B6276" s="138">
        <f>'Acct Summary 7-8'!C83</f>
        <v>1.6681152303901298E-2</v>
      </c>
      <c r="D6276" s="2" t="str">
        <f t="shared" si="97"/>
        <v>Error?</v>
      </c>
      <c r="E6276" s="2" t="s">
        <v>190</v>
      </c>
    </row>
    <row r="6277" spans="1:5" x14ac:dyDescent="0.2">
      <c r="A6277">
        <v>6216</v>
      </c>
      <c r="B6277" s="138">
        <f>'Acct Summary 7-8'!D83</f>
        <v>-0.31431943809222945</v>
      </c>
      <c r="D6277" s="2" t="str">
        <f t="shared" si="97"/>
        <v>Error?</v>
      </c>
      <c r="E6277" s="2" t="s">
        <v>190</v>
      </c>
    </row>
    <row r="6278" spans="1:5" x14ac:dyDescent="0.2">
      <c r="A6278">
        <v>6217</v>
      </c>
      <c r="B6278" s="138">
        <f>'Acct Summary 7-8'!E83</f>
        <v>0.31247860321807602</v>
      </c>
      <c r="D6278" s="2" t="str">
        <f t="shared" si="97"/>
        <v>Error?</v>
      </c>
      <c r="E6278" s="2" t="s">
        <v>190</v>
      </c>
    </row>
    <row r="6279" spans="1:5" x14ac:dyDescent="0.2">
      <c r="A6279">
        <v>6218</v>
      </c>
      <c r="B6279" s="138">
        <f>'Acct Summary 7-8'!F83</f>
        <v>-2.127263282997998E-2</v>
      </c>
      <c r="D6279" s="2" t="str">
        <f t="shared" si="97"/>
        <v>Error?</v>
      </c>
      <c r="E6279" s="2" t="s">
        <v>190</v>
      </c>
    </row>
    <row r="6280" spans="1:5" x14ac:dyDescent="0.2">
      <c r="A6280">
        <v>6219</v>
      </c>
      <c r="B6280" s="138">
        <f>'Acct Summary 7-8'!G83</f>
        <v>4.0589601408480502E-2</v>
      </c>
      <c r="D6280" s="2" t="str">
        <f t="shared" si="97"/>
        <v>Error?</v>
      </c>
      <c r="E6280" s="2" t="s">
        <v>190</v>
      </c>
    </row>
    <row r="6281" spans="1:5" x14ac:dyDescent="0.2">
      <c r="A6281">
        <v>6220</v>
      </c>
      <c r="B6281" s="138">
        <f>'Acct Summary 7-8'!H83</f>
        <v>-588.52631578947364</v>
      </c>
      <c r="D6281" s="2" t="str">
        <f t="shared" si="97"/>
        <v>Error?</v>
      </c>
      <c r="E6281" s="2" t="s">
        <v>190</v>
      </c>
    </row>
    <row r="6282" spans="1:5" x14ac:dyDescent="0.2">
      <c r="A6282">
        <v>6221</v>
      </c>
      <c r="B6282" s="138">
        <f>'Acct Summary 7-8'!I83</f>
        <v>7.3203764628940987E-2</v>
      </c>
      <c r="D6282" s="2" t="str">
        <f t="shared" si="97"/>
        <v>Error?</v>
      </c>
      <c r="E6282" s="2" t="s">
        <v>190</v>
      </c>
    </row>
    <row r="6283" spans="1:5" x14ac:dyDescent="0.2">
      <c r="A6283">
        <v>6222</v>
      </c>
      <c r="B6283" s="138">
        <f>'Acct Summary 7-8'!J83</f>
        <v>2.0923288910232641E-2</v>
      </c>
      <c r="D6283" s="2" t="str">
        <f t="shared" si="97"/>
        <v>Error?</v>
      </c>
      <c r="E6283" s="2" t="s">
        <v>190</v>
      </c>
    </row>
    <row r="6284" spans="1:5" x14ac:dyDescent="0.2">
      <c r="A6284">
        <v>6223</v>
      </c>
      <c r="B6284" s="138">
        <f>'Acct Summary 7-8'!K83</f>
        <v>1</v>
      </c>
      <c r="D6284" s="2" t="str">
        <f t="shared" si="97"/>
        <v>Error?</v>
      </c>
      <c r="E6284" s="2" t="s">
        <v>190</v>
      </c>
    </row>
    <row r="6285" spans="1:5" x14ac:dyDescent="0.2">
      <c r="A6285">
        <v>6224</v>
      </c>
      <c r="B6285" s="138">
        <f>'Acct Summary 7-8'!E37</f>
        <v>955405</v>
      </c>
      <c r="D6285" s="2" t="str">
        <f t="shared" si="97"/>
        <v>Error?</v>
      </c>
      <c r="E6285" s="2" t="s">
        <v>190</v>
      </c>
    </row>
    <row r="6286" spans="1:5" x14ac:dyDescent="0.2">
      <c r="A6286">
        <v>6225</v>
      </c>
      <c r="B6286" s="138">
        <f>'Acct Summary 7-8'!E38</f>
        <v>57730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1616322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1616322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41515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41515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11699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30832</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48</v>
      </c>
      <c r="D6350" s="2" t="str">
        <f t="shared" si="98"/>
        <v>Error?</v>
      </c>
      <c r="E6350" s="2" t="s">
        <v>190</v>
      </c>
    </row>
    <row r="6351" spans="1:5" x14ac:dyDescent="0.2">
      <c r="A6351">
        <v>6290</v>
      </c>
      <c r="B6351" s="138">
        <f>'Revenues 9-14'!J108</f>
        <v>48</v>
      </c>
      <c r="D6351" s="2" t="str">
        <f t="shared" si="98"/>
        <v>Error?</v>
      </c>
      <c r="E6351" s="2" t="s">
        <v>190</v>
      </c>
    </row>
    <row r="6352" spans="1:5" x14ac:dyDescent="0.2">
      <c r="A6352">
        <v>6291</v>
      </c>
      <c r="B6352" s="138">
        <f>'Revenues 9-14'!J109</f>
        <v>1657885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521260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564340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521260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182959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699</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744656</v>
      </c>
      <c r="D6848" s="2" t="str">
        <f t="shared" si="106"/>
        <v>Error?</v>
      </c>
    </row>
    <row r="6849" spans="1:4" x14ac:dyDescent="0.2">
      <c r="A6849">
        <v>6788</v>
      </c>
      <c r="B6849" s="138">
        <f>'Expenditures 15-22'!I8</f>
        <v>12263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353181</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10411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59138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716990</v>
      </c>
      <c r="D6880" s="2" t="str">
        <f t="shared" si="106"/>
        <v>Error?</v>
      </c>
    </row>
    <row r="6881" spans="1:4" x14ac:dyDescent="0.2">
      <c r="A6881">
        <v>6820</v>
      </c>
      <c r="B6881" s="138">
        <f>'Expenditures 15-22'!K22</f>
        <v>716990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6365</v>
      </c>
      <c r="D6900" s="2" t="str">
        <f t="shared" si="106"/>
        <v>Error?</v>
      </c>
    </row>
    <row r="6901" spans="1:4" x14ac:dyDescent="0.2">
      <c r="A6901">
        <v>6840</v>
      </c>
      <c r="B6901" s="138">
        <f>'Expenditures 15-22'!K32</f>
        <v>6365</v>
      </c>
      <c r="D6901" s="2" t="str">
        <f t="shared" si="106"/>
        <v>Error?</v>
      </c>
    </row>
    <row r="6902" spans="1:4" x14ac:dyDescent="0.2">
      <c r="A6902">
        <v>6841</v>
      </c>
      <c r="B6902" s="138">
        <f>'Expenditures 15-22'!I33</f>
        <v>559513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13108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13108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6943</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2378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9321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20566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20566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717714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717714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760709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11974</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184240</v>
      </c>
      <c r="D6983" s="2" t="str">
        <f t="shared" si="108"/>
        <v>Error?</v>
      </c>
    </row>
    <row r="6984" spans="1:4" x14ac:dyDescent="0.2">
      <c r="A6984">
        <v>6923</v>
      </c>
      <c r="B6984" s="138">
        <f>'Expenditures 15-22'!K86</f>
        <v>184240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184240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1332196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108534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108534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108534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1633225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108534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1657885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28978</v>
      </c>
      <c r="D7073" s="2" t="str">
        <f t="shared" si="109"/>
        <v>Error?</v>
      </c>
    </row>
    <row r="7074" spans="1:4" x14ac:dyDescent="0.2">
      <c r="A7074">
        <v>7013</v>
      </c>
      <c r="B7074" s="138">
        <f>'Expenditures 15-22'!K216</f>
        <v>28978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631</v>
      </c>
      <c r="D7079" s="2" t="str">
        <f t="shared" si="109"/>
        <v>Error?</v>
      </c>
    </row>
    <row r="7080" spans="1:4" x14ac:dyDescent="0.2">
      <c r="A7080">
        <v>7019</v>
      </c>
      <c r="B7080" s="138">
        <f>'Expenditures 15-22'!K226</f>
        <v>631</v>
      </c>
      <c r="D7080" s="2" t="str">
        <f t="shared" si="109"/>
        <v>Error?</v>
      </c>
    </row>
    <row r="7081" spans="1:4" x14ac:dyDescent="0.2">
      <c r="A7081">
        <v>7020</v>
      </c>
      <c r="B7081" s="138">
        <f>'Expenditures 15-22'!D248</f>
        <v>53299</v>
      </c>
      <c r="D7081" s="2" t="str">
        <f t="shared" si="109"/>
        <v>Error?</v>
      </c>
    </row>
    <row r="7082" spans="1:4" x14ac:dyDescent="0.2">
      <c r="A7082">
        <v>7021</v>
      </c>
      <c r="B7082" s="138">
        <f>'Expenditures 15-22'!K248</f>
        <v>53299</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167679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167679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169874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169874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775367</v>
      </c>
      <c r="D7172" s="2" t="str">
        <f t="shared" si="111"/>
        <v>Error?</v>
      </c>
    </row>
    <row r="7173" spans="1:4" x14ac:dyDescent="0.2">
      <c r="A7173">
        <v>7112</v>
      </c>
      <c r="B7173" s="138">
        <f>'Expenditures 15-22'!D325</f>
        <v>159243</v>
      </c>
      <c r="D7173" s="2" t="str">
        <f t="shared" si="111"/>
        <v>Error?</v>
      </c>
    </row>
    <row r="7174" spans="1:4" x14ac:dyDescent="0.2">
      <c r="A7174">
        <v>7113</v>
      </c>
      <c r="B7174" s="138">
        <f>'Expenditures 15-22'!E325</f>
        <v>234899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1169509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126163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126163</v>
      </c>
      <c r="D7198" s="2" t="str">
        <f t="shared" si="111"/>
        <v>Error?</v>
      </c>
    </row>
    <row r="7199" spans="1:4" x14ac:dyDescent="0.2">
      <c r="A7199">
        <v>7138</v>
      </c>
      <c r="B7199" s="138">
        <f>'Expenditures 15-22'!C330</f>
        <v>775367</v>
      </c>
      <c r="D7199" s="2" t="str">
        <f t="shared" si="111"/>
        <v>Error?</v>
      </c>
    </row>
    <row r="7200" spans="1:4" x14ac:dyDescent="0.2">
      <c r="A7200">
        <v>7139</v>
      </c>
      <c r="B7200" s="138">
        <f>'Expenditures 15-22'!D330</f>
        <v>159243</v>
      </c>
      <c r="D7200" s="2" t="str">
        <f t="shared" si="111"/>
        <v>Error?</v>
      </c>
    </row>
    <row r="7201" spans="1:4" x14ac:dyDescent="0.2">
      <c r="A7201">
        <v>7140</v>
      </c>
      <c r="B7201" s="138">
        <f>'Expenditures 15-22'!E330</f>
        <v>698615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1633225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775367</v>
      </c>
      <c r="D7216" s="2" t="str">
        <f t="shared" si="111"/>
        <v>Error?</v>
      </c>
    </row>
    <row r="7217" spans="1:4" x14ac:dyDescent="0.2">
      <c r="A7217">
        <v>7156</v>
      </c>
      <c r="B7217" s="138">
        <f>'Expenditures 15-22'!D342</f>
        <v>159243</v>
      </c>
      <c r="D7217" s="2" t="str">
        <f t="shared" si="111"/>
        <v>Error?</v>
      </c>
    </row>
    <row r="7218" spans="1:4" x14ac:dyDescent="0.2">
      <c r="A7218">
        <v>7157</v>
      </c>
      <c r="B7218" s="138">
        <f>'Expenditures 15-22'!E342</f>
        <v>698615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1633225</v>
      </c>
      <c r="D7224" s="2" t="str">
        <f t="shared" si="111"/>
        <v>Error?</v>
      </c>
    </row>
    <row r="7225" spans="1:4" x14ac:dyDescent="0.2">
      <c r="A7225">
        <v>7164</v>
      </c>
      <c r="B7225" s="138">
        <f>'Expenditures 15-22'!K343</f>
        <v>24660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145069</v>
      </c>
      <c r="D7246" s="2" t="str">
        <f t="shared" si="112"/>
        <v>Error?</v>
      </c>
    </row>
    <row r="7247" spans="1:4" x14ac:dyDescent="0.2">
      <c r="A7247">
        <f t="shared" si="113"/>
        <v>7186</v>
      </c>
      <c r="B7247" s="138">
        <f>'Expenditures 15-22'!E7</f>
        <v>4118</v>
      </c>
      <c r="D7247" s="2" t="str">
        <f t="shared" si="112"/>
        <v>Error?</v>
      </c>
    </row>
    <row r="7248" spans="1:4" x14ac:dyDescent="0.2">
      <c r="A7248">
        <f t="shared" si="113"/>
        <v>7187</v>
      </c>
      <c r="B7248" s="138">
        <f>'Expenditures 15-22'!F7</f>
        <v>30430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43509</v>
      </c>
      <c r="D7263" s="2" t="str">
        <f t="shared" si="112"/>
        <v>Error?</v>
      </c>
    </row>
    <row r="7264" spans="1:4" x14ac:dyDescent="0.2">
      <c r="A7264">
        <f t="shared" si="113"/>
        <v>7203</v>
      </c>
      <c r="B7264" s="138">
        <f>'Expenditures 15-22'!D17</f>
        <v>4001</v>
      </c>
      <c r="D7264" s="2" t="str">
        <f t="shared" si="112"/>
        <v>Error?</v>
      </c>
    </row>
    <row r="7265" spans="1:5" x14ac:dyDescent="0.2">
      <c r="A7265">
        <f t="shared" si="113"/>
        <v>7204</v>
      </c>
      <c r="B7265" s="138">
        <f>'Expenditures 15-22'!E17</f>
        <v>9661</v>
      </c>
      <c r="D7265" s="2" t="str">
        <f t="shared" si="112"/>
        <v>Error?</v>
      </c>
    </row>
    <row r="7266" spans="1:5" x14ac:dyDescent="0.2">
      <c r="A7266">
        <f t="shared" si="113"/>
        <v>7205</v>
      </c>
      <c r="B7266" s="138">
        <f>'Expenditures 15-22'!F17</f>
        <v>1967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1440730</v>
      </c>
      <c r="D7624" s="2" t="str">
        <f t="shared" si="124"/>
        <v>Error?</v>
      </c>
      <c r="E7624" s="2" t="s">
        <v>19</v>
      </c>
    </row>
    <row r="7625" spans="1:5" x14ac:dyDescent="0.2">
      <c r="A7625">
        <f t="shared" si="123"/>
        <v>7564</v>
      </c>
      <c r="B7625" s="138">
        <f>'Cap Outlay Deprec 26'!I17</f>
        <v>144073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3919097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955405</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57730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91755</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14444</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11699</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51928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63627</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59769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18302</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263695</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18302</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521260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526828</v>
      </c>
      <c r="D7759" s="2" t="str">
        <f t="shared" si="127"/>
        <v>Error?</v>
      </c>
      <c r="E7759" s="4" t="s">
        <v>1333</v>
      </c>
    </row>
    <row r="7760" spans="1:6" x14ac:dyDescent="0.2">
      <c r="A7760">
        <v>7699</v>
      </c>
      <c r="B7760" s="138">
        <f>'Aud Quest 2'!J90</f>
        <v>526828</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zoomScale="110" zoomScaleNormal="110" workbookViewId="0">
      <selection activeCell="O13" sqref="O1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1985</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Danville CCSD 118</v>
      </c>
      <c r="B7" s="2384"/>
      <c r="C7" s="2384"/>
      <c r="D7" s="2421"/>
      <c r="E7" s="2422">
        <f>COVER!A13</f>
        <v>54092118024</v>
      </c>
      <c r="F7" s="2423"/>
      <c r="G7" s="2390" t="str">
        <f>COVER!T23</f>
        <v>066-004450</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CliftonLarsonAllen LLP</v>
      </c>
      <c r="H9" s="2397"/>
      <c r="I9" s="2397"/>
      <c r="J9" s="2397"/>
      <c r="K9" s="2397"/>
      <c r="L9" s="2398"/>
    </row>
    <row r="10" spans="1:29" ht="13.5" customHeight="1" x14ac:dyDescent="0.2">
      <c r="A10" s="2380" t="str">
        <f>COVER!A38</f>
        <v>Dr. Alicia Geddis</v>
      </c>
      <c r="B10" s="2381"/>
      <c r="C10" s="2381"/>
      <c r="D10" s="2381"/>
      <c r="E10" s="2381"/>
      <c r="F10" s="2382"/>
      <c r="G10" s="2396" t="str">
        <f>COVER!T17</f>
        <v>2 East Main Street, Suite 120</v>
      </c>
      <c r="H10" s="2409"/>
      <c r="I10" s="2409"/>
      <c r="J10" s="2409"/>
      <c r="K10" s="2409"/>
      <c r="L10" s="2410"/>
    </row>
    <row r="11" spans="1:29" ht="13.5" customHeight="1" x14ac:dyDescent="0.2">
      <c r="A11" s="1184" t="s">
        <v>1519</v>
      </c>
      <c r="B11" s="1185"/>
      <c r="C11" s="1186"/>
      <c r="D11" s="1191"/>
      <c r="E11" s="1186"/>
      <c r="F11" s="1190"/>
      <c r="G11" s="2396" t="str">
        <f>COVER!T19</f>
        <v>Danville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hope.wheeler@claconnect.com</v>
      </c>
      <c r="J13" s="2418"/>
      <c r="K13" s="2418"/>
      <c r="L13" s="2419"/>
    </row>
    <row r="14" spans="1:29" ht="13.5" customHeight="1" x14ac:dyDescent="0.2">
      <c r="A14" s="2396" t="str">
        <f>COVER!A19</f>
        <v>115 E. Williams</v>
      </c>
      <c r="B14" s="2409"/>
      <c r="C14" s="2409"/>
      <c r="D14" s="2409"/>
      <c r="E14" s="2409"/>
      <c r="F14" s="2410"/>
      <c r="G14" s="1195" t="s">
        <v>1185</v>
      </c>
      <c r="H14" s="1193"/>
      <c r="I14" s="1193"/>
      <c r="J14" s="1193"/>
      <c r="K14" s="1193"/>
      <c r="L14" s="1194"/>
    </row>
    <row r="15" spans="1:29" ht="13.5" customHeight="1" x14ac:dyDescent="0.2">
      <c r="A15" s="2396" t="str">
        <f>COVER!A21</f>
        <v>Danville</v>
      </c>
      <c r="B15" s="2409"/>
      <c r="C15" s="2409"/>
      <c r="D15" s="2409"/>
      <c r="E15" s="2409"/>
      <c r="F15" s="2410"/>
      <c r="G15" s="2406" t="str">
        <f>COVER!T15</f>
        <v>Hope Wheeler</v>
      </c>
      <c r="H15" s="2407"/>
      <c r="I15" s="2407"/>
      <c r="J15" s="2407"/>
      <c r="K15" s="2407"/>
      <c r="L15" s="2408"/>
    </row>
    <row r="16" spans="1:29" ht="12.2" customHeight="1" x14ac:dyDescent="0.2">
      <c r="A16" s="2386">
        <f>COVER!A25</f>
        <v>61832</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217-442-1643</v>
      </c>
      <c r="H18" s="2384"/>
      <c r="I18" s="2384"/>
      <c r="J18" s="2384"/>
      <c r="K18" s="2383">
        <f>COVER!X21</f>
        <v>0</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1169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1169</v>
      </c>
      <c r="C26" s="1202" t="s">
        <v>1699</v>
      </c>
    </row>
    <row r="27" spans="1:13" s="1198" customFormat="1" ht="9" customHeight="1" x14ac:dyDescent="0.2">
      <c r="B27" s="1203"/>
      <c r="C27" s="1202"/>
    </row>
    <row r="28" spans="1:13" s="1198" customFormat="1" ht="12.2" customHeight="1" x14ac:dyDescent="0.2">
      <c r="A28" s="1205"/>
      <c r="B28" s="1201" t="s">
        <v>1169</v>
      </c>
      <c r="C28" s="1202" t="s">
        <v>1700</v>
      </c>
    </row>
    <row r="29" spans="1:13" s="1198" customFormat="1" ht="9" customHeight="1" x14ac:dyDescent="0.2">
      <c r="A29" s="1205"/>
      <c r="B29" s="1203"/>
      <c r="C29" s="1202"/>
    </row>
    <row r="30" spans="1:13" s="1198" customFormat="1" ht="12.2" customHeight="1" x14ac:dyDescent="0.2">
      <c r="B30" s="1201" t="s">
        <v>1169</v>
      </c>
      <c r="C30" s="1202" t="s">
        <v>1562</v>
      </c>
      <c r="D30" s="1196"/>
      <c r="E30" s="1196"/>
    </row>
    <row r="31" spans="1:13" s="1198" customFormat="1" ht="9" customHeight="1" x14ac:dyDescent="0.2">
      <c r="B31" s="1203"/>
      <c r="C31" s="1202"/>
      <c r="D31" s="1196"/>
      <c r="E31" s="1196"/>
    </row>
    <row r="32" spans="1:13" s="1198" customFormat="1" ht="12.2" customHeight="1" x14ac:dyDescent="0.2">
      <c r="B32" s="1201" t="s">
        <v>1169</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1169</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1169</v>
      </c>
      <c r="C38" s="1202" t="s">
        <v>1566</v>
      </c>
    </row>
    <row r="39" spans="1:8" ht="9" customHeight="1" x14ac:dyDescent="0.2">
      <c r="B39" s="1203"/>
      <c r="C39" s="1206"/>
    </row>
    <row r="40" spans="1:8" s="1198" customFormat="1" ht="13.5" customHeight="1" x14ac:dyDescent="0.2">
      <c r="B40" s="1201" t="s">
        <v>1169</v>
      </c>
      <c r="C40" s="1202" t="s">
        <v>1567</v>
      </c>
    </row>
    <row r="41" spans="1:8" ht="9" customHeight="1" x14ac:dyDescent="0.2">
      <c r="A41" s="1207"/>
      <c r="B41" s="1203"/>
      <c r="C41" s="1206"/>
    </row>
    <row r="42" spans="1:8" s="1198" customFormat="1" ht="13.5" customHeight="1" x14ac:dyDescent="0.2">
      <c r="B42" s="1201" t="s">
        <v>1169</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1169</v>
      </c>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Danville CCSD 118</v>
      </c>
      <c r="B1" s="2420"/>
      <c r="C1" s="2420"/>
      <c r="D1" s="2420"/>
    </row>
    <row r="2" spans="1:11" s="1212" customFormat="1" ht="12.75" x14ac:dyDescent="0.2">
      <c r="A2" s="2425">
        <f>'Single Audit Cover'!E7</f>
        <v>54092118024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Danville CCSD 118</v>
      </c>
      <c r="B1" s="2428"/>
      <c r="C1" s="2428"/>
      <c r="D1" s="2428"/>
      <c r="E1" s="2428"/>
    </row>
    <row r="2" spans="1:5" x14ac:dyDescent="0.2">
      <c r="A2" s="2429">
        <f>'Single Audit Cover'!E7</f>
        <v>54092118024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11716353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264475</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-242110</v>
      </c>
    </row>
    <row r="19" spans="1:4" ht="13.5" thickBot="1" x14ac:dyDescent="0.25">
      <c r="A19" s="1262" t="s">
        <v>1235</v>
      </c>
      <c r="D19" s="1263">
        <f>SUM(D10:D17)</f>
        <v>11738718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468</v>
      </c>
      <c r="B24" s="2430"/>
      <c r="D24" s="1265">
        <f>-'Revenues 9-14'!E237</f>
        <v>-521260</v>
      </c>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11217458</v>
      </c>
    </row>
    <row r="33" spans="1:4" x14ac:dyDescent="0.2">
      <c r="D33" s="1266"/>
    </row>
    <row r="34" spans="1:4" x14ac:dyDescent="0.2">
      <c r="A34" s="317" t="s">
        <v>1232</v>
      </c>
    </row>
    <row r="35" spans="1:4" x14ac:dyDescent="0.2">
      <c r="A35" s="317" t="s">
        <v>1231</v>
      </c>
      <c r="B35" s="1255" t="s">
        <v>1230</v>
      </c>
      <c r="D35" s="1267">
        <f>' SEFA (5)'!F19</f>
        <v>10952983</v>
      </c>
    </row>
    <row r="37" spans="1:4" x14ac:dyDescent="0.2">
      <c r="A37" s="1257" t="s">
        <v>1229</v>
      </c>
    </row>
    <row r="39" spans="1:4" ht="13.35" customHeight="1" x14ac:dyDescent="0.2">
      <c r="A39" s="1264" t="s">
        <v>1228</v>
      </c>
    </row>
    <row r="40" spans="1:4" x14ac:dyDescent="0.2">
      <c r="A40" s="2427" t="s">
        <v>2182</v>
      </c>
      <c r="B40" s="2427"/>
      <c r="D40" s="1265">
        <f>D14</f>
        <v>264475</v>
      </c>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11217458</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zoomScaleNormal="100" workbookViewId="0">
      <selection activeCell="O17" sqref="O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Danville CCSD 118</v>
      </c>
      <c r="C1" s="2432"/>
      <c r="D1" s="2432"/>
      <c r="E1" s="2432"/>
      <c r="F1" s="2432"/>
      <c r="G1" s="2432"/>
      <c r="H1" s="2432"/>
      <c r="I1" s="2432"/>
      <c r="J1" s="2432"/>
      <c r="K1" s="2432"/>
      <c r="L1" s="2432"/>
      <c r="M1" s="2432"/>
    </row>
    <row r="2" spans="2:14" ht="15" x14ac:dyDescent="0.2">
      <c r="B2" s="2433">
        <f>'Single Audit Cover'!E7</f>
        <v>54092118024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2133</v>
      </c>
      <c r="C11" s="1335"/>
      <c r="D11" s="1336"/>
      <c r="E11" s="1337"/>
      <c r="F11" s="1337"/>
      <c r="G11" s="1337"/>
      <c r="H11" s="1337"/>
      <c r="I11" s="1337"/>
      <c r="J11" s="1337"/>
      <c r="K11" s="1337"/>
      <c r="L11" s="1337"/>
      <c r="M11" s="1337"/>
    </row>
    <row r="12" spans="2:14" ht="20.100000000000001" customHeight="1" x14ac:dyDescent="0.2">
      <c r="B12" s="1334" t="s">
        <v>2134</v>
      </c>
      <c r="C12" s="1338"/>
      <c r="D12" s="1339"/>
      <c r="E12" s="1340"/>
      <c r="F12" s="1340"/>
      <c r="G12" s="1340"/>
      <c r="H12" s="1340"/>
      <c r="I12" s="1340"/>
      <c r="J12" s="1340"/>
      <c r="K12" s="1340"/>
      <c r="L12" s="1337"/>
      <c r="M12" s="1340"/>
    </row>
    <row r="13" spans="2:14" ht="20.100000000000001" customHeight="1" x14ac:dyDescent="0.2">
      <c r="B13" s="1334" t="s">
        <v>2135</v>
      </c>
      <c r="C13" s="1338">
        <v>10.555</v>
      </c>
      <c r="D13" s="1339" t="s">
        <v>2136</v>
      </c>
      <c r="E13" s="1340">
        <v>2118102</v>
      </c>
      <c r="F13" s="1340">
        <v>266969</v>
      </c>
      <c r="G13" s="1340">
        <v>2118102</v>
      </c>
      <c r="H13" s="1340"/>
      <c r="I13" s="1340">
        <v>266969</v>
      </c>
      <c r="J13" s="1340"/>
      <c r="K13" s="1340">
        <v>0</v>
      </c>
      <c r="L13" s="1337">
        <f t="shared" ref="L13:L23" si="0">+G13+I13+K13</f>
        <v>2385071</v>
      </c>
      <c r="M13" s="1340" t="s">
        <v>2137</v>
      </c>
    </row>
    <row r="14" spans="2:14" ht="20.100000000000001" customHeight="1" x14ac:dyDescent="0.2">
      <c r="B14" s="1334"/>
      <c r="C14" s="1338"/>
      <c r="D14" s="1339" t="s">
        <v>2138</v>
      </c>
      <c r="E14" s="1340">
        <v>0</v>
      </c>
      <c r="F14" s="1340">
        <v>2117118</v>
      </c>
      <c r="G14" s="1340">
        <v>0</v>
      </c>
      <c r="H14" s="1340"/>
      <c r="I14" s="1340">
        <v>2117118</v>
      </c>
      <c r="J14" s="1340"/>
      <c r="K14" s="1340">
        <v>0</v>
      </c>
      <c r="L14" s="1337">
        <f t="shared" si="0"/>
        <v>2117118</v>
      </c>
      <c r="M14" s="1340" t="s">
        <v>2137</v>
      </c>
    </row>
    <row r="15" spans="2:14" ht="20.100000000000001" customHeight="1" x14ac:dyDescent="0.2">
      <c r="B15" s="1334" t="s">
        <v>1169</v>
      </c>
      <c r="C15" s="1338"/>
      <c r="D15" s="1339"/>
      <c r="E15" s="1340"/>
      <c r="F15" s="1340">
        <f>F13+F14</f>
        <v>2384087</v>
      </c>
      <c r="G15" s="1340"/>
      <c r="H15" s="1340"/>
      <c r="I15" s="1340">
        <f>I13+I14</f>
        <v>2384087</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2139</v>
      </c>
      <c r="C17" s="1338">
        <v>10.553000000000001</v>
      </c>
      <c r="D17" s="1339" t="s">
        <v>2144</v>
      </c>
      <c r="E17" s="1340">
        <v>727677</v>
      </c>
      <c r="F17" s="1340">
        <v>99478</v>
      </c>
      <c r="G17" s="1340">
        <v>727677</v>
      </c>
      <c r="H17" s="1340"/>
      <c r="I17" s="1340">
        <v>99478</v>
      </c>
      <c r="J17" s="1340"/>
      <c r="K17" s="1340">
        <v>0</v>
      </c>
      <c r="L17" s="1337">
        <f t="shared" si="0"/>
        <v>827155</v>
      </c>
      <c r="M17" s="1340" t="s">
        <v>2137</v>
      </c>
    </row>
    <row r="18" spans="2:14" ht="20.100000000000001" customHeight="1" x14ac:dyDescent="0.2">
      <c r="B18" s="1334"/>
      <c r="C18" s="1338"/>
      <c r="D18" s="1339" t="s">
        <v>2145</v>
      </c>
      <c r="E18" s="1340">
        <v>0</v>
      </c>
      <c r="F18" s="1340">
        <v>794025</v>
      </c>
      <c r="G18" s="1340">
        <v>0</v>
      </c>
      <c r="H18" s="1340"/>
      <c r="I18" s="1340">
        <v>794025</v>
      </c>
      <c r="J18" s="1340"/>
      <c r="K18" s="1340">
        <v>0</v>
      </c>
      <c r="L18" s="1337">
        <f t="shared" si="0"/>
        <v>794025</v>
      </c>
      <c r="M18" s="1340" t="s">
        <v>2137</v>
      </c>
    </row>
    <row r="19" spans="2:14" ht="20.100000000000001" customHeight="1" x14ac:dyDescent="0.2">
      <c r="B19" s="1334"/>
      <c r="C19" s="1338"/>
      <c r="D19" s="1339"/>
      <c r="E19" s="1340"/>
      <c r="F19" s="1340">
        <f>F17+F18</f>
        <v>893503</v>
      </c>
      <c r="G19" s="1340"/>
      <c r="H19" s="1340"/>
      <c r="I19" s="1340">
        <f>I17+I18</f>
        <v>893503</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2140</v>
      </c>
      <c r="C21" s="1338">
        <v>10.555</v>
      </c>
      <c r="D21" s="1339" t="s">
        <v>2137</v>
      </c>
      <c r="E21" s="1340">
        <v>0</v>
      </c>
      <c r="F21" s="1340">
        <v>211526</v>
      </c>
      <c r="G21" s="1340">
        <v>0</v>
      </c>
      <c r="H21" s="1340"/>
      <c r="I21" s="1340">
        <v>211526</v>
      </c>
      <c r="J21" s="1340"/>
      <c r="K21" s="1340">
        <v>0</v>
      </c>
      <c r="L21" s="1337">
        <f t="shared" si="0"/>
        <v>211526</v>
      </c>
      <c r="M21" s="1340" t="s">
        <v>2137</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2141</v>
      </c>
      <c r="C23" s="1338">
        <v>10.555</v>
      </c>
      <c r="D23" s="1339" t="s">
        <v>2137</v>
      </c>
      <c r="E23" s="1340">
        <v>0</v>
      </c>
      <c r="F23" s="1340">
        <f>52949+38806</f>
        <v>91755</v>
      </c>
      <c r="G23" s="1340">
        <v>0</v>
      </c>
      <c r="H23" s="1340"/>
      <c r="I23" s="1340">
        <f>52949+38806</f>
        <v>91755</v>
      </c>
      <c r="J23" s="1340"/>
      <c r="K23" s="1340">
        <v>0</v>
      </c>
      <c r="L23" s="1337">
        <f t="shared" si="0"/>
        <v>91755</v>
      </c>
      <c r="M23" s="1340" t="s">
        <v>2137</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2142</v>
      </c>
      <c r="C25" s="1338"/>
      <c r="D25" s="1339"/>
      <c r="E25" s="1340"/>
      <c r="F25" s="1340">
        <f>F15+F19+F21+F23</f>
        <v>3580871</v>
      </c>
      <c r="G25" s="1340"/>
      <c r="H25" s="1340"/>
      <c r="I25" s="1340">
        <f>I15+I19+I21+I23</f>
        <v>3580871</v>
      </c>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t="s">
        <v>2143</v>
      </c>
      <c r="C27" s="1338"/>
      <c r="D27" s="1339"/>
      <c r="E27" s="1340"/>
      <c r="F27" s="1340">
        <f>F25</f>
        <v>3580871</v>
      </c>
      <c r="G27" s="1340"/>
      <c r="H27" s="1340"/>
      <c r="I27" s="1340">
        <f>I25</f>
        <v>3580871</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2183</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43738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v>340234</v>
      </c>
      <c r="G88" s="276">
        <v>97158</v>
      </c>
      <c r="H88" s="276">
        <v>89436</v>
      </c>
      <c r="I88" s="276"/>
      <c r="J88" s="277">
        <f>SUM(E88:I88)</f>
        <v>526828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526828</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zoomScaleNormal="100" workbookViewId="0">
      <selection activeCell="C17" sqref="C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Danville CCSD 118</v>
      </c>
      <c r="C1" s="2432"/>
      <c r="D1" s="2432"/>
      <c r="E1" s="2432"/>
      <c r="F1" s="2432"/>
      <c r="G1" s="2432"/>
      <c r="H1" s="2432"/>
      <c r="I1" s="2432"/>
      <c r="J1" s="2432"/>
      <c r="K1" s="2432"/>
      <c r="L1" s="2432"/>
      <c r="M1" s="2432"/>
    </row>
    <row r="2" spans="2:14" ht="15" x14ac:dyDescent="0.2">
      <c r="B2" s="2433">
        <f>'Single Audit Cover'!E7</f>
        <v>54092118024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2146</v>
      </c>
      <c r="C11" s="1335"/>
      <c r="D11" s="1336"/>
      <c r="E11" s="1337"/>
      <c r="F11" s="1337"/>
      <c r="G11" s="1337"/>
      <c r="H11" s="1337"/>
      <c r="I11" s="1337"/>
      <c r="J11" s="1337"/>
      <c r="K11" s="1337"/>
      <c r="L11" s="1337"/>
      <c r="M11" s="1337"/>
    </row>
    <row r="12" spans="2:14" ht="20.100000000000001" customHeight="1" x14ac:dyDescent="0.2">
      <c r="B12" s="1334" t="s">
        <v>2147</v>
      </c>
      <c r="C12" s="1338"/>
      <c r="D12" s="1339"/>
      <c r="E12" s="1340"/>
      <c r="F12" s="1340"/>
      <c r="G12" s="1340"/>
      <c r="H12" s="1340"/>
      <c r="I12" s="1340"/>
      <c r="J12" s="1340"/>
      <c r="K12" s="1340"/>
      <c r="L12" s="1337"/>
      <c r="M12" s="1340"/>
    </row>
    <row r="13" spans="2:14" ht="20.100000000000001" customHeight="1" x14ac:dyDescent="0.2">
      <c r="B13" s="1334" t="s">
        <v>2148</v>
      </c>
      <c r="C13" s="1338">
        <v>93.778000000000006</v>
      </c>
      <c r="D13" s="1339">
        <v>2018</v>
      </c>
      <c r="E13" s="1340">
        <v>152831</v>
      </c>
      <c r="F13" s="1340">
        <v>0</v>
      </c>
      <c r="G13" s="1340">
        <v>152831</v>
      </c>
      <c r="H13" s="1340"/>
      <c r="I13" s="1340">
        <v>0</v>
      </c>
      <c r="J13" s="1340"/>
      <c r="K13" s="1340">
        <v>0</v>
      </c>
      <c r="L13" s="1337">
        <f t="shared" ref="L13:L18" si="0">+G13+I13+K13</f>
        <v>152831</v>
      </c>
      <c r="M13" s="1340" t="s">
        <v>2137</v>
      </c>
    </row>
    <row r="14" spans="2:14" ht="20.100000000000001" customHeight="1" x14ac:dyDescent="0.2">
      <c r="B14" s="1334"/>
      <c r="C14" s="1338"/>
      <c r="D14" s="1339">
        <v>2019</v>
      </c>
      <c r="E14" s="1340">
        <v>0</v>
      </c>
      <c r="F14" s="1340">
        <v>102342</v>
      </c>
      <c r="G14" s="1340">
        <v>0</v>
      </c>
      <c r="H14" s="1340"/>
      <c r="I14" s="1340">
        <v>102342</v>
      </c>
      <c r="J14" s="1340"/>
      <c r="K14" s="1340">
        <v>0</v>
      </c>
      <c r="L14" s="1337">
        <f t="shared" si="0"/>
        <v>102342</v>
      </c>
      <c r="M14" s="1340" t="s">
        <v>2137</v>
      </c>
    </row>
    <row r="15" spans="2:14" ht="20.100000000000001" customHeight="1" x14ac:dyDescent="0.2">
      <c r="B15" s="1334" t="s">
        <v>1169</v>
      </c>
      <c r="C15" s="1338"/>
      <c r="D15" s="1339"/>
      <c r="E15" s="1340"/>
      <c r="F15" s="1340">
        <f>F13+F14</f>
        <v>102342</v>
      </c>
      <c r="G15" s="1340"/>
      <c r="H15" s="1340"/>
      <c r="I15" s="1340">
        <f>I13+I14</f>
        <v>102342</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2149</v>
      </c>
      <c r="C17" s="1338">
        <v>93.87</v>
      </c>
      <c r="D17" s="1339">
        <v>2018</v>
      </c>
      <c r="E17" s="1340">
        <v>66466</v>
      </c>
      <c r="F17" s="1340">
        <v>17142</v>
      </c>
      <c r="G17" s="1340">
        <v>66466</v>
      </c>
      <c r="H17" s="1340"/>
      <c r="I17" s="1340">
        <v>0</v>
      </c>
      <c r="J17" s="1340"/>
      <c r="K17" s="1340">
        <v>0</v>
      </c>
      <c r="L17" s="1337">
        <f t="shared" si="0"/>
        <v>66466</v>
      </c>
      <c r="M17" s="1340" t="s">
        <v>2137</v>
      </c>
    </row>
    <row r="18" spans="2:14" ht="20.100000000000001" customHeight="1" x14ac:dyDescent="0.2">
      <c r="B18" s="1334"/>
      <c r="C18" s="1338"/>
      <c r="D18" s="1339">
        <v>2019</v>
      </c>
      <c r="E18" s="1340">
        <v>0</v>
      </c>
      <c r="F18" s="1340">
        <v>87628</v>
      </c>
      <c r="G18" s="1340">
        <v>0</v>
      </c>
      <c r="H18" s="1340"/>
      <c r="I18" s="1340">
        <v>87628</v>
      </c>
      <c r="J18" s="1340"/>
      <c r="K18" s="1340">
        <v>0</v>
      </c>
      <c r="L18" s="1337">
        <f t="shared" si="0"/>
        <v>87628</v>
      </c>
      <c r="M18" s="1340">
        <v>100359</v>
      </c>
    </row>
    <row r="19" spans="2:14" ht="20.100000000000001" customHeight="1" x14ac:dyDescent="0.2">
      <c r="B19" s="1334"/>
      <c r="C19" s="1338"/>
      <c r="D19" s="1339"/>
      <c r="E19" s="1340"/>
      <c r="F19" s="1340">
        <f>F17+F18</f>
        <v>104770</v>
      </c>
      <c r="G19" s="1340"/>
      <c r="H19" s="1340"/>
      <c r="I19" s="1340">
        <f>I17+I18</f>
        <v>87628</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2150</v>
      </c>
      <c r="C21" s="1338"/>
      <c r="D21" s="1339"/>
      <c r="E21" s="1340"/>
      <c r="F21" s="1340">
        <f>F15+F19</f>
        <v>207112</v>
      </c>
      <c r="G21" s="1340"/>
      <c r="H21" s="1340"/>
      <c r="I21" s="1340">
        <f>I15+I19</f>
        <v>189970</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2"/>
  <sheetViews>
    <sheetView showGridLines="0" zoomScaleNormal="100" workbookViewId="0">
      <selection activeCell="F23" sqref="F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Danville CCSD 118</v>
      </c>
      <c r="C1" s="2432"/>
      <c r="D1" s="2432"/>
      <c r="E1" s="2432"/>
      <c r="F1" s="2432"/>
      <c r="G1" s="2432"/>
      <c r="H1" s="2432"/>
      <c r="I1" s="2432"/>
      <c r="J1" s="2432"/>
      <c r="K1" s="2432"/>
      <c r="L1" s="2432"/>
      <c r="M1" s="2432"/>
    </row>
    <row r="2" spans="2:14" ht="15" x14ac:dyDescent="0.2">
      <c r="B2" s="2433">
        <f>'Single Audit Cover'!E7</f>
        <v>54092118024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2151</v>
      </c>
      <c r="C11" s="1335"/>
      <c r="D11" s="1336"/>
      <c r="E11" s="1337"/>
      <c r="F11" s="1337"/>
      <c r="G11" s="1337"/>
      <c r="H11" s="1337"/>
      <c r="I11" s="1337"/>
      <c r="J11" s="1337"/>
      <c r="K11" s="1337"/>
      <c r="L11" s="1337"/>
      <c r="M11" s="1337"/>
    </row>
    <row r="12" spans="2:14" ht="20.100000000000001" customHeight="1" x14ac:dyDescent="0.2">
      <c r="B12" s="1334" t="s">
        <v>2134</v>
      </c>
      <c r="C12" s="1338"/>
      <c r="D12" s="1339"/>
      <c r="E12" s="1340"/>
      <c r="F12" s="1340"/>
      <c r="G12" s="1340"/>
      <c r="H12" s="1340"/>
      <c r="I12" s="1340"/>
      <c r="J12" s="1340"/>
      <c r="K12" s="1340"/>
      <c r="L12" s="1337"/>
      <c r="M12" s="1340"/>
    </row>
    <row r="13" spans="2:14" ht="20.100000000000001" customHeight="1" x14ac:dyDescent="0.2">
      <c r="B13" s="1334" t="s">
        <v>918</v>
      </c>
      <c r="C13" s="1338">
        <v>84.01</v>
      </c>
      <c r="D13" s="1339" t="s">
        <v>2152</v>
      </c>
      <c r="E13" s="1340">
        <v>3359377</v>
      </c>
      <c r="F13" s="1340">
        <v>434206</v>
      </c>
      <c r="G13" s="1340">
        <v>3359377</v>
      </c>
      <c r="H13" s="1340"/>
      <c r="I13" s="1340">
        <v>434206</v>
      </c>
      <c r="J13" s="1340"/>
      <c r="K13" s="1340">
        <v>0</v>
      </c>
      <c r="L13" s="1337">
        <f t="shared" ref="L13:L22" si="0">+G13+I13+K13</f>
        <v>3793583</v>
      </c>
      <c r="M13" s="1340">
        <v>4151762</v>
      </c>
    </row>
    <row r="14" spans="2:14" ht="20.100000000000001" customHeight="1" x14ac:dyDescent="0.2">
      <c r="B14" s="1334"/>
      <c r="C14" s="1338"/>
      <c r="D14" s="1339" t="s">
        <v>2153</v>
      </c>
      <c r="E14" s="1340">
        <v>0</v>
      </c>
      <c r="F14" s="1340">
        <v>4197832</v>
      </c>
      <c r="G14" s="1340">
        <v>0</v>
      </c>
      <c r="H14" s="1340"/>
      <c r="I14" s="1340">
        <v>4197832</v>
      </c>
      <c r="J14" s="1340"/>
      <c r="K14" s="1340">
        <v>0</v>
      </c>
      <c r="L14" s="1337">
        <f t="shared" si="0"/>
        <v>4197832</v>
      </c>
      <c r="M14" s="1340">
        <v>4569122</v>
      </c>
    </row>
    <row r="15" spans="2:14" ht="20.100000000000001" customHeight="1" x14ac:dyDescent="0.2">
      <c r="B15" s="1334" t="s">
        <v>1169</v>
      </c>
      <c r="C15" s="1338"/>
      <c r="D15" s="1339"/>
      <c r="E15" s="1340"/>
      <c r="F15" s="1340">
        <f>F13+F14</f>
        <v>4632038</v>
      </c>
      <c r="G15" s="1340"/>
      <c r="H15" s="1340"/>
      <c r="I15" s="1340">
        <f>I13+I14</f>
        <v>4632038</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2175</v>
      </c>
      <c r="C17" s="1338">
        <v>84.01</v>
      </c>
      <c r="D17" s="1339" t="s">
        <v>2154</v>
      </c>
      <c r="E17" s="1340">
        <v>17710</v>
      </c>
      <c r="F17" s="1340">
        <v>190</v>
      </c>
      <c r="G17" s="1340">
        <v>17710</v>
      </c>
      <c r="H17" s="1340"/>
      <c r="I17" s="1340">
        <v>190</v>
      </c>
      <c r="J17" s="1340"/>
      <c r="K17" s="1340">
        <v>0</v>
      </c>
      <c r="L17" s="1337">
        <f t="shared" si="0"/>
        <v>17900</v>
      </c>
      <c r="M17" s="1340">
        <v>32908</v>
      </c>
    </row>
    <row r="18" spans="2:14" ht="20.100000000000001" customHeight="1" x14ac:dyDescent="0.2">
      <c r="B18" s="1334"/>
      <c r="C18" s="1338"/>
      <c r="D18" s="1339" t="s">
        <v>2155</v>
      </c>
      <c r="E18" s="1340">
        <v>0</v>
      </c>
      <c r="F18" s="1340">
        <v>18739</v>
      </c>
      <c r="G18" s="1340">
        <v>0</v>
      </c>
      <c r="H18" s="1340"/>
      <c r="I18" s="1340">
        <v>18739</v>
      </c>
      <c r="J18" s="1340"/>
      <c r="K18" s="1340">
        <v>0</v>
      </c>
      <c r="L18" s="1337">
        <f t="shared" si="0"/>
        <v>18739</v>
      </c>
      <c r="M18" s="1340">
        <v>55904</v>
      </c>
    </row>
    <row r="19" spans="2:14" ht="20.100000000000001" customHeight="1" x14ac:dyDescent="0.2">
      <c r="B19" s="1334"/>
      <c r="C19" s="1338"/>
      <c r="D19" s="1339"/>
      <c r="E19" s="1340"/>
      <c r="F19" s="1340">
        <f>F17+F18</f>
        <v>18929</v>
      </c>
      <c r="G19" s="1340"/>
      <c r="H19" s="1340"/>
      <c r="I19" s="1340">
        <f>I17+I18</f>
        <v>18929</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2176</v>
      </c>
      <c r="C21" s="1338">
        <v>84.027000000000001</v>
      </c>
      <c r="D21" s="1339" t="s">
        <v>2156</v>
      </c>
      <c r="E21" s="1340">
        <v>1593765</v>
      </c>
      <c r="F21" s="1340">
        <v>105584</v>
      </c>
      <c r="G21" s="1340">
        <v>1593765</v>
      </c>
      <c r="H21" s="1340"/>
      <c r="I21" s="1340">
        <v>105584</v>
      </c>
      <c r="J21" s="1340"/>
      <c r="K21" s="1340">
        <v>0</v>
      </c>
      <c r="L21" s="1337">
        <f>G21+I21+K21</f>
        <v>1699349</v>
      </c>
      <c r="M21" s="1340">
        <v>1976783</v>
      </c>
    </row>
    <row r="22" spans="2:14" ht="20.100000000000001" customHeight="1" x14ac:dyDescent="0.2">
      <c r="B22" s="1334"/>
      <c r="C22" s="1338"/>
      <c r="D22" s="1339" t="s">
        <v>2157</v>
      </c>
      <c r="E22" s="1340">
        <v>0</v>
      </c>
      <c r="F22" s="1340">
        <v>1560284</v>
      </c>
      <c r="G22" s="1340">
        <v>0</v>
      </c>
      <c r="H22" s="1340"/>
      <c r="I22" s="1340">
        <v>1560284</v>
      </c>
      <c r="J22" s="1340"/>
      <c r="K22" s="1340">
        <v>95484</v>
      </c>
      <c r="L22" s="1337">
        <f t="shared" si="0"/>
        <v>1655768</v>
      </c>
      <c r="M22" s="1340">
        <v>193381</v>
      </c>
    </row>
    <row r="23" spans="2:14" ht="20.100000000000001" customHeight="1" x14ac:dyDescent="0.2">
      <c r="B23" s="1334"/>
      <c r="C23" s="1338"/>
      <c r="D23" s="1339"/>
      <c r="E23" s="1340"/>
      <c r="F23" s="1340">
        <f>F21+F22</f>
        <v>1665868</v>
      </c>
      <c r="G23" s="1340"/>
      <c r="H23" s="1340"/>
      <c r="I23" s="1340">
        <f>I21+I22</f>
        <v>1665868</v>
      </c>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N152"/>
  <sheetViews>
    <sheetView showGridLines="0" topLeftCell="A7" zoomScaleNormal="100" workbookViewId="0">
      <selection activeCell="I15" sqref="I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Danville CCSD 118</v>
      </c>
      <c r="C1" s="2432"/>
      <c r="D1" s="2432"/>
      <c r="E1" s="2432"/>
      <c r="F1" s="2432"/>
      <c r="G1" s="2432"/>
      <c r="H1" s="2432"/>
      <c r="I1" s="2432"/>
      <c r="J1" s="2432"/>
      <c r="K1" s="2432"/>
      <c r="L1" s="2432"/>
      <c r="M1" s="2432"/>
    </row>
    <row r="2" spans="2:14" ht="15" x14ac:dyDescent="0.2">
      <c r="B2" s="2433">
        <f>'Single Audit Cover'!E7</f>
        <v>54092118024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2177</v>
      </c>
      <c r="C11" s="1335">
        <v>84.173000000000002</v>
      </c>
      <c r="D11" s="1336" t="s">
        <v>2158</v>
      </c>
      <c r="E11" s="1337">
        <v>61718</v>
      </c>
      <c r="F11" s="1337">
        <v>6260</v>
      </c>
      <c r="G11" s="1337">
        <v>61718</v>
      </c>
      <c r="H11" s="1337"/>
      <c r="I11" s="1337">
        <v>6260</v>
      </c>
      <c r="J11" s="1337"/>
      <c r="K11" s="1337">
        <v>0</v>
      </c>
      <c r="L11" s="1337">
        <f>+G11+I11+K11</f>
        <v>67978</v>
      </c>
      <c r="M11" s="1337">
        <v>110775</v>
      </c>
    </row>
    <row r="12" spans="2:14" ht="20.100000000000001" customHeight="1" x14ac:dyDescent="0.2">
      <c r="B12" s="1334"/>
      <c r="C12" s="1338"/>
      <c r="D12" s="1339" t="s">
        <v>2159</v>
      </c>
      <c r="E12" s="1340">
        <v>0</v>
      </c>
      <c r="F12" s="1340">
        <v>83061</v>
      </c>
      <c r="G12" s="1340">
        <v>0</v>
      </c>
      <c r="H12" s="1340"/>
      <c r="I12" s="1340">
        <v>93524</v>
      </c>
      <c r="J12" s="1340"/>
      <c r="K12" s="1340">
        <v>3030</v>
      </c>
      <c r="L12" s="1337">
        <f t="shared" ref="L12" si="0">+G12+I12+K12</f>
        <v>96554</v>
      </c>
      <c r="M12" s="1340">
        <v>134323</v>
      </c>
    </row>
    <row r="13" spans="2:14" ht="20.100000000000001" customHeight="1" x14ac:dyDescent="0.2">
      <c r="B13" s="1334"/>
      <c r="C13" s="1338"/>
      <c r="D13" s="1339"/>
      <c r="E13" s="1340"/>
      <c r="F13" s="1340">
        <f>F11+F12</f>
        <v>89321</v>
      </c>
      <c r="G13" s="1340"/>
      <c r="H13" s="1340"/>
      <c r="I13" s="1340">
        <f>I11+I12</f>
        <v>99784</v>
      </c>
      <c r="J13" s="1340"/>
      <c r="K13" s="1340"/>
      <c r="L13" s="1337"/>
      <c r="M13" s="1340"/>
    </row>
    <row r="14" spans="2:14" ht="20.100000000000001" customHeight="1" x14ac:dyDescent="0.2">
      <c r="B14" s="1939"/>
      <c r="C14" s="1338"/>
      <c r="D14" s="1339"/>
      <c r="E14" s="1340"/>
      <c r="F14" s="1340"/>
      <c r="G14" s="1340"/>
      <c r="H14" s="1340"/>
      <c r="I14" s="1340"/>
      <c r="J14" s="1340"/>
      <c r="K14" s="1340"/>
      <c r="L14" s="1337"/>
      <c r="M14" s="1340"/>
    </row>
    <row r="15" spans="2:14" ht="20.100000000000001" customHeight="1" x14ac:dyDescent="0.2">
      <c r="B15" s="1939" t="s">
        <v>2189</v>
      </c>
      <c r="C15" s="1338"/>
      <c r="D15" s="1339"/>
      <c r="E15" s="1340"/>
      <c r="F15" s="1340">
        <f>F13+' SEFA (3)'!F23</f>
        <v>1755189</v>
      </c>
      <c r="G15" s="1340"/>
      <c r="H15" s="1340"/>
      <c r="I15" s="1340">
        <f>I13+' SEFA (3)'!I23</f>
        <v>1765652</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2160</v>
      </c>
      <c r="C17" s="1338">
        <v>84.376999999999995</v>
      </c>
      <c r="D17" s="1339" t="s">
        <v>2161</v>
      </c>
      <c r="E17" s="1340">
        <v>0</v>
      </c>
      <c r="F17" s="1340">
        <v>0</v>
      </c>
      <c r="G17" s="1340">
        <v>0</v>
      </c>
      <c r="H17" s="1340"/>
      <c r="I17" s="1340">
        <v>0</v>
      </c>
      <c r="J17" s="1340"/>
      <c r="K17" s="1340">
        <v>0</v>
      </c>
      <c r="L17" s="1337">
        <f>+G17+I17+K17</f>
        <v>0</v>
      </c>
      <c r="M17" s="1340" t="s">
        <v>2137</v>
      </c>
    </row>
    <row r="18" spans="2:14" ht="20.100000000000001" customHeight="1" x14ac:dyDescent="0.2">
      <c r="B18" s="1334"/>
      <c r="C18" s="1338"/>
      <c r="D18" s="1339" t="s">
        <v>2162</v>
      </c>
      <c r="E18" s="1340">
        <v>0</v>
      </c>
      <c r="F18" s="1340">
        <v>363385</v>
      </c>
      <c r="G18" s="1340">
        <v>0</v>
      </c>
      <c r="H18" s="1340"/>
      <c r="I18" s="1340">
        <v>363385</v>
      </c>
      <c r="J18" s="1340"/>
      <c r="K18" s="1340">
        <v>0</v>
      </c>
      <c r="L18" s="1337">
        <f>+G18+I18+K18</f>
        <v>363385</v>
      </c>
      <c r="M18" s="1340" t="s">
        <v>2137</v>
      </c>
    </row>
    <row r="19" spans="2:14" ht="20.100000000000001" customHeight="1" x14ac:dyDescent="0.2">
      <c r="B19" s="1334"/>
      <c r="C19" s="1338"/>
      <c r="D19" s="1339"/>
      <c r="E19" s="1340"/>
      <c r="F19" s="1340">
        <f>F17+F18</f>
        <v>363385</v>
      </c>
      <c r="G19" s="1340"/>
      <c r="H19" s="1340"/>
      <c r="I19" s="1340">
        <f>I17+I18</f>
        <v>363385</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2163</v>
      </c>
      <c r="C21" s="1338" t="s">
        <v>2164</v>
      </c>
      <c r="D21" s="1339" t="s">
        <v>2165</v>
      </c>
      <c r="E21" s="1340">
        <v>388</v>
      </c>
      <c r="F21" s="1340">
        <v>0</v>
      </c>
      <c r="G21" s="1340">
        <v>388</v>
      </c>
      <c r="H21" s="1340"/>
      <c r="I21" s="1340">
        <v>0</v>
      </c>
      <c r="J21" s="1340"/>
      <c r="K21" s="1340">
        <v>0</v>
      </c>
      <c r="L21" s="1337">
        <f>+G21+I21+K21</f>
        <v>388</v>
      </c>
      <c r="M21" s="1340">
        <v>400</v>
      </c>
    </row>
    <row r="22" spans="2:14" ht="20.100000000000001" customHeight="1" x14ac:dyDescent="0.2">
      <c r="B22" s="1334"/>
      <c r="C22" s="1338"/>
      <c r="D22" s="1339" t="s">
        <v>2166</v>
      </c>
      <c r="E22" s="1340">
        <v>0</v>
      </c>
      <c r="F22" s="1340">
        <v>1155</v>
      </c>
      <c r="G22" s="1340">
        <v>0</v>
      </c>
      <c r="H22" s="1340"/>
      <c r="I22" s="1340">
        <v>1155</v>
      </c>
      <c r="J22" s="1340"/>
      <c r="K22" s="1340">
        <v>0</v>
      </c>
      <c r="L22" s="1337">
        <f>+G22+I22+K22</f>
        <v>1155</v>
      </c>
      <c r="M22" s="1340">
        <v>2850</v>
      </c>
    </row>
    <row r="23" spans="2:14" ht="20.100000000000001" customHeight="1" x14ac:dyDescent="0.2">
      <c r="B23" s="1334"/>
      <c r="C23" s="1338"/>
      <c r="D23" s="1339"/>
      <c r="E23" s="1340"/>
      <c r="F23" s="1340">
        <f>F21+F22</f>
        <v>1155</v>
      </c>
      <c r="G23" s="1340"/>
      <c r="H23" s="1340"/>
      <c r="I23" s="1340">
        <f>I21+I22</f>
        <v>1155</v>
      </c>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2167</v>
      </c>
      <c r="C25" s="1338">
        <v>84.364999999999995</v>
      </c>
      <c r="D25" s="1339" t="s">
        <v>2168</v>
      </c>
      <c r="E25" s="1340">
        <v>19987</v>
      </c>
      <c r="F25" s="1340">
        <v>349</v>
      </c>
      <c r="G25" s="1340">
        <v>19987</v>
      </c>
      <c r="H25" s="1340"/>
      <c r="I25" s="1340">
        <v>349</v>
      </c>
      <c r="J25" s="1340"/>
      <c r="K25" s="1340">
        <v>0</v>
      </c>
      <c r="L25" s="1337">
        <f>+G25+I25+K25</f>
        <v>20336</v>
      </c>
      <c r="M25" s="1340">
        <v>23818</v>
      </c>
    </row>
    <row r="26" spans="2:14" ht="20.100000000000001" customHeight="1" x14ac:dyDescent="0.2">
      <c r="B26" s="1334"/>
      <c r="C26" s="1338"/>
      <c r="D26" s="1339" t="s">
        <v>2169</v>
      </c>
      <c r="E26" s="1340">
        <v>0</v>
      </c>
      <c r="F26" s="1340">
        <v>22231</v>
      </c>
      <c r="G26" s="1340">
        <v>0</v>
      </c>
      <c r="H26" s="1340"/>
      <c r="I26" s="1340">
        <v>22231</v>
      </c>
      <c r="J26" s="1340"/>
      <c r="K26" s="1340">
        <v>0</v>
      </c>
      <c r="L26" s="1337">
        <f>+G26+I26+K26</f>
        <v>22231</v>
      </c>
      <c r="M26" s="1340">
        <v>25282</v>
      </c>
    </row>
    <row r="27" spans="2:14" ht="20.100000000000001" customHeight="1" x14ac:dyDescent="0.2">
      <c r="B27" s="1334"/>
      <c r="C27" s="1338"/>
      <c r="D27" s="1339"/>
      <c r="E27" s="1340"/>
      <c r="F27" s="1340">
        <f>F25+F26</f>
        <v>22580</v>
      </c>
      <c r="G27" s="1340"/>
      <c r="H27" s="1340"/>
      <c r="I27" s="1340">
        <f>I25+I26</f>
        <v>22580</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N152"/>
  <sheetViews>
    <sheetView showGridLines="0"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Danville CCSD 118</v>
      </c>
      <c r="C1" s="2432"/>
      <c r="D1" s="2432"/>
      <c r="E1" s="2432"/>
      <c r="F1" s="2432"/>
      <c r="G1" s="2432"/>
      <c r="H1" s="2432"/>
      <c r="I1" s="2432"/>
      <c r="J1" s="2432"/>
      <c r="K1" s="2432"/>
      <c r="L1" s="2432"/>
      <c r="M1" s="2432"/>
    </row>
    <row r="2" spans="2:14" ht="15" x14ac:dyDescent="0.2">
      <c r="B2" s="2433">
        <f>'Single Audit Cover'!E7</f>
        <v>54092118024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758</v>
      </c>
      <c r="C11" s="1335">
        <v>84.367000000000004</v>
      </c>
      <c r="D11" s="1336" t="s">
        <v>2170</v>
      </c>
      <c r="E11" s="1337">
        <v>119380</v>
      </c>
      <c r="F11" s="1337">
        <v>9558</v>
      </c>
      <c r="G11" s="1337">
        <v>119379</v>
      </c>
      <c r="H11" s="1337"/>
      <c r="I11" s="1337">
        <v>9558</v>
      </c>
      <c r="J11" s="1337"/>
      <c r="K11" s="1337">
        <v>0</v>
      </c>
      <c r="L11" s="1337">
        <f>+G11+I11+K11</f>
        <v>128937</v>
      </c>
      <c r="M11" s="1337">
        <v>274693</v>
      </c>
    </row>
    <row r="12" spans="2:14" ht="20.100000000000001" customHeight="1" x14ac:dyDescent="0.2">
      <c r="B12" s="1334"/>
      <c r="C12" s="1338"/>
      <c r="D12" s="1339" t="s">
        <v>2171</v>
      </c>
      <c r="E12" s="1340">
        <v>0</v>
      </c>
      <c r="F12" s="1340">
        <v>362166</v>
      </c>
      <c r="G12" s="1340">
        <v>0</v>
      </c>
      <c r="H12" s="1340"/>
      <c r="I12" s="1340">
        <v>362166</v>
      </c>
      <c r="J12" s="1340"/>
      <c r="K12" s="1340">
        <v>0</v>
      </c>
      <c r="L12" s="1337">
        <f t="shared" ref="L12" si="0">+G12+I12+K12</f>
        <v>362166</v>
      </c>
      <c r="M12" s="1340">
        <v>563056</v>
      </c>
    </row>
    <row r="13" spans="2:14" ht="20.100000000000001" customHeight="1" x14ac:dyDescent="0.2">
      <c r="B13" s="1334"/>
      <c r="C13" s="1338"/>
      <c r="D13" s="1339"/>
      <c r="E13" s="1340"/>
      <c r="F13" s="1340">
        <f>F11+F12</f>
        <v>371724</v>
      </c>
      <c r="G13" s="1340"/>
      <c r="H13" s="1340"/>
      <c r="I13" s="1340">
        <f>I11+I12</f>
        <v>371724</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2172</v>
      </c>
      <c r="C15" s="1338"/>
      <c r="D15" s="1339"/>
      <c r="E15" s="1340"/>
      <c r="F15" s="1340">
        <f>' SEFA (3)'!F15+' SEFA (3)'!F19+' SEFA (4)'!F19+' SEFA (4)'!F23+' SEFA (4)'!F27+' SEFA (5)'!F13+' SEFA (3)'!F23+' SEFA (4)'!F13</f>
        <v>7165000</v>
      </c>
      <c r="G15" s="1340"/>
      <c r="H15" s="1340"/>
      <c r="I15" s="1340">
        <f>' SEFA (3)'!I15+' SEFA (3)'!I19+' SEFA (4)'!I19+' SEFA (4)'!I23+' SEFA (4)'!I27+' SEFA (5)'!I13+' SEFA (3)'!I23+' SEFA (4)'!I13</f>
        <v>7175463</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2173</v>
      </c>
      <c r="C17" s="1338"/>
      <c r="D17" s="1339"/>
      <c r="E17" s="1340"/>
      <c r="F17" s="1340">
        <f>' SEFA'!F27+F15</f>
        <v>10745871</v>
      </c>
      <c r="G17" s="1340"/>
      <c r="H17" s="1340"/>
      <c r="I17" s="1340">
        <f>' SEFA'!I27+I15</f>
        <v>10756334</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2174</v>
      </c>
      <c r="C19" s="1338"/>
      <c r="D19" s="1339"/>
      <c r="E19" s="1340"/>
      <c r="F19" s="1340">
        <f>' SEFA (2)'!F21+F17</f>
        <v>10952983</v>
      </c>
      <c r="G19" s="1340"/>
      <c r="H19" s="1340"/>
      <c r="I19" s="1340">
        <f>' SEFA (2)'!I21+I17</f>
        <v>10946304</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Danville CCSD 118</v>
      </c>
      <c r="B1" s="2437"/>
      <c r="C1" s="2437"/>
      <c r="D1" s="2437"/>
      <c r="E1" s="2437"/>
      <c r="F1" s="2437"/>
    </row>
    <row r="2" spans="1:7" ht="13.5" customHeight="1" x14ac:dyDescent="0.2">
      <c r="A2" s="2433">
        <f>'Single Audit Cover'!E7</f>
        <v>54092118024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2186</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2075</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57.6" customHeight="1" x14ac:dyDescent="0.2">
      <c r="A13" s="2436" t="s">
        <v>2187</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2088</v>
      </c>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2188</v>
      </c>
      <c r="B32" s="2444"/>
      <c r="C32" s="2444"/>
      <c r="D32" s="2444"/>
      <c r="E32" s="2444"/>
      <c r="F32" s="2444"/>
    </row>
    <row r="33" spans="1:6" ht="13.5" customHeight="1" x14ac:dyDescent="0.2">
      <c r="A33" s="328" t="s">
        <v>1434</v>
      </c>
      <c r="B33" s="328"/>
      <c r="C33" s="1285">
        <v>52949</v>
      </c>
      <c r="D33" s="1903"/>
      <c r="E33" s="1283"/>
    </row>
    <row r="34" spans="1:6" ht="13.5" customHeight="1" x14ac:dyDescent="0.2">
      <c r="A34" s="328" t="s">
        <v>1835</v>
      </c>
      <c r="B34" s="328"/>
      <c r="C34" s="1286">
        <v>211526</v>
      </c>
      <c r="D34" s="1903" t="s">
        <v>1589</v>
      </c>
      <c r="E34" s="2445">
        <f>+C33+C34</f>
        <v>264475</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63"/>
  <sheetViews>
    <sheetView showGridLines="0" topLeftCell="A28" zoomScale="110" zoomScaleNormal="110" workbookViewId="0">
      <selection activeCell="I50" sqref="I5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Danville CCSD 118</v>
      </c>
      <c r="C1" s="2453"/>
      <c r="D1" s="2453"/>
      <c r="E1" s="2453"/>
      <c r="F1" s="2453"/>
      <c r="G1" s="2453"/>
      <c r="H1" s="2453"/>
      <c r="I1" s="2453"/>
      <c r="J1" s="1406"/>
    </row>
    <row r="2" spans="2:10" s="317" customFormat="1" ht="12.75" customHeight="1" x14ac:dyDescent="0.2">
      <c r="B2" s="2454">
        <f>'Single Audit Cover'!E7</f>
        <v>54092118024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2107</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2075</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2075</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2075</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2075</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2075</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t="s">
        <v>2108</v>
      </c>
      <c r="C38" s="2448" t="s">
        <v>2109</v>
      </c>
      <c r="D38" s="2449"/>
      <c r="E38" s="2449"/>
      <c r="F38" s="2450"/>
      <c r="G38" s="2463">
        <f>' SEFA (3)'!I23+' SEFA (4)'!I13</f>
        <v>1765652</v>
      </c>
      <c r="H38" s="2464"/>
      <c r="I38" s="2465"/>
    </row>
    <row r="39" spans="2:9" ht="16.5" customHeight="1" x14ac:dyDescent="0.2">
      <c r="B39" s="1428" t="s">
        <v>2110</v>
      </c>
      <c r="C39" s="2448" t="s">
        <v>2111</v>
      </c>
      <c r="D39" s="2449"/>
      <c r="E39" s="2449"/>
      <c r="F39" s="2450"/>
      <c r="G39" s="2451">
        <f>' SEFA'!I25</f>
        <v>3580871</v>
      </c>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5346523</v>
      </c>
      <c r="H43" s="2469"/>
      <c r="I43" s="2469"/>
    </row>
    <row r="44" spans="2:9" ht="12.75" customHeight="1" x14ac:dyDescent="0.2"/>
    <row r="45" spans="2:9" ht="12.75" customHeight="1" x14ac:dyDescent="0.2">
      <c r="B45" s="1419" t="s">
        <v>2194</v>
      </c>
      <c r="D45" s="2470">
        <f>' SEFA (5)'!I19</f>
        <v>10946304</v>
      </c>
      <c r="E45" s="2471"/>
    </row>
    <row r="46" spans="2:9" ht="5.25" customHeight="1" x14ac:dyDescent="0.2">
      <c r="B46" s="1429"/>
      <c r="D46" s="1430"/>
      <c r="E46" s="1431"/>
    </row>
    <row r="47" spans="2:9" ht="12.75" customHeight="1" x14ac:dyDescent="0.2">
      <c r="B47" s="1297" t="s">
        <v>1594</v>
      </c>
      <c r="C47" s="1297"/>
      <c r="D47" s="1432">
        <f>+G43/D45</f>
        <v>0.48843180309993217</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2075</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M41"/>
  <sheetViews>
    <sheetView showGridLines="0" topLeftCell="A22"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Danville CCSD 118</v>
      </c>
      <c r="C1" s="2452"/>
      <c r="D1" s="2452"/>
      <c r="E1" s="2452"/>
      <c r="F1" s="2452"/>
      <c r="G1" s="2452"/>
      <c r="H1" s="2452"/>
      <c r="I1" s="2452"/>
      <c r="J1" s="2452"/>
      <c r="K1" s="2452"/>
      <c r="L1" s="1371"/>
      <c r="M1" s="1371"/>
    </row>
    <row r="2" spans="1:13" ht="12" customHeight="1" x14ac:dyDescent="0.2">
      <c r="B2" s="2454">
        <f>'Single Audit Cover'!E7</f>
        <v>54092118024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c r="H10" s="1386" t="s">
        <v>1294</v>
      </c>
      <c r="I10" s="1385" t="s">
        <v>2075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2112</v>
      </c>
      <c r="C14" s="2474"/>
      <c r="D14" s="2474"/>
      <c r="E14" s="2474"/>
      <c r="F14" s="2474"/>
      <c r="G14" s="2474"/>
      <c r="H14" s="2474"/>
      <c r="I14" s="2474"/>
      <c r="J14" s="2474"/>
      <c r="K14" s="2474"/>
      <c r="L14" s="1394"/>
    </row>
    <row r="15" spans="1:13"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106.15" customHeight="1" x14ac:dyDescent="0.2">
      <c r="B17" s="2474" t="s">
        <v>2113</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81" customHeight="1" x14ac:dyDescent="0.2">
      <c r="B20" s="2478" t="s">
        <v>2114</v>
      </c>
      <c r="C20" s="2478"/>
      <c r="D20" s="2474"/>
      <c r="E20" s="2474"/>
      <c r="F20" s="2474"/>
      <c r="G20" s="2474"/>
      <c r="H20" s="2474"/>
      <c r="I20" s="2474"/>
      <c r="J20" s="2474"/>
      <c r="K20" s="2474"/>
      <c r="L20" s="1378"/>
    </row>
    <row r="21" spans="2:12"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36" customHeight="1" x14ac:dyDescent="0.2">
      <c r="B23" s="2474" t="s">
        <v>2115</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57" customHeight="1" x14ac:dyDescent="0.2">
      <c r="B26" s="2474" t="s">
        <v>2116</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8.15" customHeight="1" x14ac:dyDescent="0.2">
      <c r="B29" s="2473" t="s">
        <v>2117</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110.45" customHeight="1" x14ac:dyDescent="0.2">
      <c r="B32" s="2473" t="s">
        <v>2118</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hidden="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Danville CCSD 118</v>
      </c>
      <c r="C1" s="2452"/>
      <c r="D1" s="2452"/>
      <c r="E1" s="2452"/>
      <c r="F1" s="2452"/>
      <c r="G1" s="2452"/>
      <c r="H1" s="2452"/>
      <c r="I1" s="2452"/>
      <c r="J1" s="2452"/>
      <c r="K1" s="2452"/>
      <c r="L1" s="1371"/>
      <c r="M1" s="1371"/>
    </row>
    <row r="2" spans="1:13" ht="12" customHeight="1" x14ac:dyDescent="0.2">
      <c r="B2" s="2454">
        <f>'Single Audit Cover'!E7</f>
        <v>54092118024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8"/>
      <c r="M3" s="1938"/>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2</v>
      </c>
      <c r="E10" s="322"/>
      <c r="F10" s="1384" t="s">
        <v>1295</v>
      </c>
      <c r="G10" s="1385" t="s">
        <v>2075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2178</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2179</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28.5" customHeight="1" x14ac:dyDescent="0.2">
      <c r="B20" s="2478" t="s">
        <v>2180</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7.75" customHeight="1" x14ac:dyDescent="0.2">
      <c r="B23" s="2474" t="s">
        <v>2190</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4.75" customHeight="1" x14ac:dyDescent="0.2">
      <c r="B26" s="2474" t="s">
        <v>2181</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2191</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97.5" customHeight="1" x14ac:dyDescent="0.2">
      <c r="B32" s="2473" t="s">
        <v>2195</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ht="0.75" customHeigh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Danville CCSD 118</v>
      </c>
      <c r="C1" s="2479"/>
      <c r="D1" s="2479"/>
      <c r="E1" s="2479"/>
      <c r="F1" s="2479"/>
      <c r="G1" s="2479"/>
      <c r="H1" s="2479"/>
      <c r="I1" s="2479"/>
      <c r="J1" s="2479"/>
      <c r="K1" s="2479"/>
      <c r="L1" s="1449"/>
    </row>
    <row r="2" spans="1:12" ht="12.75" customHeight="1" x14ac:dyDescent="0.2">
      <c r="B2" s="2480">
        <f>'Single Audit Cover'!E7</f>
        <v>54092118024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Danville CCSD 118</v>
      </c>
      <c r="C1" s="2452"/>
      <c r="D1" s="2452"/>
      <c r="E1" s="1469"/>
    </row>
    <row r="2" spans="2:5" s="1279" customFormat="1" ht="12.75" customHeight="1" x14ac:dyDescent="0.2">
      <c r="B2" s="2454">
        <f>'Single Audit Cover'!E7</f>
        <v>54092118024</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2089</v>
      </c>
      <c r="C8" s="324" t="s">
        <v>2091</v>
      </c>
      <c r="D8" s="324" t="s">
        <v>2090</v>
      </c>
      <c r="E8" s="324"/>
    </row>
    <row r="9" spans="2:5" ht="13.5" customHeight="1" x14ac:dyDescent="0.2">
      <c r="B9" s="1475"/>
      <c r="C9" s="323" t="s">
        <v>2092</v>
      </c>
      <c r="D9" s="323"/>
      <c r="E9" s="323"/>
    </row>
    <row r="10" spans="2:5" ht="13.5" customHeight="1" x14ac:dyDescent="0.2">
      <c r="B10" s="1474"/>
      <c r="C10" s="323" t="s">
        <v>2093</v>
      </c>
      <c r="D10" s="323"/>
      <c r="E10" s="323"/>
    </row>
    <row r="11" spans="2:5" ht="13.5" customHeight="1" x14ac:dyDescent="0.2">
      <c r="B11" s="1474"/>
      <c r="C11" s="323" t="s">
        <v>2094</v>
      </c>
      <c r="D11" s="323"/>
      <c r="E11" s="323"/>
    </row>
    <row r="12" spans="2:5" ht="13.5" customHeight="1" x14ac:dyDescent="0.2">
      <c r="B12" s="1474"/>
      <c r="C12" s="323" t="s">
        <v>2095</v>
      </c>
      <c r="D12" s="323"/>
      <c r="E12" s="323"/>
    </row>
    <row r="13" spans="2:5" ht="13.5" customHeight="1" x14ac:dyDescent="0.2">
      <c r="B13" s="1474"/>
      <c r="C13" s="323"/>
      <c r="D13" s="323"/>
      <c r="E13" s="323"/>
    </row>
    <row r="14" spans="2:5" ht="13.5" customHeight="1" x14ac:dyDescent="0.2">
      <c r="B14" s="1474" t="s">
        <v>2096</v>
      </c>
      <c r="C14" s="323" t="s">
        <v>2097</v>
      </c>
      <c r="D14" s="323" t="s">
        <v>2193</v>
      </c>
      <c r="E14" s="323"/>
    </row>
    <row r="15" spans="2:5" ht="13.5" customHeight="1" x14ac:dyDescent="0.2">
      <c r="B15" s="1474"/>
      <c r="C15" s="323" t="s">
        <v>2192</v>
      </c>
      <c r="D15" s="323"/>
      <c r="E15" s="323"/>
    </row>
    <row r="16" spans="2:5" ht="13.5" customHeight="1" x14ac:dyDescent="0.2">
      <c r="B16" s="1474"/>
      <c r="C16" s="323" t="s">
        <v>2098</v>
      </c>
      <c r="D16" s="323"/>
      <c r="E16" s="323"/>
    </row>
    <row r="17" spans="2:5" ht="13.5" customHeight="1" x14ac:dyDescent="0.2">
      <c r="B17" s="1474"/>
      <c r="C17" s="323" t="s">
        <v>2099</v>
      </c>
      <c r="D17" s="323"/>
      <c r="E17" s="323"/>
    </row>
    <row r="18" spans="2:5" ht="13.5" customHeight="1" x14ac:dyDescent="0.2">
      <c r="B18" s="1474"/>
      <c r="C18" s="323" t="s">
        <v>2100</v>
      </c>
      <c r="D18" s="323"/>
      <c r="E18" s="323"/>
    </row>
    <row r="19" spans="2:5" ht="13.5" customHeight="1" x14ac:dyDescent="0.2">
      <c r="B19" s="1474"/>
      <c r="C19" s="323" t="s">
        <v>2101</v>
      </c>
      <c r="D19" s="323"/>
      <c r="E19" s="323"/>
    </row>
    <row r="20" spans="2:5" ht="13.5" customHeight="1" x14ac:dyDescent="0.2">
      <c r="B20" s="1474"/>
      <c r="C20" s="323" t="s">
        <v>2102</v>
      </c>
      <c r="D20" s="323"/>
      <c r="E20" s="323"/>
    </row>
    <row r="21" spans="2:5" ht="13.5" customHeight="1" x14ac:dyDescent="0.2">
      <c r="B21" s="1474"/>
      <c r="C21" s="323" t="s">
        <v>2103</v>
      </c>
      <c r="D21" s="323"/>
      <c r="E21" s="323"/>
    </row>
    <row r="22" spans="2:5" ht="13.5" customHeight="1" x14ac:dyDescent="0.2">
      <c r="B22" s="1474"/>
      <c r="C22" s="323" t="s">
        <v>2104</v>
      </c>
      <c r="D22" s="323"/>
      <c r="E22" s="323"/>
    </row>
    <row r="23" spans="2:5" ht="13.5" customHeight="1" x14ac:dyDescent="0.2">
      <c r="B23" s="1474"/>
      <c r="C23" s="323" t="s">
        <v>2105</v>
      </c>
      <c r="D23" s="323"/>
      <c r="E23" s="323"/>
    </row>
    <row r="24" spans="2:5" ht="13.5" customHeight="1" x14ac:dyDescent="0.2">
      <c r="B24" s="1474"/>
      <c r="C24" s="323" t="s">
        <v>2106</v>
      </c>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358666114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2.7673260000000002E-2</v>
      </c>
      <c r="E10" s="356" t="s">
        <v>1005</v>
      </c>
      <c r="F10" s="355">
        <v>5.0870000000000004E-3</v>
      </c>
      <c r="G10" s="356" t="s">
        <v>1005</v>
      </c>
      <c r="H10" s="355">
        <v>2.0347999999999998E-3</v>
      </c>
      <c r="I10" s="356" t="s">
        <v>1006</v>
      </c>
      <c r="J10" s="1732">
        <f>ROUND(D10+F10+H10,5)</f>
        <v>3.4799999999999998E-2</v>
      </c>
      <c r="K10" s="222"/>
      <c r="L10" s="355">
        <v>5.0869999999999995E-4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69912499</v>
      </c>
      <c r="E16" s="356"/>
      <c r="F16" s="1733">
        <f>SUM('Acct Summary 7-8'!C17,'Acct Summary 7-8'!D17,'Acct Summary 7-8'!F17)</f>
        <v>70363750</v>
      </c>
      <c r="G16" s="356"/>
      <c r="H16" s="1733">
        <f>SUM(D16-F16)</f>
        <v>-451251</v>
      </c>
      <c r="I16" s="222"/>
      <c r="J16" s="1733">
        <f>SUM('Acct Summary 7-8'!C81,'Acct Summary 7-8'!D81,'Acct Summary 7-8'!F81,'Acct Summary 7-8'!I81)</f>
        <v>29701352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49495923.732000001</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31146681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Danville CCSD 118</v>
      </c>
      <c r="E7" s="391"/>
      <c r="G7" s="252"/>
      <c r="H7" s="387"/>
      <c r="I7" s="387"/>
      <c r="J7" s="387"/>
      <c r="K7" s="387"/>
      <c r="L7" s="329"/>
      <c r="M7" s="329"/>
      <c r="N7" s="329"/>
      <c r="O7" s="329"/>
      <c r="P7" s="329"/>
    </row>
    <row r="8" spans="1:18" ht="12.75" x14ac:dyDescent="0.2">
      <c r="A8" s="329"/>
      <c r="B8" s="329"/>
      <c r="C8" s="389" t="s">
        <v>1125</v>
      </c>
      <c r="D8" s="392">
        <f>COVER!A13</f>
        <v>54092118024</v>
      </c>
      <c r="E8" s="393"/>
      <c r="G8" s="329"/>
      <c r="H8" s="329"/>
      <c r="I8" s="329"/>
      <c r="J8" s="329"/>
      <c r="K8" s="329"/>
      <c r="L8" s="329"/>
      <c r="M8" s="329"/>
      <c r="N8" s="329"/>
      <c r="O8" s="329"/>
      <c r="P8" s="329"/>
    </row>
    <row r="9" spans="1:18" ht="12.75" x14ac:dyDescent="0.2">
      <c r="A9" s="329"/>
      <c r="B9" s="329"/>
      <c r="C9" s="389" t="s">
        <v>713</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29701352</v>
      </c>
      <c r="I12" s="404"/>
      <c r="J12" s="404"/>
      <c r="K12" s="405">
        <f>TRUNC((H12/H13*100000),5)/100000</f>
        <v>0.43108310839999997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68899364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-1013135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70363750</v>
      </c>
      <c r="I17" s="404"/>
      <c r="J17" s="416"/>
      <c r="K17" s="405">
        <f>TRUNC((H17/H18*100000),5)/100000</f>
        <v>1.0212539841999999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68899364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-1013135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15.5774609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30614012</v>
      </c>
      <c r="I24" s="422"/>
      <c r="J24" s="422"/>
      <c r="K24" s="423">
        <f>TRUNC(((H24/H25*100000)/100000),2)</f>
        <v>156.62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195454.86111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10609343.65212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31146681</v>
      </c>
      <c r="I32" s="420"/>
      <c r="J32" s="420"/>
      <c r="K32" s="423">
        <f>TRUNC(100-((((H32/H33*100))*100)/100),2)</f>
        <v>37.07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49495923.732000001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2420119</v>
      </c>
      <c r="D4" s="466">
        <v>8363</v>
      </c>
      <c r="E4" s="466">
        <v>350519</v>
      </c>
      <c r="F4" s="466">
        <v>676276</v>
      </c>
      <c r="G4" s="466">
        <v>154413</v>
      </c>
      <c r="H4" s="466">
        <v>760</v>
      </c>
      <c r="I4" s="466">
        <v>227659</v>
      </c>
      <c r="J4" s="467">
        <v>4073</v>
      </c>
      <c r="K4" s="466">
        <v>16475</v>
      </c>
      <c r="L4" s="466">
        <f>409047+286286</f>
        <v>695333</v>
      </c>
      <c r="M4" s="468"/>
      <c r="N4" s="469"/>
    </row>
    <row r="5" spans="1:14" x14ac:dyDescent="0.2">
      <c r="A5" s="463" t="s">
        <v>992</v>
      </c>
      <c r="B5" s="470">
        <v>120</v>
      </c>
      <c r="C5" s="465">
        <v>18558697</v>
      </c>
      <c r="D5" s="466">
        <v>3599499</v>
      </c>
      <c r="E5" s="466">
        <v>1</v>
      </c>
      <c r="F5" s="466">
        <v>2244032</v>
      </c>
      <c r="G5" s="466">
        <v>1645324</v>
      </c>
      <c r="H5" s="466"/>
      <c r="I5" s="466">
        <v>2879367</v>
      </c>
      <c r="J5" s="467">
        <v>1366741</v>
      </c>
      <c r="K5" s="471">
        <v>44878</v>
      </c>
      <c r="L5" s="472"/>
      <c r="M5" s="468"/>
      <c r="N5" s="469"/>
    </row>
    <row r="6" spans="1:14" ht="13.5" customHeight="1" x14ac:dyDescent="0.2">
      <c r="A6" s="473" t="s">
        <v>417</v>
      </c>
      <c r="B6" s="470">
        <v>130</v>
      </c>
      <c r="C6" s="465">
        <v>9485324</v>
      </c>
      <c r="D6" s="466">
        <v>1687780</v>
      </c>
      <c r="E6" s="466">
        <v>2236207</v>
      </c>
      <c r="F6" s="466">
        <v>675112</v>
      </c>
      <c r="G6" s="471">
        <v>2433002</v>
      </c>
      <c r="H6" s="471"/>
      <c r="I6" s="466">
        <v>168778</v>
      </c>
      <c r="J6" s="474">
        <v>1608218</v>
      </c>
      <c r="K6" s="471">
        <v>168778</v>
      </c>
      <c r="L6" s="475"/>
      <c r="M6" s="468"/>
      <c r="N6" s="469"/>
    </row>
    <row r="7" spans="1:14" ht="13.5" customHeight="1" x14ac:dyDescent="0.2">
      <c r="A7" s="473" t="s">
        <v>418</v>
      </c>
      <c r="B7" s="470">
        <v>140</v>
      </c>
      <c r="C7" s="476"/>
      <c r="D7" s="467"/>
      <c r="E7" s="467"/>
      <c r="F7" s="467"/>
      <c r="G7" s="467"/>
      <c r="H7" s="467"/>
      <c r="I7" s="467"/>
      <c r="J7" s="467">
        <v>38412</v>
      </c>
      <c r="K7" s="467"/>
      <c r="L7" s="477"/>
      <c r="M7" s="468"/>
      <c r="N7" s="469"/>
    </row>
    <row r="8" spans="1:14" ht="13.5" customHeight="1" x14ac:dyDescent="0.2">
      <c r="A8" s="473" t="s">
        <v>269</v>
      </c>
      <c r="B8" s="470">
        <v>150</v>
      </c>
      <c r="C8" s="476">
        <f>3834070+22752</f>
        <v>3856822</v>
      </c>
      <c r="D8" s="467"/>
      <c r="E8" s="467"/>
      <c r="F8" s="467">
        <v>437392</v>
      </c>
      <c r="G8" s="478"/>
      <c r="H8" s="467"/>
      <c r="I8" s="474"/>
      <c r="J8" s="474"/>
      <c r="K8" s="479"/>
      <c r="L8" s="480"/>
      <c r="M8" s="468"/>
      <c r="N8" s="469"/>
    </row>
    <row r="9" spans="1:14" ht="13.5" customHeight="1" x14ac:dyDescent="0.2">
      <c r="A9" s="473" t="s">
        <v>270</v>
      </c>
      <c r="B9" s="470">
        <v>160</v>
      </c>
      <c r="C9" s="476">
        <v>996</v>
      </c>
      <c r="D9" s="467"/>
      <c r="E9" s="467"/>
      <c r="F9" s="467"/>
      <c r="G9" s="467"/>
      <c r="H9" s="478"/>
      <c r="I9" s="467"/>
      <c r="J9" s="467"/>
      <c r="K9" s="467"/>
      <c r="L9" s="467"/>
      <c r="M9" s="468"/>
      <c r="N9" s="469"/>
    </row>
    <row r="10" spans="1:14" ht="13.5" customHeight="1" x14ac:dyDescent="0.2">
      <c r="A10" s="473" t="s">
        <v>991</v>
      </c>
      <c r="B10" s="470">
        <v>170</v>
      </c>
      <c r="C10" s="465">
        <v>217275</v>
      </c>
      <c r="D10" s="466"/>
      <c r="E10" s="467"/>
      <c r="F10" s="466"/>
      <c r="G10" s="478"/>
      <c r="H10" s="481"/>
      <c r="I10" s="467"/>
      <c r="J10" s="467"/>
      <c r="K10" s="481"/>
      <c r="L10" s="481"/>
      <c r="M10" s="469"/>
      <c r="N10" s="469"/>
    </row>
    <row r="11" spans="1:14" ht="13.5" customHeight="1" x14ac:dyDescent="0.2">
      <c r="A11" s="473" t="s">
        <v>271</v>
      </c>
      <c r="B11" s="470">
        <v>180</v>
      </c>
      <c r="C11" s="476">
        <v>66430</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34605663</v>
      </c>
      <c r="D13" s="1737">
        <f t="shared" ref="D13:L13" si="0">SUM(D4:D12)</f>
        <v>5295642</v>
      </c>
      <c r="E13" s="1737">
        <f t="shared" si="0"/>
        <v>2586727</v>
      </c>
      <c r="F13" s="1737">
        <f t="shared" si="0"/>
        <v>4032812</v>
      </c>
      <c r="G13" s="1737">
        <f t="shared" si="0"/>
        <v>4232739</v>
      </c>
      <c r="H13" s="1737">
        <f t="shared" si="0"/>
        <v>760</v>
      </c>
      <c r="I13" s="1737">
        <f t="shared" si="0"/>
        <v>3275804</v>
      </c>
      <c r="J13" s="1737">
        <f t="shared" si="0"/>
        <v>3017444</v>
      </c>
      <c r="K13" s="1737">
        <f t="shared" si="0"/>
        <v>230131</v>
      </c>
      <c r="L13" s="1737">
        <f t="shared" si="0"/>
        <v>695333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2423798</v>
      </c>
      <c r="N16" s="484"/>
    </row>
    <row r="17" spans="1:14" s="485" customFormat="1" ht="12.75" customHeight="1" x14ac:dyDescent="0.2">
      <c r="A17" s="482" t="s">
        <v>1403</v>
      </c>
      <c r="B17" s="483">
        <v>230</v>
      </c>
      <c r="C17" s="477"/>
      <c r="D17" s="477"/>
      <c r="E17" s="477"/>
      <c r="F17" s="477"/>
      <c r="G17" s="477"/>
      <c r="H17" s="477"/>
      <c r="I17" s="477"/>
      <c r="J17" s="477"/>
      <c r="K17" s="477"/>
      <c r="L17" s="477"/>
      <c r="M17" s="467">
        <f>41530754+6326984</f>
        <v>47857738</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672185+203708</f>
        <v>875893</v>
      </c>
      <c r="N19" s="484"/>
    </row>
    <row r="20" spans="1:14" s="485" customFormat="1" ht="12.75" customHeight="1" x14ac:dyDescent="0.2">
      <c r="A20" s="482" t="s">
        <v>1406</v>
      </c>
      <c r="B20" s="483">
        <v>260</v>
      </c>
      <c r="C20" s="477"/>
      <c r="D20" s="477"/>
      <c r="E20" s="477"/>
      <c r="F20" s="477"/>
      <c r="G20" s="477"/>
      <c r="H20" s="477"/>
      <c r="I20" s="477"/>
      <c r="J20" s="477"/>
      <c r="K20" s="477"/>
      <c r="L20" s="477"/>
      <c r="M20" s="467">
        <v>2090975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f>
        <v>350520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30796161</v>
      </c>
    </row>
    <row r="23" spans="1:14" ht="13.5" customHeight="1" thickBot="1" x14ac:dyDescent="0.25">
      <c r="A23" s="1736" t="s">
        <v>643</v>
      </c>
      <c r="B23" s="1741"/>
      <c r="C23" s="468"/>
      <c r="D23" s="468"/>
      <c r="E23" s="468"/>
      <c r="F23" s="468"/>
      <c r="G23" s="468"/>
      <c r="H23" s="468"/>
      <c r="I23" s="468"/>
      <c r="J23" s="468"/>
      <c r="K23" s="468"/>
      <c r="L23" s="468"/>
      <c r="M23" s="1688">
        <f>SUM(M15:M22)</f>
        <v>53248404</v>
      </c>
      <c r="N23" s="1688">
        <f>SUM(N21:N22)</f>
        <v>31146681</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v>38412</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1159613</v>
      </c>
      <c r="D27" s="467">
        <f>431569-2237-2775</f>
        <v>426557</v>
      </c>
      <c r="E27" s="467"/>
      <c r="F27" s="467">
        <f>72+383994-434-317</f>
        <v>383315</v>
      </c>
      <c r="G27" s="467">
        <v>121</v>
      </c>
      <c r="H27" s="467"/>
      <c r="I27" s="467"/>
      <c r="J27" s="467">
        <v>219365</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3246920</v>
      </c>
      <c r="D30" s="474"/>
      <c r="E30" s="467"/>
      <c r="F30" s="467"/>
      <c r="G30" s="467">
        <v>97924</v>
      </c>
      <c r="H30" s="467"/>
      <c r="I30" s="467"/>
      <c r="J30" s="467">
        <v>11270</v>
      </c>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9722082</v>
      </c>
      <c r="D32" s="492">
        <v>1687780</v>
      </c>
      <c r="E32" s="474">
        <v>2236207</v>
      </c>
      <c r="F32" s="474">
        <v>675112</v>
      </c>
      <c r="G32" s="474">
        <v>2433002</v>
      </c>
      <c r="H32" s="474"/>
      <c r="I32" s="474">
        <v>168778</v>
      </c>
      <c r="J32" s="474">
        <v>1608218</v>
      </c>
      <c r="K32" s="479">
        <v>168778</v>
      </c>
      <c r="L32" s="468"/>
      <c r="M32" s="468"/>
      <c r="N32" s="468"/>
    </row>
    <row r="33" spans="1:14" ht="13.5" customHeight="1" x14ac:dyDescent="0.2">
      <c r="A33" s="493" t="s">
        <v>303</v>
      </c>
      <c r="B33" s="491">
        <v>493</v>
      </c>
      <c r="C33" s="467"/>
      <c r="D33" s="467"/>
      <c r="E33" s="467"/>
      <c r="F33" s="467"/>
      <c r="G33" s="467"/>
      <c r="H33" s="467"/>
      <c r="I33" s="467"/>
      <c r="J33" s="467"/>
      <c r="K33" s="467"/>
      <c r="L33" s="467">
        <f>L4</f>
        <v>695333</v>
      </c>
      <c r="M33" s="468"/>
      <c r="N33" s="469"/>
    </row>
    <row r="34" spans="1:14" ht="13.5" customHeight="1" thickBot="1" x14ac:dyDescent="0.25">
      <c r="A34" s="1738" t="s">
        <v>654</v>
      </c>
      <c r="B34" s="1739"/>
      <c r="C34" s="1740">
        <f>SUM(C25:C33)</f>
        <v>14167027</v>
      </c>
      <c r="D34" s="1740">
        <f t="shared" ref="D34:K34" si="1">SUM(D25:D33)</f>
        <v>2114337</v>
      </c>
      <c r="E34" s="1740">
        <f t="shared" si="1"/>
        <v>2236207</v>
      </c>
      <c r="F34" s="1740">
        <f t="shared" si="1"/>
        <v>1058427</v>
      </c>
      <c r="G34" s="1740">
        <f t="shared" si="1"/>
        <v>2531047</v>
      </c>
      <c r="H34" s="1740">
        <f t="shared" si="1"/>
        <v>0</v>
      </c>
      <c r="I34" s="1740">
        <f t="shared" si="1"/>
        <v>168778</v>
      </c>
      <c r="J34" s="1740">
        <f t="shared" si="1"/>
        <v>1838853</v>
      </c>
      <c r="K34" s="1740">
        <f t="shared" si="1"/>
        <v>168778</v>
      </c>
      <c r="L34" s="1721">
        <f>SUM(L33)</f>
        <v>695333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31146681</v>
      </c>
    </row>
    <row r="37" spans="1:14" ht="13.5" thickBot="1" x14ac:dyDescent="0.25">
      <c r="A37" s="1736" t="s">
        <v>653</v>
      </c>
      <c r="B37" s="1741"/>
      <c r="C37" s="477"/>
      <c r="D37" s="477"/>
      <c r="E37" s="477"/>
      <c r="F37" s="477"/>
      <c r="G37" s="477"/>
      <c r="H37" s="477"/>
      <c r="I37" s="477"/>
      <c r="J37" s="477"/>
      <c r="K37" s="477"/>
      <c r="L37" s="480"/>
      <c r="M37" s="468"/>
      <c r="N37" s="1688">
        <f>SUM(N36:N36)</f>
        <v>31146681</v>
      </c>
    </row>
    <row r="38" spans="1:14" s="329" customFormat="1" ht="13.5" customHeight="1" thickTop="1" x14ac:dyDescent="0.2">
      <c r="A38" s="496" t="s">
        <v>420</v>
      </c>
      <c r="B38" s="483">
        <v>714</v>
      </c>
      <c r="C38" s="466">
        <v>1975000</v>
      </c>
      <c r="D38" s="466"/>
      <c r="E38" s="466">
        <v>350520</v>
      </c>
      <c r="F38" s="466">
        <v>2974385</v>
      </c>
      <c r="G38" s="466">
        <v>1701692</v>
      </c>
      <c r="H38" s="466">
        <v>760</v>
      </c>
      <c r="I38" s="466"/>
      <c r="J38" s="467">
        <v>1178591</v>
      </c>
      <c r="K38" s="466">
        <v>61353</v>
      </c>
      <c r="L38" s="481"/>
      <c r="M38" s="497"/>
      <c r="N38" s="497"/>
    </row>
    <row r="39" spans="1:14" s="329" customFormat="1" ht="13.5" customHeight="1" x14ac:dyDescent="0.2">
      <c r="A39" s="496" t="s">
        <v>342</v>
      </c>
      <c r="B39" s="483">
        <v>730</v>
      </c>
      <c r="C39" s="466">
        <f>20415884+22752-C38</f>
        <v>18463636</v>
      </c>
      <c r="D39" s="466">
        <v>3181305</v>
      </c>
      <c r="E39" s="466"/>
      <c r="F39" s="466"/>
      <c r="G39" s="466"/>
      <c r="H39" s="466"/>
      <c r="I39" s="466">
        <v>3107026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53248404</v>
      </c>
      <c r="N40" s="497"/>
    </row>
    <row r="41" spans="1:14" ht="13.5" customHeight="1" thickBot="1" x14ac:dyDescent="0.25">
      <c r="A41" s="1736" t="s">
        <v>655</v>
      </c>
      <c r="B41" s="1706"/>
      <c r="C41" s="1688">
        <f>(SUM(C34,C37,C38,C39))</f>
        <v>34605663</v>
      </c>
      <c r="D41" s="1688">
        <f t="shared" ref="D41:L41" si="2">SUM(D34,D37,D38:D39)</f>
        <v>5295642</v>
      </c>
      <c r="E41" s="1688">
        <f t="shared" si="2"/>
        <v>2586727</v>
      </c>
      <c r="F41" s="1688">
        <f t="shared" si="2"/>
        <v>4032812</v>
      </c>
      <c r="G41" s="1688">
        <f t="shared" si="2"/>
        <v>4232739</v>
      </c>
      <c r="H41" s="1688">
        <f t="shared" si="2"/>
        <v>760</v>
      </c>
      <c r="I41" s="1688">
        <f t="shared" si="2"/>
        <v>3275804</v>
      </c>
      <c r="J41" s="1688">
        <f t="shared" si="2"/>
        <v>3017444</v>
      </c>
      <c r="K41" s="1688">
        <f t="shared" si="2"/>
        <v>230131</v>
      </c>
      <c r="L41" s="1688">
        <f t="shared" si="2"/>
        <v>695333</v>
      </c>
      <c r="M41" s="1688">
        <f>SUM(M40)</f>
        <v>53248404</v>
      </c>
      <c r="N41" s="1688">
        <f>SUM(N37)</f>
        <v>31146681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4"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12035752</v>
      </c>
      <c r="D4" s="1742">
        <f>'Revenues 9-14'!D109</f>
        <v>3359249</v>
      </c>
      <c r="E4" s="1742">
        <f>'Revenues 9-14'!E109</f>
        <v>2269207</v>
      </c>
      <c r="F4" s="1742">
        <f>'Revenues 9-14'!F109</f>
        <v>710798</v>
      </c>
      <c r="G4" s="1742">
        <f>'Revenues 9-14'!G109</f>
        <v>2636520</v>
      </c>
      <c r="H4" s="1742">
        <f>'Revenues 9-14'!H109</f>
        <v>42308</v>
      </c>
      <c r="I4" s="1742">
        <f>'Revenues 9-14'!I109</f>
        <v>227446</v>
      </c>
      <c r="J4" s="1742">
        <f>'Revenues 9-14'!J109</f>
        <v>1657885</v>
      </c>
      <c r="K4" s="1742">
        <f>'Revenues 9-14'!K109</f>
        <v>166980</v>
      </c>
      <c r="L4" s="347"/>
    </row>
    <row r="5" spans="1:13" ht="15.75" customHeight="1" x14ac:dyDescent="0.2">
      <c r="A5" s="1576" t="s">
        <v>1500</v>
      </c>
      <c r="B5" s="1577">
        <v>2000</v>
      </c>
      <c r="C5" s="1743">
        <f>'Revenues 9-14'!C114</f>
        <v>40000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38593450</v>
      </c>
      <c r="D6" s="1743">
        <f>'Revenues 9-14'!D170</f>
        <v>0</v>
      </c>
      <c r="E6" s="1743">
        <f>'Revenues 9-14'!E170</f>
        <v>0</v>
      </c>
      <c r="F6" s="1743">
        <f>'Revenues 9-14'!F170</f>
        <v>3750711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10699187</v>
      </c>
      <c r="D7" s="1743">
        <f>'Revenues 9-14'!D267</f>
        <v>0</v>
      </c>
      <c r="E7" s="1743">
        <f>'Revenues 9-14'!E267</f>
        <v>521260</v>
      </c>
      <c r="F7" s="1743">
        <f>'Revenues 9-14'!F267</f>
        <v>495906</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61368389</v>
      </c>
      <c r="D8" s="1688">
        <f t="shared" ref="D8:K8" si="0">SUM(D4:D7)</f>
        <v>3359249</v>
      </c>
      <c r="E8" s="1688">
        <f t="shared" si="0"/>
        <v>2790467</v>
      </c>
      <c r="F8" s="1688">
        <f t="shared" si="0"/>
        <v>4957415</v>
      </c>
      <c r="G8" s="1688">
        <f t="shared" si="0"/>
        <v>2636520</v>
      </c>
      <c r="H8" s="1688">
        <f t="shared" si="0"/>
        <v>42308</v>
      </c>
      <c r="I8" s="1688">
        <f t="shared" si="0"/>
        <v>227446</v>
      </c>
      <c r="J8" s="1688">
        <f t="shared" si="0"/>
        <v>1657885</v>
      </c>
      <c r="K8" s="1688">
        <f t="shared" si="0"/>
        <v>166980</v>
      </c>
      <c r="L8" s="347"/>
    </row>
    <row r="9" spans="1:13" ht="15.75" thickTop="1" x14ac:dyDescent="0.2">
      <c r="A9" s="514" t="s">
        <v>1653</v>
      </c>
      <c r="B9" s="515">
        <v>3998</v>
      </c>
      <c r="C9" s="481">
        <v>22459235</v>
      </c>
      <c r="D9" s="516"/>
      <c r="E9" s="481"/>
      <c r="F9" s="481"/>
      <c r="G9" s="517"/>
      <c r="H9" s="481"/>
      <c r="I9" s="509" t="s">
        <v>1169</v>
      </c>
      <c r="J9" s="478"/>
      <c r="K9" s="481"/>
      <c r="L9" s="347"/>
    </row>
    <row r="10" spans="1:13" s="519" customFormat="1" ht="13.5" thickBot="1" x14ac:dyDescent="0.25">
      <c r="A10" s="1736" t="s">
        <v>1173</v>
      </c>
      <c r="B10" s="1709"/>
      <c r="C10" s="1688">
        <f>SUM(C8:C9)</f>
        <v>83827624</v>
      </c>
      <c r="D10" s="1688">
        <f t="shared" ref="D10:K10" si="1">SUM(D8:D9)</f>
        <v>3359249</v>
      </c>
      <c r="E10" s="1688">
        <f t="shared" si="1"/>
        <v>2790467</v>
      </c>
      <c r="F10" s="1688">
        <f t="shared" si="1"/>
        <v>4957415</v>
      </c>
      <c r="G10" s="1688">
        <f t="shared" si="1"/>
        <v>2636520</v>
      </c>
      <c r="H10" s="1688">
        <f t="shared" si="1"/>
        <v>42308</v>
      </c>
      <c r="I10" s="1688">
        <f t="shared" si="1"/>
        <v>227446</v>
      </c>
      <c r="J10" s="1688">
        <f t="shared" si="1"/>
        <v>1657885</v>
      </c>
      <c r="K10" s="1688">
        <f t="shared" si="1"/>
        <v>166980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38216184</v>
      </c>
      <c r="D12" s="520" t="s">
        <v>1169</v>
      </c>
      <c r="E12" s="468" t="s">
        <v>1169</v>
      </c>
      <c r="F12" s="468" t="s">
        <v>1169</v>
      </c>
      <c r="G12" s="1742">
        <f>'Expenditures 15-22'!K229</f>
        <v>1046765</v>
      </c>
      <c r="H12" s="521"/>
      <c r="I12" s="468" t="s">
        <v>1169</v>
      </c>
      <c r="J12" s="468" t="s">
        <v>1169</v>
      </c>
      <c r="K12" s="521" t="s">
        <v>1169</v>
      </c>
      <c r="L12" s="347"/>
    </row>
    <row r="13" spans="1:13" ht="15.75" customHeight="1" x14ac:dyDescent="0.2">
      <c r="A13" s="1576" t="s">
        <v>457</v>
      </c>
      <c r="B13" s="1578">
        <v>2000</v>
      </c>
      <c r="C13" s="1743">
        <f>'Expenditures 15-22'!K74</f>
        <v>20246840</v>
      </c>
      <c r="D13" s="1743">
        <f>'Expenditures 15-22'!K129</f>
        <v>4359195</v>
      </c>
      <c r="E13" s="469" t="s">
        <v>1169</v>
      </c>
      <c r="F13" s="1743">
        <f>'Expenditures 15-22'!K184</f>
        <v>5020688</v>
      </c>
      <c r="G13" s="1743">
        <f>'Expenditures 15-22'!K279</f>
        <v>1370500</v>
      </c>
      <c r="H13" s="1743">
        <f>'Expenditures 15-22'!K303</f>
        <v>489588</v>
      </c>
      <c r="I13" s="468" t="s">
        <v>1169</v>
      </c>
      <c r="J13" s="1743">
        <f>'Expenditures 15-22'!K330</f>
        <v>1633225</v>
      </c>
      <c r="K13" s="1747">
        <f>'Expenditures 15-22'!K352</f>
        <v>105627</v>
      </c>
      <c r="L13" s="347"/>
    </row>
    <row r="14" spans="1:13" ht="15.75" customHeight="1" x14ac:dyDescent="0.2">
      <c r="A14" s="1576" t="s">
        <v>449</v>
      </c>
      <c r="B14" s="1578">
        <v>3000</v>
      </c>
      <c r="C14" s="1743">
        <f>'Expenditures 15-22'!K75</f>
        <v>1241499</v>
      </c>
      <c r="D14" s="1743">
        <f>'Expenditures 15-22'!K130</f>
        <v>0</v>
      </c>
      <c r="E14" s="520" t="s">
        <v>1169</v>
      </c>
      <c r="F14" s="1743">
        <f>'Expenditures 15-22'!K185</f>
        <v>0</v>
      </c>
      <c r="G14" s="1743">
        <f>'Expenditures 15-22'!K280</f>
        <v>150184</v>
      </c>
      <c r="H14" s="512"/>
      <c r="I14" s="468" t="s">
        <v>1169</v>
      </c>
      <c r="J14" s="468" t="s">
        <v>1169</v>
      </c>
      <c r="K14" s="512" t="s">
        <v>1169</v>
      </c>
      <c r="L14" s="347"/>
    </row>
    <row r="15" spans="1:13" ht="15.75" customHeight="1" x14ac:dyDescent="0.2">
      <c r="A15" s="1576" t="s">
        <v>107</v>
      </c>
      <c r="B15" s="1578">
        <v>4000</v>
      </c>
      <c r="C15" s="1743">
        <f>'Expenditures 15-22'!K102</f>
        <v>1279344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3694072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60983867</v>
      </c>
      <c r="D17" s="1688">
        <f t="shared" si="2"/>
        <v>4359195</v>
      </c>
      <c r="E17" s="1688">
        <f t="shared" si="2"/>
        <v>3694072</v>
      </c>
      <c r="F17" s="1688">
        <f t="shared" si="2"/>
        <v>5020688</v>
      </c>
      <c r="G17" s="1688">
        <f t="shared" si="2"/>
        <v>2567449</v>
      </c>
      <c r="H17" s="1688">
        <f t="shared" si="2"/>
        <v>489588</v>
      </c>
      <c r="I17" s="468"/>
      <c r="J17" s="1688">
        <f>SUM(J12:J16)</f>
        <v>1633225</v>
      </c>
      <c r="K17" s="1688">
        <f>SUM(K12:K16)</f>
        <v>105627</v>
      </c>
      <c r="L17" s="347"/>
    </row>
    <row r="18" spans="1:12" ht="15" customHeight="1" thickTop="1" x14ac:dyDescent="0.2">
      <c r="A18" s="1744" t="s">
        <v>1654</v>
      </c>
      <c r="B18" s="1745">
        <v>4180</v>
      </c>
      <c r="C18" s="1742">
        <f t="shared" ref="C18:H18" si="3">C9</f>
        <v>22459235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83443102</v>
      </c>
      <c r="D19" s="1688">
        <f t="shared" si="4"/>
        <v>4359195</v>
      </c>
      <c r="E19" s="1688">
        <f t="shared" si="4"/>
        <v>3694072</v>
      </c>
      <c r="F19" s="1688">
        <f t="shared" si="4"/>
        <v>5020688</v>
      </c>
      <c r="G19" s="1688">
        <f t="shared" si="4"/>
        <v>2567449</v>
      </c>
      <c r="H19" s="1688">
        <f t="shared" si="4"/>
        <v>489588</v>
      </c>
      <c r="I19" s="468"/>
      <c r="J19" s="1688">
        <f>SUM(J17:J18)</f>
        <v>1633225</v>
      </c>
      <c r="K19" s="1688">
        <f>SUM(K17:K18)</f>
        <v>105627</v>
      </c>
      <c r="L19" s="347"/>
    </row>
    <row r="20" spans="1:12" ht="16.5" thickTop="1" thickBot="1" x14ac:dyDescent="0.25">
      <c r="A20" s="2125" t="s">
        <v>1655</v>
      </c>
      <c r="B20" s="2126"/>
      <c r="C20" s="1746">
        <f>C8-C17</f>
        <v>384522</v>
      </c>
      <c r="D20" s="1746">
        <f t="shared" ref="D20:K20" si="5">D8-D17</f>
        <v>-999946</v>
      </c>
      <c r="E20" s="1746">
        <f t="shared" si="5"/>
        <v>-903605</v>
      </c>
      <c r="F20" s="1746">
        <f t="shared" si="5"/>
        <v>-63273</v>
      </c>
      <c r="G20" s="1746">
        <f t="shared" si="5"/>
        <v>69071</v>
      </c>
      <c r="H20" s="1746">
        <f t="shared" si="5"/>
        <v>-447280</v>
      </c>
      <c r="I20" s="1746">
        <f t="shared" si="5"/>
        <v>227446</v>
      </c>
      <c r="J20" s="1746">
        <f t="shared" si="5"/>
        <v>24660</v>
      </c>
      <c r="K20" s="1746">
        <f t="shared" si="5"/>
        <v>61353</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955405</v>
      </c>
      <c r="F37" s="475"/>
      <c r="G37" s="475"/>
      <c r="H37" s="475"/>
      <c r="I37" s="477"/>
      <c r="J37" s="475"/>
      <c r="K37" s="475"/>
      <c r="L37" s="524"/>
    </row>
    <row r="38" spans="1:12" s="485" customFormat="1" x14ac:dyDescent="0.2">
      <c r="A38" s="1489" t="s">
        <v>442</v>
      </c>
      <c r="B38" s="525">
        <v>7500</v>
      </c>
      <c r="C38" s="477"/>
      <c r="D38" s="477"/>
      <c r="E38" s="1743">
        <f>SUM(C58:D61,H58:H61)</f>
        <v>57730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969553</v>
      </c>
      <c r="D43" s="467"/>
      <c r="E43" s="467"/>
      <c r="F43" s="467"/>
      <c r="G43" s="467"/>
      <c r="H43" s="467"/>
      <c r="I43" s="467"/>
      <c r="J43" s="467"/>
      <c r="K43" s="467"/>
      <c r="L43" s="524"/>
    </row>
    <row r="44" spans="1:12" s="485" customFormat="1" ht="13.5" customHeight="1" thickBot="1" x14ac:dyDescent="0.25">
      <c r="A44" s="2139" t="s">
        <v>374</v>
      </c>
      <c r="B44" s="2140"/>
      <c r="C44" s="1703">
        <f>SUM(C24:C43)</f>
        <v>969553</v>
      </c>
      <c r="D44" s="1703">
        <f t="shared" ref="D44:K44" si="6">SUM(D24:D43)</f>
        <v>0</v>
      </c>
      <c r="E44" s="1703">
        <f t="shared" si="6"/>
        <v>1013135</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955405</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57730</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1013135</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-43582</v>
      </c>
      <c r="D77" s="1703">
        <f t="shared" si="8"/>
        <v>0</v>
      </c>
      <c r="E77" s="1703">
        <f t="shared" si="8"/>
        <v>1013135</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340940</v>
      </c>
      <c r="D78" s="1702">
        <f t="shared" si="9"/>
        <v>-999946</v>
      </c>
      <c r="E78" s="1702">
        <f t="shared" si="9"/>
        <v>109530</v>
      </c>
      <c r="F78" s="1702">
        <f t="shared" si="9"/>
        <v>-63273</v>
      </c>
      <c r="G78" s="1702">
        <f t="shared" si="9"/>
        <v>69071</v>
      </c>
      <c r="H78" s="1702">
        <f t="shared" si="9"/>
        <v>-447280</v>
      </c>
      <c r="I78" s="1702">
        <f t="shared" si="9"/>
        <v>227446</v>
      </c>
      <c r="J78" s="1702">
        <f t="shared" si="9"/>
        <v>24660</v>
      </c>
      <c r="K78" s="1702">
        <f t="shared" si="9"/>
        <v>61353</v>
      </c>
      <c r="L78" s="533"/>
    </row>
    <row r="79" spans="1:12" ht="13.5" thickTop="1" x14ac:dyDescent="0.2">
      <c r="A79" s="1494" t="s">
        <v>1945</v>
      </c>
      <c r="B79" s="534"/>
      <c r="C79" s="478">
        <v>20097696</v>
      </c>
      <c r="D79" s="535">
        <v>4181251</v>
      </c>
      <c r="E79" s="535">
        <v>240990</v>
      </c>
      <c r="F79" s="535">
        <v>3037658</v>
      </c>
      <c r="G79" s="535">
        <v>1632621</v>
      </c>
      <c r="H79" s="535">
        <v>448040</v>
      </c>
      <c r="I79" s="535">
        <v>2879580</v>
      </c>
      <c r="J79" s="535">
        <v>1153931</v>
      </c>
      <c r="K79" s="535">
        <v>0</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1946</v>
      </c>
      <c r="B81" s="2120"/>
      <c r="C81" s="1688">
        <f>(SUM(C78:C80))</f>
        <v>20438636</v>
      </c>
      <c r="D81" s="1688">
        <f>SUM(D78:D80)</f>
        <v>3181305</v>
      </c>
      <c r="E81" s="1688">
        <f t="shared" ref="E81:K81" si="10">SUM(E78:E80)</f>
        <v>350520</v>
      </c>
      <c r="F81" s="1688">
        <f t="shared" si="10"/>
        <v>2974385</v>
      </c>
      <c r="G81" s="1688">
        <f t="shared" si="10"/>
        <v>1701692</v>
      </c>
      <c r="H81" s="1688">
        <f t="shared" si="10"/>
        <v>760</v>
      </c>
      <c r="I81" s="1688">
        <f t="shared" si="10"/>
        <v>3107026</v>
      </c>
      <c r="J81" s="1688">
        <f t="shared" si="10"/>
        <v>1178591</v>
      </c>
      <c r="K81" s="1688">
        <f t="shared" si="10"/>
        <v>61353</v>
      </c>
      <c r="L81" s="347"/>
    </row>
    <row r="82" spans="1:12" ht="0.75" customHeight="1" thickTop="1" thickBot="1" x14ac:dyDescent="0.25">
      <c r="A82" s="536" t="s">
        <v>343</v>
      </c>
      <c r="B82" s="537"/>
      <c r="C82" s="538">
        <f>(C81-C79)</f>
        <v>340940</v>
      </c>
      <c r="D82" s="538">
        <f t="shared" ref="D82:K82" si="11">(D81-D79)</f>
        <v>-999946</v>
      </c>
      <c r="E82" s="538">
        <f t="shared" si="11"/>
        <v>109530</v>
      </c>
      <c r="F82" s="538">
        <f t="shared" si="11"/>
        <v>-63273</v>
      </c>
      <c r="G82" s="538">
        <f t="shared" si="11"/>
        <v>69071</v>
      </c>
      <c r="H82" s="538">
        <f t="shared" si="11"/>
        <v>-447280</v>
      </c>
      <c r="I82" s="538">
        <f t="shared" si="11"/>
        <v>227446</v>
      </c>
      <c r="J82" s="538">
        <f t="shared" si="11"/>
        <v>24660</v>
      </c>
      <c r="K82" s="538">
        <f t="shared" si="11"/>
        <v>61353</v>
      </c>
    </row>
    <row r="83" spans="1:12" ht="14.25" hidden="1" thickTop="1" thickBot="1" x14ac:dyDescent="0.25">
      <c r="A83" s="539" t="s">
        <v>344</v>
      </c>
      <c r="B83" s="464"/>
      <c r="C83" s="540">
        <f>C82/C81</f>
        <v>1.6681152303901298E-2</v>
      </c>
      <c r="D83" s="540">
        <f t="shared" ref="D83:K83" si="12">D82/D81</f>
        <v>-0.31431943809222945</v>
      </c>
      <c r="E83" s="540">
        <f t="shared" si="12"/>
        <v>0.31247860321807602</v>
      </c>
      <c r="F83" s="540">
        <f t="shared" si="12"/>
        <v>-2.127263282997998E-2</v>
      </c>
      <c r="G83" s="540">
        <f t="shared" si="12"/>
        <v>4.0589601408480502E-2</v>
      </c>
      <c r="H83" s="540">
        <f t="shared" si="12"/>
        <v>-588.52631578947364</v>
      </c>
      <c r="I83" s="540">
        <f t="shared" si="12"/>
        <v>7.3203764628940987E-2</v>
      </c>
      <c r="J83" s="540">
        <f t="shared" si="12"/>
        <v>2.0923288910232641E-2</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A197" sqref="A197:XFD19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9027374</v>
      </c>
      <c r="D5" s="481">
        <v>1659439</v>
      </c>
      <c r="E5" s="466">
        <v>2258283</v>
      </c>
      <c r="F5" s="548">
        <v>663775</v>
      </c>
      <c r="G5" s="466">
        <v>1244648</v>
      </c>
      <c r="H5" s="466"/>
      <c r="I5" s="466">
        <v>165935</v>
      </c>
      <c r="J5" s="467">
        <v>1616322</v>
      </c>
      <c r="K5" s="466">
        <v>165935</v>
      </c>
    </row>
    <row r="6" spans="1:12" ht="15" x14ac:dyDescent="0.2">
      <c r="A6" s="463" t="s">
        <v>1662</v>
      </c>
      <c r="B6" s="470">
        <v>1130</v>
      </c>
      <c r="C6" s="466">
        <v>165935</v>
      </c>
      <c r="D6" s="466"/>
      <c r="E6" s="475"/>
      <c r="F6" s="475"/>
      <c r="G6" s="468"/>
      <c r="H6" s="468"/>
      <c r="I6" s="468"/>
      <c r="J6" s="468"/>
      <c r="K6" s="468"/>
    </row>
    <row r="7" spans="1:12" x14ac:dyDescent="0.2">
      <c r="A7" s="463" t="s">
        <v>110</v>
      </c>
      <c r="B7" s="549">
        <v>1140</v>
      </c>
      <c r="C7" s="466">
        <v>132755</v>
      </c>
      <c r="D7" s="466"/>
      <c r="E7" s="468"/>
      <c r="F7" s="467"/>
      <c r="G7" s="467"/>
      <c r="H7" s="467"/>
      <c r="I7" s="468"/>
      <c r="J7" s="468"/>
      <c r="K7" s="468"/>
    </row>
    <row r="8" spans="1:12" x14ac:dyDescent="0.2">
      <c r="A8" s="463" t="s">
        <v>413</v>
      </c>
      <c r="B8" s="470">
        <v>1150</v>
      </c>
      <c r="C8" s="475"/>
      <c r="D8" s="475"/>
      <c r="E8" s="477"/>
      <c r="F8" s="477"/>
      <c r="G8" s="481">
        <v>1200597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9326064</v>
      </c>
      <c r="D12" s="1707">
        <f t="shared" si="0"/>
        <v>1659439</v>
      </c>
      <c r="E12" s="1707">
        <f t="shared" si="0"/>
        <v>2258283</v>
      </c>
      <c r="F12" s="1707">
        <f t="shared" si="0"/>
        <v>663775</v>
      </c>
      <c r="G12" s="1707">
        <f t="shared" si="0"/>
        <v>2445245</v>
      </c>
      <c r="H12" s="1707">
        <f t="shared" si="0"/>
        <v>0</v>
      </c>
      <c r="I12" s="1707">
        <f t="shared" si="0"/>
        <v>165935</v>
      </c>
      <c r="J12" s="1707">
        <f t="shared" si="0"/>
        <v>1616322</v>
      </c>
      <c r="K12" s="1688">
        <f t="shared" si="0"/>
        <v>165935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1737315</v>
      </c>
      <c r="D16" s="466">
        <v>1586943</v>
      </c>
      <c r="E16" s="466"/>
      <c r="F16" s="466"/>
      <c r="G16" s="466">
        <v>135000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1737315</v>
      </c>
      <c r="D18" s="1710">
        <f t="shared" ref="D18:K18" si="1">SUM(D14:D17)</f>
        <v>1586943</v>
      </c>
      <c r="E18" s="1710">
        <f t="shared" si="1"/>
        <v>0</v>
      </c>
      <c r="F18" s="1710">
        <f t="shared" si="1"/>
        <v>0</v>
      </c>
      <c r="G18" s="1710">
        <f t="shared" si="1"/>
        <v>135000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4576</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4576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456355</v>
      </c>
      <c r="D65" s="466">
        <v>97664</v>
      </c>
      <c r="E65" s="466">
        <v>10924</v>
      </c>
      <c r="F65" s="467">
        <v>47023</v>
      </c>
      <c r="G65" s="466">
        <v>56275</v>
      </c>
      <c r="H65" s="466">
        <v>3144</v>
      </c>
      <c r="I65" s="466">
        <v>61511</v>
      </c>
      <c r="J65" s="467">
        <v>41515</v>
      </c>
      <c r="K65" s="466">
        <v>1045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456355</v>
      </c>
      <c r="D67" s="1688">
        <f t="shared" ref="D67:K67" si="2">SUM(D65:D66)</f>
        <v>97664</v>
      </c>
      <c r="E67" s="1688">
        <f t="shared" si="2"/>
        <v>10924</v>
      </c>
      <c r="F67" s="1688">
        <f t="shared" si="2"/>
        <v>47023</v>
      </c>
      <c r="G67" s="1688">
        <f t="shared" si="2"/>
        <v>56275</v>
      </c>
      <c r="H67" s="1688">
        <f t="shared" si="2"/>
        <v>3144</v>
      </c>
      <c r="I67" s="1688">
        <f t="shared" si="2"/>
        <v>61511</v>
      </c>
      <c r="J67" s="1688">
        <f t="shared" si="2"/>
        <v>41515</v>
      </c>
      <c r="K67" s="1688">
        <f t="shared" si="2"/>
        <v>1045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4406</v>
      </c>
      <c r="D69" s="468"/>
      <c r="E69" s="468"/>
      <c r="F69" s="468"/>
      <c r="G69" s="468"/>
      <c r="H69" s="468"/>
      <c r="I69" s="468"/>
      <c r="J69" s="468"/>
      <c r="K69" s="468"/>
    </row>
    <row r="70" spans="1:11" ht="12.75" customHeight="1" x14ac:dyDescent="0.2">
      <c r="A70" s="463" t="s">
        <v>997</v>
      </c>
      <c r="B70" s="470">
        <v>1612</v>
      </c>
      <c r="C70" s="551">
        <v>3</v>
      </c>
      <c r="D70" s="468"/>
      <c r="E70" s="468"/>
      <c r="F70" s="468"/>
      <c r="G70" s="468"/>
      <c r="H70" s="468"/>
      <c r="I70" s="468"/>
      <c r="J70" s="468"/>
      <c r="K70" s="468"/>
    </row>
    <row r="71" spans="1:11" ht="12.75" customHeight="1" x14ac:dyDescent="0.2">
      <c r="A71" s="463" t="s">
        <v>273</v>
      </c>
      <c r="B71" s="470">
        <v>1613</v>
      </c>
      <c r="C71" s="551">
        <v>41150</v>
      </c>
      <c r="D71" s="468"/>
      <c r="E71" s="468"/>
      <c r="F71" s="468"/>
      <c r="G71" s="468"/>
      <c r="H71" s="468"/>
      <c r="I71" s="468"/>
      <c r="J71" s="468"/>
      <c r="K71" s="468"/>
    </row>
    <row r="72" spans="1:11" ht="12.75" customHeight="1" x14ac:dyDescent="0.2">
      <c r="A72" s="463" t="s">
        <v>24</v>
      </c>
      <c r="B72" s="470">
        <v>1614</v>
      </c>
      <c r="C72" s="551">
        <v>4229</v>
      </c>
      <c r="D72" s="468"/>
      <c r="E72" s="468"/>
      <c r="F72" s="468"/>
      <c r="G72" s="468"/>
      <c r="H72" s="468"/>
      <c r="I72" s="468"/>
      <c r="J72" s="468"/>
      <c r="K72" s="468"/>
    </row>
    <row r="73" spans="1:11" ht="12.75" customHeight="1" x14ac:dyDescent="0.2">
      <c r="A73" s="463" t="s">
        <v>998</v>
      </c>
      <c r="B73" s="470">
        <v>1620</v>
      </c>
      <c r="C73" s="551">
        <v>15519</v>
      </c>
      <c r="D73" s="468"/>
      <c r="E73" s="468"/>
      <c r="F73" s="468"/>
      <c r="G73" s="468"/>
      <c r="H73" s="468"/>
      <c r="I73" s="468"/>
      <c r="J73" s="468"/>
      <c r="K73" s="468"/>
    </row>
    <row r="74" spans="1:11" ht="12.75" customHeight="1" x14ac:dyDescent="0.2">
      <c r="A74" s="463" t="s">
        <v>25</v>
      </c>
      <c r="B74" s="470">
        <v>1690</v>
      </c>
      <c r="C74" s="551">
        <v>60726</v>
      </c>
      <c r="D74" s="468"/>
      <c r="E74" s="468"/>
      <c r="F74" s="468"/>
      <c r="G74" s="468"/>
      <c r="H74" s="468"/>
      <c r="I74" s="468"/>
      <c r="J74" s="468"/>
      <c r="K74" s="468"/>
    </row>
    <row r="75" spans="1:11" ht="12.75" customHeight="1" thickBot="1" x14ac:dyDescent="0.25">
      <c r="A75" s="1708" t="s">
        <v>548</v>
      </c>
      <c r="B75" s="1709"/>
      <c r="C75" s="1688">
        <f>SUM(C69:C74)</f>
        <v>126033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26025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6666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32691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56460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838</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57298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15133</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1723</v>
      </c>
      <c r="D99" s="466">
        <v>28</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11699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v>30832</v>
      </c>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445</v>
      </c>
      <c r="D106" s="489"/>
      <c r="E106" s="467"/>
      <c r="F106" s="467"/>
      <c r="G106" s="467"/>
      <c r="H106" s="467"/>
      <c r="I106" s="521"/>
      <c r="J106" s="467"/>
      <c r="K106" s="467"/>
    </row>
    <row r="107" spans="1:12" ht="12.75" customHeight="1" x14ac:dyDescent="0.2">
      <c r="A107" s="463" t="s">
        <v>78</v>
      </c>
      <c r="B107" s="470">
        <v>1999</v>
      </c>
      <c r="C107" s="551">
        <v>281553</v>
      </c>
      <c r="D107" s="466">
        <v>42</v>
      </c>
      <c r="E107" s="466"/>
      <c r="F107" s="466"/>
      <c r="G107" s="466"/>
      <c r="H107" s="466">
        <v>8332</v>
      </c>
      <c r="I107" s="466"/>
      <c r="J107" s="467">
        <v>48</v>
      </c>
      <c r="K107" s="466"/>
    </row>
    <row r="108" spans="1:12" ht="12.75" customHeight="1" thickBot="1" x14ac:dyDescent="0.25">
      <c r="A108" s="1708" t="s">
        <v>487</v>
      </c>
      <c r="B108" s="1712"/>
      <c r="C108" s="1707">
        <f>SUM(C95:C107)</f>
        <v>295420</v>
      </c>
      <c r="D108" s="1707">
        <f t="shared" ref="D108:K108" si="3">SUM(D95:D107)</f>
        <v>15203</v>
      </c>
      <c r="E108" s="1707">
        <f t="shared" si="3"/>
        <v>0</v>
      </c>
      <c r="F108" s="1707">
        <f t="shared" si="3"/>
        <v>0</v>
      </c>
      <c r="G108" s="1707">
        <f t="shared" si="3"/>
        <v>0</v>
      </c>
      <c r="H108" s="1707">
        <f t="shared" si="3"/>
        <v>39164</v>
      </c>
      <c r="I108" s="1707">
        <f t="shared" si="3"/>
        <v>0</v>
      </c>
      <c r="J108" s="1707">
        <f t="shared" si="3"/>
        <v>48</v>
      </c>
      <c r="K108" s="1688">
        <f t="shared" si="3"/>
        <v>0</v>
      </c>
    </row>
    <row r="109" spans="1:12" ht="14.25" thickTop="1" thickBot="1" x14ac:dyDescent="0.25">
      <c r="A109" s="1713" t="s">
        <v>248</v>
      </c>
      <c r="B109" s="1714" t="s">
        <v>570</v>
      </c>
      <c r="C109" s="1715">
        <f t="shared" ref="C109:K109" si="4">SUM(C12,C18,C40,C63,C67,C75,C82,C93,C108,)</f>
        <v>12035752</v>
      </c>
      <c r="D109" s="1715">
        <f t="shared" si="4"/>
        <v>3359249</v>
      </c>
      <c r="E109" s="1715">
        <f t="shared" si="4"/>
        <v>2269207</v>
      </c>
      <c r="F109" s="1715">
        <f t="shared" si="4"/>
        <v>710798</v>
      </c>
      <c r="G109" s="1715">
        <f t="shared" si="4"/>
        <v>2636520</v>
      </c>
      <c r="H109" s="1715">
        <f t="shared" si="4"/>
        <v>42308</v>
      </c>
      <c r="I109" s="1715">
        <f t="shared" si="4"/>
        <v>227446</v>
      </c>
      <c r="J109" s="1715">
        <f t="shared" si="4"/>
        <v>1657885</v>
      </c>
      <c r="K109" s="1702">
        <f t="shared" si="4"/>
        <v>166980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40000</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40000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34940970</v>
      </c>
      <c r="D117" s="481"/>
      <c r="E117" s="466"/>
      <c r="F117" s="481">
        <v>1885230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1"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34940970</v>
      </c>
      <c r="D122" s="1707">
        <f t="shared" si="5"/>
        <v>0</v>
      </c>
      <c r="E122" s="1707">
        <f t="shared" si="5"/>
        <v>0</v>
      </c>
      <c r="F122" s="1707">
        <f t="shared" si="5"/>
        <v>1885230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360622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116647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477269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63351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51928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1360871</v>
      </c>
      <c r="G152" s="467"/>
      <c r="H152" s="468"/>
      <c r="I152" s="468"/>
      <c r="J152" s="468"/>
      <c r="K152" s="468"/>
    </row>
    <row r="153" spans="1:11" ht="12.75" customHeight="1" x14ac:dyDescent="0.2">
      <c r="A153" s="463" t="s">
        <v>1057</v>
      </c>
      <c r="B153" s="562">
        <v>3510</v>
      </c>
      <c r="C153" s="551"/>
      <c r="D153" s="466"/>
      <c r="E153" s="561"/>
      <c r="F153" s="466">
        <v>392666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1753537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2661303</v>
      </c>
      <c r="D159" s="578"/>
      <c r="E159" s="561"/>
      <c r="F159" s="576">
        <v>111944</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371017+27612</f>
        <v>398629</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3652480</v>
      </c>
      <c r="D169" s="1722">
        <f t="shared" si="6"/>
        <v>0</v>
      </c>
      <c r="E169" s="1722">
        <f t="shared" si="6"/>
        <v>0</v>
      </c>
      <c r="F169" s="1722">
        <f t="shared" si="6"/>
        <v>1865481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38593450</v>
      </c>
      <c r="D170" s="1715">
        <f t="shared" si="7"/>
        <v>0</v>
      </c>
      <c r="E170" s="1715">
        <f t="shared" si="7"/>
        <v>0</v>
      </c>
      <c r="F170" s="1715">
        <f t="shared" si="7"/>
        <v>3750711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f>82018+22752</f>
        <v>104770</v>
      </c>
      <c r="D180" s="466"/>
      <c r="E180" s="468"/>
      <c r="F180" s="466"/>
      <c r="G180" s="466"/>
      <c r="H180" s="466"/>
      <c r="I180" s="468"/>
      <c r="J180" s="468"/>
      <c r="K180" s="466"/>
    </row>
    <row r="181" spans="1:11" ht="13.5" thickBot="1" x14ac:dyDescent="0.25">
      <c r="A181" s="2151" t="s">
        <v>785</v>
      </c>
      <c r="B181" s="2152"/>
      <c r="C181" s="1707">
        <f>SUM(C177:C180)</f>
        <v>104770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2384087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893503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91755</v>
      </c>
      <c r="D196" s="468"/>
      <c r="E196" s="561"/>
      <c r="F196" s="468"/>
      <c r="G196" s="586"/>
      <c r="H196" s="468"/>
      <c r="I196" s="468"/>
      <c r="J196" s="468"/>
      <c r="K196" s="468"/>
    </row>
    <row r="197" spans="1:11" ht="12.75" customHeight="1" x14ac:dyDescent="0.2">
      <c r="A197" s="463" t="s">
        <v>71</v>
      </c>
      <c r="B197" s="470">
        <v>4299</v>
      </c>
      <c r="C197" s="551">
        <v>211526</v>
      </c>
      <c r="D197" s="468"/>
      <c r="E197" s="561"/>
      <c r="F197" s="468"/>
      <c r="G197" s="585"/>
      <c r="H197" s="468"/>
      <c r="I197" s="468"/>
      <c r="J197" s="468"/>
      <c r="K197" s="468"/>
    </row>
    <row r="198" spans="1:11" ht="12.75" customHeight="1" thickBot="1" x14ac:dyDescent="0.25">
      <c r="A198" s="1708" t="s">
        <v>548</v>
      </c>
      <c r="B198" s="1709"/>
      <c r="C198" s="1688">
        <f>SUM(C190:C197)</f>
        <v>3580871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4200378+299139</f>
        <v>4499517</v>
      </c>
      <c r="D200" s="466"/>
      <c r="E200" s="468"/>
      <c r="F200" s="466">
        <f>431660+64246</f>
        <v>495906</v>
      </c>
      <c r="G200" s="466"/>
      <c r="H200" s="468"/>
      <c r="I200" s="468"/>
      <c r="J200" s="468"/>
      <c r="K200" s="468"/>
    </row>
    <row r="201" spans="1:11" ht="12.75" customHeight="1" x14ac:dyDescent="0.2">
      <c r="A201" s="463" t="s">
        <v>919</v>
      </c>
      <c r="B201" s="470">
        <v>4305</v>
      </c>
      <c r="C201" s="551">
        <v>18929</v>
      </c>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4518446</v>
      </c>
      <c r="D204" s="1707">
        <f>SUM(D200:D203)</f>
        <v>0</v>
      </c>
      <c r="E204" s="468"/>
      <c r="F204" s="1707">
        <f>SUM(F200:F203)</f>
        <v>495906</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89321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1665868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1755189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v>521260</v>
      </c>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521260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1155</v>
      </c>
      <c r="D255" s="468"/>
      <c r="E255" s="468"/>
      <c r="F255" s="578"/>
      <c r="G255" s="573"/>
      <c r="H255" s="468"/>
      <c r="I255" s="468"/>
      <c r="J255" s="468"/>
      <c r="K255" s="468"/>
    </row>
    <row r="256" spans="1:11" ht="12.75" customHeight="1" thickTop="1" thickBot="1" x14ac:dyDescent="0.25">
      <c r="A256" s="463" t="s">
        <v>1457</v>
      </c>
      <c r="B256" s="470">
        <v>4909</v>
      </c>
      <c r="C256" s="576">
        <v>22580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371724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1933</v>
      </c>
      <c r="B261" s="470">
        <v>4981</v>
      </c>
      <c r="C261" s="575"/>
      <c r="D261" s="576"/>
      <c r="E261" s="468"/>
      <c r="F261" s="576"/>
      <c r="G261" s="576"/>
      <c r="H261" s="468"/>
      <c r="I261" s="468"/>
      <c r="J261" s="468"/>
      <c r="K261" s="468"/>
    </row>
    <row r="262" spans="1:11" ht="12.75" customHeight="1" thickTop="1" thickBot="1" x14ac:dyDescent="0.25">
      <c r="A262" s="1932"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102342</v>
      </c>
      <c r="D263" s="576"/>
      <c r="E263" s="468"/>
      <c r="F263" s="576"/>
      <c r="G263" s="576"/>
      <c r="H263" s="468"/>
      <c r="I263" s="468"/>
      <c r="J263" s="468"/>
      <c r="K263" s="468"/>
    </row>
    <row r="264" spans="1:11" ht="12.75" customHeight="1" thickTop="1" thickBot="1" x14ac:dyDescent="0.25">
      <c r="A264" s="463" t="s">
        <v>377</v>
      </c>
      <c r="B264" s="470">
        <v>4992</v>
      </c>
      <c r="C264" s="575">
        <v>242110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10594417</v>
      </c>
      <c r="D266" s="1715">
        <f t="shared" si="10"/>
        <v>0</v>
      </c>
      <c r="E266" s="1715">
        <f t="shared" si="10"/>
        <v>521260</v>
      </c>
      <c r="F266" s="1715">
        <f t="shared" si="10"/>
        <v>495906</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10699187</v>
      </c>
      <c r="D267" s="1715">
        <f>SUM(D175,D181,D266)</f>
        <v>0</v>
      </c>
      <c r="E267" s="1715">
        <f>SUM(E175,E266)</f>
        <v>521260</v>
      </c>
      <c r="F267" s="1715">
        <f t="shared" ref="F267:K267" si="11">SUM(F175,F181,F266)</f>
        <v>495906</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61368389</v>
      </c>
      <c r="D268" s="1715">
        <f t="shared" si="12"/>
        <v>3359249</v>
      </c>
      <c r="E268" s="1715">
        <f t="shared" si="12"/>
        <v>2790467</v>
      </c>
      <c r="F268" s="1715">
        <f t="shared" si="12"/>
        <v>4957415</v>
      </c>
      <c r="G268" s="1715">
        <f t="shared" si="12"/>
        <v>2636520</v>
      </c>
      <c r="H268" s="1715">
        <f t="shared" si="12"/>
        <v>42308</v>
      </c>
      <c r="I268" s="1715">
        <f t="shared" si="12"/>
        <v>227446</v>
      </c>
      <c r="J268" s="1715">
        <f t="shared" si="12"/>
        <v>1657885</v>
      </c>
      <c r="K268" s="1702">
        <f t="shared" si="12"/>
        <v>166980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36" activePane="bottomLeft" state="frozen"/>
      <selection pane="bottomLeft" activeCell="A345" sqref="A345:B3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19763607</v>
      </c>
      <c r="D5" s="466">
        <f>4964798+120-49805</f>
        <v>4915113</v>
      </c>
      <c r="E5" s="466">
        <v>506048</v>
      </c>
      <c r="F5" s="466">
        <v>639986</v>
      </c>
      <c r="G5" s="466">
        <v>1590142</v>
      </c>
      <c r="H5" s="466"/>
      <c r="I5" s="467">
        <v>182959</v>
      </c>
      <c r="J5" s="467"/>
      <c r="K5" s="1671">
        <f>SUM(C5:J5)</f>
        <v>27597855</v>
      </c>
      <c r="L5" s="466">
        <v>28301063</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564340</v>
      </c>
      <c r="D7" s="467">
        <v>145069</v>
      </c>
      <c r="E7" s="467">
        <v>4118</v>
      </c>
      <c r="F7" s="467">
        <v>30430</v>
      </c>
      <c r="G7" s="467"/>
      <c r="H7" s="467"/>
      <c r="I7" s="467">
        <v>699</v>
      </c>
      <c r="J7" s="467"/>
      <c r="K7" s="1671">
        <f t="shared" ref="K7:K32" si="0">SUM(C7:J7)</f>
        <v>744656</v>
      </c>
      <c r="L7" s="466">
        <v>978364</v>
      </c>
    </row>
    <row r="8" spans="1:14" x14ac:dyDescent="0.2">
      <c r="A8" s="1504" t="s">
        <v>164</v>
      </c>
      <c r="B8" s="614">
        <v>1200</v>
      </c>
      <c r="C8" s="466">
        <v>4404827</v>
      </c>
      <c r="D8" s="466">
        <v>1136550</v>
      </c>
      <c r="E8" s="466">
        <v>46662</v>
      </c>
      <c r="F8" s="466">
        <v>60487</v>
      </c>
      <c r="G8" s="466"/>
      <c r="H8" s="466"/>
      <c r="I8" s="467">
        <v>12263</v>
      </c>
      <c r="J8" s="467"/>
      <c r="K8" s="1671">
        <f t="shared" si="0"/>
        <v>5660789</v>
      </c>
      <c r="L8" s="466">
        <v>6313197</v>
      </c>
    </row>
    <row r="9" spans="1:14" x14ac:dyDescent="0.2">
      <c r="A9" s="1504" t="s">
        <v>721</v>
      </c>
      <c r="B9" s="614" t="s">
        <v>968</v>
      </c>
      <c r="C9" s="467"/>
      <c r="D9" s="467"/>
      <c r="E9" s="467"/>
      <c r="F9" s="467"/>
      <c r="G9" s="467"/>
      <c r="H9" s="467"/>
      <c r="I9" s="467"/>
      <c r="J9" s="467"/>
      <c r="K9" s="1671">
        <f t="shared" si="0"/>
        <v>0</v>
      </c>
      <c r="L9" s="466">
        <v>291669</v>
      </c>
    </row>
    <row r="10" spans="1:14" x14ac:dyDescent="0.2">
      <c r="A10" s="1504" t="s">
        <v>722</v>
      </c>
      <c r="B10" s="614">
        <v>1250</v>
      </c>
      <c r="C10" s="466">
        <v>981231</v>
      </c>
      <c r="D10" s="466">
        <v>186221</v>
      </c>
      <c r="E10" s="466">
        <v>453030</v>
      </c>
      <c r="F10" s="466">
        <v>477697</v>
      </c>
      <c r="G10" s="466"/>
      <c r="H10" s="466"/>
      <c r="I10" s="467">
        <v>353181</v>
      </c>
      <c r="J10" s="467"/>
      <c r="K10" s="1671">
        <f t="shared" si="0"/>
        <v>2451360</v>
      </c>
      <c r="L10" s="466">
        <v>1514301</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121</v>
      </c>
      <c r="D13" s="466"/>
      <c r="E13" s="466"/>
      <c r="F13" s="466"/>
      <c r="G13" s="466"/>
      <c r="H13" s="466"/>
      <c r="I13" s="467"/>
      <c r="J13" s="467"/>
      <c r="K13" s="1671">
        <f t="shared" si="0"/>
        <v>121</v>
      </c>
      <c r="L13" s="466">
        <v>0</v>
      </c>
    </row>
    <row r="14" spans="1:14" x14ac:dyDescent="0.2">
      <c r="A14" s="1504" t="s">
        <v>963</v>
      </c>
      <c r="B14" s="614">
        <v>1500</v>
      </c>
      <c r="C14" s="466">
        <v>501896</v>
      </c>
      <c r="D14" s="466">
        <v>49119</v>
      </c>
      <c r="E14" s="466">
        <v>49178</v>
      </c>
      <c r="F14" s="466">
        <v>45866</v>
      </c>
      <c r="G14" s="466"/>
      <c r="H14" s="466">
        <v>17225</v>
      </c>
      <c r="I14" s="467">
        <v>10411</v>
      </c>
      <c r="J14" s="467"/>
      <c r="K14" s="1671">
        <f t="shared" si="0"/>
        <v>673695</v>
      </c>
      <c r="L14" s="466">
        <v>719425</v>
      </c>
    </row>
    <row r="15" spans="1:14" x14ac:dyDescent="0.2">
      <c r="A15" s="1504" t="s">
        <v>964</v>
      </c>
      <c r="B15" s="614">
        <v>1600</v>
      </c>
      <c r="C15" s="466">
        <v>73326</v>
      </c>
      <c r="D15" s="466">
        <v>4766</v>
      </c>
      <c r="E15" s="466"/>
      <c r="F15" s="466"/>
      <c r="G15" s="466"/>
      <c r="H15" s="466"/>
      <c r="I15" s="467"/>
      <c r="J15" s="467"/>
      <c r="K15" s="1671">
        <f t="shared" si="0"/>
        <v>78092</v>
      </c>
      <c r="L15" s="466">
        <v>54264</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43509</v>
      </c>
      <c r="D17" s="467">
        <v>4001</v>
      </c>
      <c r="E17" s="467">
        <v>9661</v>
      </c>
      <c r="F17" s="467">
        <v>1967</v>
      </c>
      <c r="G17" s="467"/>
      <c r="H17" s="467"/>
      <c r="I17" s="467"/>
      <c r="J17" s="467"/>
      <c r="K17" s="1671">
        <f t="shared" si="0"/>
        <v>59138</v>
      </c>
      <c r="L17" s="466">
        <v>62363</v>
      </c>
    </row>
    <row r="18" spans="1:12" x14ac:dyDescent="0.2">
      <c r="A18" s="1504" t="s">
        <v>1087</v>
      </c>
      <c r="B18" s="614">
        <v>1800</v>
      </c>
      <c r="C18" s="466">
        <v>29534</v>
      </c>
      <c r="D18" s="466">
        <v>5468</v>
      </c>
      <c r="E18" s="466">
        <v>2205</v>
      </c>
      <c r="F18" s="466">
        <v>11321</v>
      </c>
      <c r="G18" s="466"/>
      <c r="H18" s="466"/>
      <c r="I18" s="467"/>
      <c r="J18" s="467"/>
      <c r="K18" s="1671">
        <f t="shared" si="0"/>
        <v>48528</v>
      </c>
      <c r="L18" s="466">
        <v>65669</v>
      </c>
    </row>
    <row r="19" spans="1:12" x14ac:dyDescent="0.2">
      <c r="A19" s="1504" t="s">
        <v>134</v>
      </c>
      <c r="B19" s="614">
        <v>1900</v>
      </c>
      <c r="C19" s="466">
        <v>140388</v>
      </c>
      <c r="D19" s="466">
        <v>32544</v>
      </c>
      <c r="E19" s="466"/>
      <c r="F19" s="466">
        <v>5663</v>
      </c>
      <c r="G19" s="466"/>
      <c r="H19" s="466"/>
      <c r="I19" s="467"/>
      <c r="J19" s="467"/>
      <c r="K19" s="1671">
        <f t="shared" si="0"/>
        <v>178595</v>
      </c>
      <c r="L19" s="466">
        <v>206308</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v>716990</v>
      </c>
      <c r="I22" s="616"/>
      <c r="J22" s="477"/>
      <c r="K22" s="1671">
        <f t="shared" si="0"/>
        <v>716990</v>
      </c>
      <c r="L22" s="471">
        <v>504884</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v>6365</v>
      </c>
      <c r="I32" s="616"/>
      <c r="J32" s="480"/>
      <c r="K32" s="1671">
        <f t="shared" si="0"/>
        <v>6365</v>
      </c>
      <c r="L32" s="471">
        <v>0</v>
      </c>
    </row>
    <row r="33" spans="1:14" ht="12.75" customHeight="1" thickBot="1" x14ac:dyDescent="0.25">
      <c r="A33" s="1668" t="s">
        <v>1668</v>
      </c>
      <c r="B33" s="1669" t="s">
        <v>570</v>
      </c>
      <c r="C33" s="1670">
        <f>SUM(C5:C32)</f>
        <v>26502779</v>
      </c>
      <c r="D33" s="1670">
        <f t="shared" ref="D33:L33" si="1">SUM(D5:D32)</f>
        <v>6478851</v>
      </c>
      <c r="E33" s="1670">
        <f t="shared" si="1"/>
        <v>1070902</v>
      </c>
      <c r="F33" s="1670">
        <f t="shared" si="1"/>
        <v>1273417</v>
      </c>
      <c r="G33" s="1670">
        <f t="shared" si="1"/>
        <v>1590142</v>
      </c>
      <c r="H33" s="1670">
        <f t="shared" si="1"/>
        <v>740580</v>
      </c>
      <c r="I33" s="1670">
        <f t="shared" si="1"/>
        <v>559513</v>
      </c>
      <c r="J33" s="1670">
        <f t="shared" si="1"/>
        <v>0</v>
      </c>
      <c r="K33" s="1670">
        <f t="shared" si="1"/>
        <v>38216184</v>
      </c>
      <c r="L33" s="1670">
        <f t="shared" si="1"/>
        <v>39011507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871574</v>
      </c>
      <c r="D36" s="481">
        <v>201051</v>
      </c>
      <c r="E36" s="481">
        <v>4607</v>
      </c>
      <c r="F36" s="481">
        <v>952</v>
      </c>
      <c r="G36" s="481"/>
      <c r="H36" s="481"/>
      <c r="I36" s="467"/>
      <c r="J36" s="467"/>
      <c r="K36" s="1671">
        <f t="shared" ref="K36:K41" si="2">SUM(C36:J36)</f>
        <v>1078184</v>
      </c>
      <c r="L36" s="466">
        <v>1323834</v>
      </c>
    </row>
    <row r="37" spans="1:14" x14ac:dyDescent="0.2">
      <c r="A37" s="1504" t="s">
        <v>1090</v>
      </c>
      <c r="B37" s="614">
        <v>2120</v>
      </c>
      <c r="C37" s="466">
        <v>461255</v>
      </c>
      <c r="D37" s="466">
        <v>132343</v>
      </c>
      <c r="E37" s="466">
        <v>6405</v>
      </c>
      <c r="F37" s="466"/>
      <c r="G37" s="466"/>
      <c r="H37" s="466"/>
      <c r="I37" s="467"/>
      <c r="J37" s="467"/>
      <c r="K37" s="1671">
        <f t="shared" si="2"/>
        <v>600003</v>
      </c>
      <c r="L37" s="466">
        <v>641885</v>
      </c>
    </row>
    <row r="38" spans="1:14" x14ac:dyDescent="0.2">
      <c r="A38" s="1504" t="s">
        <v>198</v>
      </c>
      <c r="B38" s="614">
        <v>2130</v>
      </c>
      <c r="C38" s="466">
        <v>523626</v>
      </c>
      <c r="D38" s="466">
        <v>59116</v>
      </c>
      <c r="E38" s="466">
        <v>240796</v>
      </c>
      <c r="F38" s="466">
        <v>7979</v>
      </c>
      <c r="G38" s="466"/>
      <c r="H38" s="466"/>
      <c r="I38" s="467">
        <v>13108</v>
      </c>
      <c r="J38" s="467"/>
      <c r="K38" s="1671">
        <f t="shared" si="2"/>
        <v>844625</v>
      </c>
      <c r="L38" s="466">
        <v>915127</v>
      </c>
    </row>
    <row r="39" spans="1:14" x14ac:dyDescent="0.2">
      <c r="A39" s="1504" t="s">
        <v>199</v>
      </c>
      <c r="B39" s="614">
        <v>2140</v>
      </c>
      <c r="C39" s="466">
        <v>322534</v>
      </c>
      <c r="D39" s="466">
        <v>68703</v>
      </c>
      <c r="E39" s="466">
        <v>2152</v>
      </c>
      <c r="F39" s="466">
        <v>864</v>
      </c>
      <c r="G39" s="466"/>
      <c r="H39" s="466"/>
      <c r="I39" s="467"/>
      <c r="J39" s="467"/>
      <c r="K39" s="1671">
        <f t="shared" si="2"/>
        <v>394253</v>
      </c>
      <c r="L39" s="466">
        <v>573533</v>
      </c>
    </row>
    <row r="40" spans="1:14" x14ac:dyDescent="0.2">
      <c r="A40" s="1504" t="s">
        <v>200</v>
      </c>
      <c r="B40" s="614">
        <v>2150</v>
      </c>
      <c r="C40" s="466">
        <v>513963</v>
      </c>
      <c r="D40" s="466">
        <v>96764</v>
      </c>
      <c r="E40" s="466">
        <v>249417</v>
      </c>
      <c r="F40" s="466">
        <v>2444</v>
      </c>
      <c r="G40" s="466"/>
      <c r="H40" s="466"/>
      <c r="I40" s="467"/>
      <c r="J40" s="467"/>
      <c r="K40" s="1671">
        <f t="shared" si="2"/>
        <v>862588</v>
      </c>
      <c r="L40" s="466">
        <v>852686</v>
      </c>
    </row>
    <row r="41" spans="1:14" x14ac:dyDescent="0.2">
      <c r="A41" s="1504" t="s">
        <v>1669</v>
      </c>
      <c r="B41" s="614">
        <v>2190</v>
      </c>
      <c r="C41" s="466"/>
      <c r="D41" s="466"/>
      <c r="E41" s="466">
        <v>38103</v>
      </c>
      <c r="F41" s="466"/>
      <c r="G41" s="466"/>
      <c r="H41" s="466"/>
      <c r="I41" s="467"/>
      <c r="J41" s="467"/>
      <c r="K41" s="1671">
        <f t="shared" si="2"/>
        <v>38103</v>
      </c>
      <c r="L41" s="466">
        <v>12000</v>
      </c>
    </row>
    <row r="42" spans="1:14" ht="12.75" customHeight="1" thickBot="1" x14ac:dyDescent="0.25">
      <c r="A42" s="1668" t="s">
        <v>560</v>
      </c>
      <c r="B42" s="1669" t="s">
        <v>716</v>
      </c>
      <c r="C42" s="1670">
        <f>SUM(C36:C41)</f>
        <v>2692952</v>
      </c>
      <c r="D42" s="1670">
        <f t="shared" ref="D42:L42" si="3">SUM(D36:D41)</f>
        <v>557977</v>
      </c>
      <c r="E42" s="1670">
        <f t="shared" si="3"/>
        <v>541480</v>
      </c>
      <c r="F42" s="1670">
        <f t="shared" si="3"/>
        <v>12239</v>
      </c>
      <c r="G42" s="1670">
        <f t="shared" si="3"/>
        <v>0</v>
      </c>
      <c r="H42" s="1670">
        <f t="shared" si="3"/>
        <v>0</v>
      </c>
      <c r="I42" s="1670">
        <f t="shared" si="3"/>
        <v>13108</v>
      </c>
      <c r="J42" s="1670">
        <f t="shared" si="3"/>
        <v>0</v>
      </c>
      <c r="K42" s="1670">
        <f t="shared" si="3"/>
        <v>3817756</v>
      </c>
      <c r="L42" s="1670">
        <f t="shared" si="3"/>
        <v>4319065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1003553</v>
      </c>
      <c r="D44" s="481">
        <v>186469</v>
      </c>
      <c r="E44" s="481">
        <v>603490</v>
      </c>
      <c r="F44" s="481">
        <v>41298</v>
      </c>
      <c r="G44" s="481"/>
      <c r="H44" s="481">
        <v>13122</v>
      </c>
      <c r="I44" s="467">
        <v>6943</v>
      </c>
      <c r="J44" s="467"/>
      <c r="K44" s="1672">
        <f>SUM(C44:J44)</f>
        <v>1854875</v>
      </c>
      <c r="L44" s="481">
        <v>2198745</v>
      </c>
    </row>
    <row r="45" spans="1:14" x14ac:dyDescent="0.2">
      <c r="A45" s="1504" t="s">
        <v>815</v>
      </c>
      <c r="B45" s="614">
        <v>2220</v>
      </c>
      <c r="C45" s="466">
        <v>392616</v>
      </c>
      <c r="D45" s="466">
        <v>82450</v>
      </c>
      <c r="E45" s="466">
        <v>3095</v>
      </c>
      <c r="F45" s="466">
        <v>8152</v>
      </c>
      <c r="G45" s="466"/>
      <c r="H45" s="466"/>
      <c r="I45" s="467">
        <v>2378</v>
      </c>
      <c r="J45" s="467"/>
      <c r="K45" s="1672">
        <f>SUM(C45:J45)</f>
        <v>488691</v>
      </c>
      <c r="L45" s="466">
        <v>536528</v>
      </c>
    </row>
    <row r="46" spans="1:14" x14ac:dyDescent="0.2">
      <c r="A46" s="1504" t="s">
        <v>816</v>
      </c>
      <c r="B46" s="614">
        <v>2230</v>
      </c>
      <c r="C46" s="466"/>
      <c r="D46" s="466"/>
      <c r="E46" s="466">
        <v>22896</v>
      </c>
      <c r="F46" s="466">
        <v>23189</v>
      </c>
      <c r="G46" s="466"/>
      <c r="H46" s="466"/>
      <c r="I46" s="467"/>
      <c r="J46" s="467"/>
      <c r="K46" s="1672">
        <f>SUM(C46:J46)</f>
        <v>46085</v>
      </c>
      <c r="L46" s="466">
        <v>93585</v>
      </c>
    </row>
    <row r="47" spans="1:14" ht="12.75" customHeight="1" thickBot="1" x14ac:dyDescent="0.25">
      <c r="A47" s="1668" t="s">
        <v>561</v>
      </c>
      <c r="B47" s="1669" t="s">
        <v>32</v>
      </c>
      <c r="C47" s="1670">
        <f>SUM(C44:C46)</f>
        <v>1396169</v>
      </c>
      <c r="D47" s="1670">
        <f t="shared" ref="D47:K47" si="4">SUM(D44:D46)</f>
        <v>268919</v>
      </c>
      <c r="E47" s="1670">
        <f t="shared" si="4"/>
        <v>629481</v>
      </c>
      <c r="F47" s="1670">
        <f t="shared" si="4"/>
        <v>72639</v>
      </c>
      <c r="G47" s="1670">
        <f t="shared" si="4"/>
        <v>0</v>
      </c>
      <c r="H47" s="1670">
        <f t="shared" si="4"/>
        <v>13122</v>
      </c>
      <c r="I47" s="1670">
        <f t="shared" si="4"/>
        <v>9321</v>
      </c>
      <c r="J47" s="1670">
        <f t="shared" si="4"/>
        <v>0</v>
      </c>
      <c r="K47" s="1670">
        <f t="shared" si="4"/>
        <v>2389651</v>
      </c>
      <c r="L47" s="1670">
        <f>SUM(L44:L46)</f>
        <v>2828858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177848</v>
      </c>
      <c r="D49" s="481">
        <v>45863</v>
      </c>
      <c r="E49" s="481">
        <v>122785</v>
      </c>
      <c r="F49" s="481">
        <v>6527</v>
      </c>
      <c r="G49" s="481"/>
      <c r="H49" s="481">
        <v>19354</v>
      </c>
      <c r="I49" s="467"/>
      <c r="J49" s="467"/>
      <c r="K49" s="1672">
        <f>SUM(C49:J49)</f>
        <v>372377</v>
      </c>
      <c r="L49" s="481">
        <v>338849</v>
      </c>
    </row>
    <row r="50" spans="1:14" x14ac:dyDescent="0.2">
      <c r="A50" s="1504" t="s">
        <v>818</v>
      </c>
      <c r="B50" s="614">
        <v>2320</v>
      </c>
      <c r="C50" s="466">
        <v>329941</v>
      </c>
      <c r="D50" s="466">
        <v>75808</v>
      </c>
      <c r="E50" s="466">
        <v>1991</v>
      </c>
      <c r="F50" s="466">
        <v>6094</v>
      </c>
      <c r="G50" s="466"/>
      <c r="H50" s="466">
        <v>3522</v>
      </c>
      <c r="I50" s="467"/>
      <c r="J50" s="467"/>
      <c r="K50" s="1672">
        <f>SUM(C50:J50)</f>
        <v>417356</v>
      </c>
      <c r="L50" s="466">
        <v>359996</v>
      </c>
    </row>
    <row r="51" spans="1:14" x14ac:dyDescent="0.2">
      <c r="A51" s="1504" t="s">
        <v>42</v>
      </c>
      <c r="B51" s="614">
        <v>2330</v>
      </c>
      <c r="C51" s="466">
        <v>270230</v>
      </c>
      <c r="D51" s="466">
        <v>63093</v>
      </c>
      <c r="E51" s="466">
        <v>1444</v>
      </c>
      <c r="F51" s="466">
        <v>2582</v>
      </c>
      <c r="G51" s="466"/>
      <c r="H51" s="466">
        <v>1519</v>
      </c>
      <c r="I51" s="467"/>
      <c r="J51" s="467"/>
      <c r="K51" s="1672">
        <f>SUM(C51:J51)</f>
        <v>338868</v>
      </c>
      <c r="L51" s="466">
        <v>347252</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778019</v>
      </c>
      <c r="D53" s="1670">
        <f t="shared" ref="D53:L53" si="5">SUM(D49:D52)</f>
        <v>184764</v>
      </c>
      <c r="E53" s="1670">
        <f t="shared" si="5"/>
        <v>126220</v>
      </c>
      <c r="F53" s="1670">
        <f t="shared" si="5"/>
        <v>15203</v>
      </c>
      <c r="G53" s="1670">
        <f t="shared" si="5"/>
        <v>0</v>
      </c>
      <c r="H53" s="1670">
        <f t="shared" si="5"/>
        <v>24395</v>
      </c>
      <c r="I53" s="1670">
        <f t="shared" si="5"/>
        <v>0</v>
      </c>
      <c r="J53" s="1670">
        <f t="shared" si="5"/>
        <v>0</v>
      </c>
      <c r="K53" s="1670">
        <f t="shared" si="5"/>
        <v>1128601</v>
      </c>
      <c r="L53" s="1670">
        <f t="shared" si="5"/>
        <v>1046097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2463522</v>
      </c>
      <c r="D55" s="481">
        <v>536090</v>
      </c>
      <c r="E55" s="481">
        <v>152</v>
      </c>
      <c r="F55" s="481"/>
      <c r="G55" s="481"/>
      <c r="H55" s="481"/>
      <c r="I55" s="467"/>
      <c r="J55" s="467"/>
      <c r="K55" s="1672">
        <f>SUM(C55:J55)</f>
        <v>2999764</v>
      </c>
      <c r="L55" s="481">
        <v>2987521</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2463522</v>
      </c>
      <c r="D57" s="1674">
        <f t="shared" ref="D57:K57" si="6">SUM(D55:D56)</f>
        <v>536090</v>
      </c>
      <c r="E57" s="1674">
        <f t="shared" si="6"/>
        <v>152</v>
      </c>
      <c r="F57" s="1674">
        <f t="shared" si="6"/>
        <v>0</v>
      </c>
      <c r="G57" s="1674">
        <f t="shared" si="6"/>
        <v>0</v>
      </c>
      <c r="H57" s="1674">
        <f t="shared" si="6"/>
        <v>0</v>
      </c>
      <c r="I57" s="1674">
        <f t="shared" si="6"/>
        <v>0</v>
      </c>
      <c r="J57" s="1674">
        <f t="shared" si="6"/>
        <v>0</v>
      </c>
      <c r="K57" s="1674">
        <f t="shared" si="6"/>
        <v>2999764</v>
      </c>
      <c r="L57" s="1670">
        <f>SUM(L55:L56)</f>
        <v>2987521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82500</v>
      </c>
      <c r="D59" s="481">
        <v>17604</v>
      </c>
      <c r="E59" s="481"/>
      <c r="F59" s="481"/>
      <c r="G59" s="481"/>
      <c r="H59" s="481"/>
      <c r="I59" s="467"/>
      <c r="J59" s="467"/>
      <c r="K59" s="1672">
        <f t="shared" ref="K59:K64" si="7">SUM(C59:J59)</f>
        <v>100104</v>
      </c>
      <c r="L59" s="481">
        <v>99525</v>
      </c>
      <c r="M59" s="609"/>
      <c r="N59" s="609"/>
    </row>
    <row r="60" spans="1:14" s="343" customFormat="1" x14ac:dyDescent="0.2">
      <c r="A60" s="1504" t="s">
        <v>463</v>
      </c>
      <c r="B60" s="614">
        <v>2520</v>
      </c>
      <c r="C60" s="466">
        <v>357647</v>
      </c>
      <c r="D60" s="466">
        <f>43832-6232</f>
        <v>37600</v>
      </c>
      <c r="E60" s="466">
        <v>33287</v>
      </c>
      <c r="F60" s="466">
        <v>3865</v>
      </c>
      <c r="G60" s="466"/>
      <c r="H60" s="466"/>
      <c r="I60" s="467"/>
      <c r="J60" s="467"/>
      <c r="K60" s="1672">
        <f t="shared" si="7"/>
        <v>432399</v>
      </c>
      <c r="L60" s="466">
        <v>387824</v>
      </c>
      <c r="M60" s="609"/>
      <c r="N60" s="609"/>
    </row>
    <row r="61" spans="1:14" s="343" customFormat="1" x14ac:dyDescent="0.2">
      <c r="A61" s="1504" t="s">
        <v>197</v>
      </c>
      <c r="B61" s="614">
        <v>2540</v>
      </c>
      <c r="C61" s="466">
        <v>877396</v>
      </c>
      <c r="D61" s="466">
        <v>189013</v>
      </c>
      <c r="E61" s="466">
        <v>174822</v>
      </c>
      <c r="F61" s="466">
        <v>1397922</v>
      </c>
      <c r="G61" s="466">
        <v>151106</v>
      </c>
      <c r="H61" s="466"/>
      <c r="I61" s="467"/>
      <c r="J61" s="467"/>
      <c r="K61" s="1672">
        <f t="shared" si="7"/>
        <v>2790259</v>
      </c>
      <c r="L61" s="466">
        <v>2266492</v>
      </c>
      <c r="M61" s="609"/>
      <c r="N61" s="609"/>
    </row>
    <row r="62" spans="1:14" s="343" customFormat="1" x14ac:dyDescent="0.2">
      <c r="A62" s="1504" t="s">
        <v>953</v>
      </c>
      <c r="B62" s="614">
        <v>2550</v>
      </c>
      <c r="C62" s="466"/>
      <c r="D62" s="466"/>
      <c r="E62" s="466">
        <v>11335</v>
      </c>
      <c r="F62" s="466"/>
      <c r="G62" s="466"/>
      <c r="H62" s="466"/>
      <c r="I62" s="467"/>
      <c r="J62" s="467"/>
      <c r="K62" s="1672">
        <f t="shared" si="7"/>
        <v>11335</v>
      </c>
      <c r="L62" s="466">
        <v>33500</v>
      </c>
      <c r="M62" s="609"/>
      <c r="N62" s="609"/>
    </row>
    <row r="63" spans="1:14" s="609" customFormat="1" x14ac:dyDescent="0.2">
      <c r="A63" s="1504" t="s">
        <v>100</v>
      </c>
      <c r="B63" s="614">
        <v>2560</v>
      </c>
      <c r="C63" s="466">
        <v>1356439</v>
      </c>
      <c r="D63" s="466">
        <v>292569</v>
      </c>
      <c r="E63" s="466">
        <v>59878</v>
      </c>
      <c r="F63" s="466">
        <v>1972802</v>
      </c>
      <c r="G63" s="466">
        <v>19213</v>
      </c>
      <c r="H63" s="466">
        <v>149</v>
      </c>
      <c r="I63" s="467">
        <v>20566</v>
      </c>
      <c r="J63" s="467"/>
      <c r="K63" s="1672">
        <f t="shared" si="7"/>
        <v>3721616</v>
      </c>
      <c r="L63" s="466">
        <v>3352241</v>
      </c>
    </row>
    <row r="64" spans="1:14" s="609" customFormat="1" x14ac:dyDescent="0.2">
      <c r="A64" s="1509" t="s">
        <v>101</v>
      </c>
      <c r="B64" s="630">
        <v>2570</v>
      </c>
      <c r="C64" s="481">
        <v>15694</v>
      </c>
      <c r="D64" s="481">
        <v>4033</v>
      </c>
      <c r="E64" s="481">
        <v>6926</v>
      </c>
      <c r="F64" s="481">
        <v>4549</v>
      </c>
      <c r="G64" s="481">
        <v>29322</v>
      </c>
      <c r="H64" s="481"/>
      <c r="I64" s="467"/>
      <c r="J64" s="467"/>
      <c r="K64" s="1672">
        <f t="shared" si="7"/>
        <v>60524</v>
      </c>
      <c r="L64" s="481">
        <v>51655</v>
      </c>
    </row>
    <row r="65" spans="1:14" s="343" customFormat="1" ht="12.75" customHeight="1" thickBot="1" x14ac:dyDescent="0.25">
      <c r="A65" s="1668" t="s">
        <v>719</v>
      </c>
      <c r="B65" s="1669" t="s">
        <v>35</v>
      </c>
      <c r="C65" s="1670">
        <f>SUM(C59:C64)</f>
        <v>2689676</v>
      </c>
      <c r="D65" s="1670">
        <f t="shared" ref="D65:L65" si="8">SUM(D59:D64)</f>
        <v>540819</v>
      </c>
      <c r="E65" s="1670">
        <f t="shared" si="8"/>
        <v>286248</v>
      </c>
      <c r="F65" s="1670">
        <f t="shared" si="8"/>
        <v>3379138</v>
      </c>
      <c r="G65" s="1670">
        <f t="shared" si="8"/>
        <v>199641</v>
      </c>
      <c r="H65" s="1670">
        <f t="shared" si="8"/>
        <v>149</v>
      </c>
      <c r="I65" s="1670">
        <f t="shared" si="8"/>
        <v>20566</v>
      </c>
      <c r="J65" s="1670">
        <f t="shared" si="8"/>
        <v>0</v>
      </c>
      <c r="K65" s="1670">
        <f t="shared" si="8"/>
        <v>7116237</v>
      </c>
      <c r="L65" s="1670">
        <f t="shared" si="8"/>
        <v>6191237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37618</v>
      </c>
      <c r="F69" s="466"/>
      <c r="G69" s="466">
        <v>4218</v>
      </c>
      <c r="H69" s="466"/>
      <c r="I69" s="467"/>
      <c r="J69" s="467"/>
      <c r="K69" s="1672">
        <f>SUM(C69:J69)</f>
        <v>41836</v>
      </c>
      <c r="L69" s="466">
        <v>42200</v>
      </c>
      <c r="M69" s="609"/>
      <c r="N69" s="609"/>
    </row>
    <row r="70" spans="1:14" s="343" customFormat="1" x14ac:dyDescent="0.2">
      <c r="A70" s="1504" t="s">
        <v>403</v>
      </c>
      <c r="B70" s="614">
        <v>2640</v>
      </c>
      <c r="C70" s="466">
        <v>256418</v>
      </c>
      <c r="D70" s="466">
        <v>46740</v>
      </c>
      <c r="E70" s="466">
        <v>11598</v>
      </c>
      <c r="F70" s="466">
        <v>1631</v>
      </c>
      <c r="G70" s="466"/>
      <c r="H70" s="466">
        <v>1540</v>
      </c>
      <c r="I70" s="467"/>
      <c r="J70" s="467"/>
      <c r="K70" s="1672">
        <f>SUM(C70:J70)</f>
        <v>317927</v>
      </c>
      <c r="L70" s="466">
        <v>391000</v>
      </c>
      <c r="M70" s="609"/>
      <c r="N70" s="609"/>
    </row>
    <row r="71" spans="1:14" s="343" customFormat="1" x14ac:dyDescent="0.2">
      <c r="A71" s="1504" t="s">
        <v>404</v>
      </c>
      <c r="B71" s="614">
        <v>2660</v>
      </c>
      <c r="C71" s="466">
        <v>541336</v>
      </c>
      <c r="D71" s="466">
        <v>87589</v>
      </c>
      <c r="E71" s="466">
        <v>772706</v>
      </c>
      <c r="F71" s="466">
        <v>280471</v>
      </c>
      <c r="G71" s="466">
        <v>14419</v>
      </c>
      <c r="H71" s="466"/>
      <c r="I71" s="467">
        <v>717714</v>
      </c>
      <c r="J71" s="467"/>
      <c r="K71" s="1672">
        <f>SUM(C71:J71)</f>
        <v>2414235</v>
      </c>
      <c r="L71" s="466">
        <v>1844544</v>
      </c>
      <c r="M71" s="609"/>
      <c r="N71" s="609"/>
    </row>
    <row r="72" spans="1:14" s="343" customFormat="1" ht="12.75" customHeight="1" thickBot="1" x14ac:dyDescent="0.25">
      <c r="A72" s="1668" t="s">
        <v>37</v>
      </c>
      <c r="B72" s="1675" t="s">
        <v>36</v>
      </c>
      <c r="C72" s="1670">
        <f>SUM(C67:C71)</f>
        <v>797754</v>
      </c>
      <c r="D72" s="1670">
        <f t="shared" ref="D72:K72" si="9">SUM(D67:D71)</f>
        <v>134329</v>
      </c>
      <c r="E72" s="1670">
        <f t="shared" si="9"/>
        <v>821922</v>
      </c>
      <c r="F72" s="1670">
        <f t="shared" si="9"/>
        <v>282102</v>
      </c>
      <c r="G72" s="1670">
        <f t="shared" si="9"/>
        <v>18637</v>
      </c>
      <c r="H72" s="1670">
        <f t="shared" si="9"/>
        <v>1540</v>
      </c>
      <c r="I72" s="1670">
        <f t="shared" si="9"/>
        <v>717714</v>
      </c>
      <c r="J72" s="1670">
        <f t="shared" si="9"/>
        <v>0</v>
      </c>
      <c r="K72" s="1670">
        <f t="shared" si="9"/>
        <v>2773998</v>
      </c>
      <c r="L72" s="1670">
        <f>SUM(L67:L71)</f>
        <v>2277744</v>
      </c>
      <c r="M72" s="609"/>
      <c r="N72" s="609"/>
    </row>
    <row r="73" spans="1:14" s="343" customFormat="1" ht="14.25" thickTop="1" thickBot="1" x14ac:dyDescent="0.25">
      <c r="A73" s="1510" t="s">
        <v>980</v>
      </c>
      <c r="B73" s="632" t="s">
        <v>574</v>
      </c>
      <c r="C73" s="573"/>
      <c r="D73" s="573"/>
      <c r="E73" s="573">
        <v>17416</v>
      </c>
      <c r="F73" s="573">
        <v>3417</v>
      </c>
      <c r="G73" s="573"/>
      <c r="H73" s="573"/>
      <c r="I73" s="531"/>
      <c r="J73" s="531"/>
      <c r="K73" s="1670">
        <f>SUM(C73:J73)</f>
        <v>20833</v>
      </c>
      <c r="L73" s="576">
        <v>28250</v>
      </c>
      <c r="M73" s="609"/>
      <c r="N73" s="609"/>
    </row>
    <row r="74" spans="1:14" ht="12.75" customHeight="1" thickTop="1" thickBot="1" x14ac:dyDescent="0.25">
      <c r="A74" s="1668" t="s">
        <v>811</v>
      </c>
      <c r="B74" s="1676">
        <v>2000</v>
      </c>
      <c r="C74" s="1677">
        <f>SUM(C42,C47,C53,C57,C65,C72,C73)</f>
        <v>10818092</v>
      </c>
      <c r="D74" s="1677">
        <f t="shared" ref="D74:K74" si="10">SUM(D42,D47,D53,D57,D65,D72,D73)</f>
        <v>2222898</v>
      </c>
      <c r="E74" s="1677">
        <f t="shared" si="10"/>
        <v>2422919</v>
      </c>
      <c r="F74" s="1677">
        <f t="shared" si="10"/>
        <v>3764738</v>
      </c>
      <c r="G74" s="1677">
        <f t="shared" si="10"/>
        <v>218278</v>
      </c>
      <c r="H74" s="1677">
        <f t="shared" si="10"/>
        <v>39206</v>
      </c>
      <c r="I74" s="1677">
        <f t="shared" si="10"/>
        <v>760709</v>
      </c>
      <c r="J74" s="1677">
        <f t="shared" si="10"/>
        <v>0</v>
      </c>
      <c r="K74" s="1677">
        <f t="shared" si="10"/>
        <v>20246840</v>
      </c>
      <c r="L74" s="1677">
        <f>SUM(L42,L47,L53,L57,L65,L72,L73)</f>
        <v>19678772</v>
      </c>
    </row>
    <row r="75" spans="1:14" s="259" customFormat="1" ht="15.75" customHeight="1" thickTop="1" thickBot="1" x14ac:dyDescent="0.25">
      <c r="A75" s="1610" t="s">
        <v>47</v>
      </c>
      <c r="B75" s="1611" t="s">
        <v>575</v>
      </c>
      <c r="C75" s="573">
        <v>907215</v>
      </c>
      <c r="D75" s="573">
        <f>171089+1</f>
        <v>171090</v>
      </c>
      <c r="E75" s="573">
        <f>92439</f>
        <v>92439</v>
      </c>
      <c r="F75" s="573">
        <v>58781</v>
      </c>
      <c r="G75" s="573"/>
      <c r="H75" s="573"/>
      <c r="I75" s="531">
        <v>11974</v>
      </c>
      <c r="J75" s="531"/>
      <c r="K75" s="1670">
        <f>SUM(C75:J75)</f>
        <v>1241499</v>
      </c>
      <c r="L75" s="576">
        <v>1250025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52639</v>
      </c>
      <c r="F78" s="616"/>
      <c r="G78" s="616"/>
      <c r="H78" s="634">
        <v>882990</v>
      </c>
      <c r="I78" s="477"/>
      <c r="J78" s="477"/>
      <c r="K78" s="1671">
        <f t="shared" ref="K78:K83" si="11">SUM(C78:J78)</f>
        <v>935629</v>
      </c>
      <c r="L78" s="481">
        <v>867785</v>
      </c>
    </row>
    <row r="79" spans="1:14" x14ac:dyDescent="0.2">
      <c r="A79" s="1504" t="s">
        <v>304</v>
      </c>
      <c r="B79" s="614">
        <v>4120</v>
      </c>
      <c r="C79" s="616"/>
      <c r="D79" s="616"/>
      <c r="E79" s="466">
        <v>36883</v>
      </c>
      <c r="F79" s="616"/>
      <c r="G79" s="616"/>
      <c r="H79" s="466">
        <v>122592</v>
      </c>
      <c r="I79" s="477"/>
      <c r="J79" s="477"/>
      <c r="K79" s="1671">
        <f t="shared" si="11"/>
        <v>159475</v>
      </c>
      <c r="L79" s="466">
        <v>44008</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100000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89522</v>
      </c>
      <c r="F84" s="616"/>
      <c r="G84" s="616"/>
      <c r="H84" s="1670">
        <f>SUM(H78:H83)</f>
        <v>1005582</v>
      </c>
      <c r="I84" s="477"/>
      <c r="J84" s="477"/>
      <c r="K84" s="1670">
        <f>SUM(K78:K83)</f>
        <v>1095104</v>
      </c>
      <c r="L84" s="1670">
        <f>SUM(L78:L83)</f>
        <v>1011793</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184240</v>
      </c>
      <c r="I86" s="477"/>
      <c r="J86" s="477"/>
      <c r="K86" s="1677">
        <f t="shared" ref="K86:K98" si="12">H86</f>
        <v>184240</v>
      </c>
      <c r="L86" s="530">
        <v>375000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184240</v>
      </c>
      <c r="I92" s="477"/>
      <c r="J92" s="477"/>
      <c r="K92" s="1677">
        <f t="shared" si="12"/>
        <v>184240</v>
      </c>
      <c r="L92" s="1670">
        <f>SUM(L85:L91)</f>
        <v>375000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89522</v>
      </c>
      <c r="F102" s="616"/>
      <c r="G102" s="616"/>
      <c r="H102" s="1677">
        <f>SUM(H84,H92,H100,H101)</f>
        <v>1189822</v>
      </c>
      <c r="I102" s="477"/>
      <c r="J102" s="477"/>
      <c r="K102" s="1677">
        <f>SUM(K84,K92,K100,K101)</f>
        <v>1279344</v>
      </c>
      <c r="L102" s="1677">
        <f>SUM(L84,L92,L100,L101)</f>
        <v>1386793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1211326</v>
      </c>
      <c r="M113" s="613"/>
      <c r="N113" s="613"/>
    </row>
    <row r="114" spans="1:14" ht="12.75" customHeight="1" thickTop="1" thickBot="1" x14ac:dyDescent="0.25">
      <c r="A114" s="1668" t="s">
        <v>48</v>
      </c>
      <c r="B114" s="1682"/>
      <c r="C114" s="1670">
        <f>SUM(C33,C74,C75,C102,C112,C113)</f>
        <v>38228086</v>
      </c>
      <c r="D114" s="1670">
        <f t="shared" ref="D114:K114" si="13">SUM(D33,D74,D75,D102,D112,D113)</f>
        <v>8872839</v>
      </c>
      <c r="E114" s="1670">
        <f t="shared" si="13"/>
        <v>3675782</v>
      </c>
      <c r="F114" s="1670">
        <f t="shared" si="13"/>
        <v>5096936</v>
      </c>
      <c r="G114" s="1670">
        <f t="shared" si="13"/>
        <v>1808420</v>
      </c>
      <c r="H114" s="1670">
        <f>SUM(H33,H74,H75,H102,H112,H113)</f>
        <v>1969608</v>
      </c>
      <c r="I114" s="1670">
        <f t="shared" si="13"/>
        <v>1332196</v>
      </c>
      <c r="J114" s="1670">
        <f t="shared" si="13"/>
        <v>0</v>
      </c>
      <c r="K114" s="1670">
        <f t="shared" si="13"/>
        <v>60983867</v>
      </c>
      <c r="L114" s="1670">
        <f>SUM(L33,L74,L75,L102,L112,L113)</f>
        <v>62538423</v>
      </c>
    </row>
    <row r="115" spans="1:14" ht="13.5" thickTop="1" x14ac:dyDescent="0.2">
      <c r="A115" s="2155" t="s">
        <v>996</v>
      </c>
      <c r="B115" s="2156"/>
      <c r="C115" s="618"/>
      <c r="D115" s="618"/>
      <c r="E115" s="618"/>
      <c r="F115" s="618"/>
      <c r="G115" s="618"/>
      <c r="H115" s="618"/>
      <c r="I115" s="618"/>
      <c r="J115" s="618"/>
      <c r="K115" s="1684">
        <f>'Revenues 9-14'!C268-'Expenditures 15-22'!K114</f>
        <v>384522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v>109900</v>
      </c>
      <c r="F123" s="466"/>
      <c r="G123" s="466">
        <v>105450</v>
      </c>
      <c r="H123" s="466"/>
      <c r="I123" s="467"/>
      <c r="J123" s="467"/>
      <c r="K123" s="1670">
        <f>SUM(C123:J123)</f>
        <v>215350</v>
      </c>
      <c r="L123" s="466">
        <v>330000</v>
      </c>
    </row>
    <row r="124" spans="1:14" ht="14.25" thickTop="1" thickBot="1" x14ac:dyDescent="0.25">
      <c r="A124" s="1504" t="s">
        <v>197</v>
      </c>
      <c r="B124" s="614">
        <v>2540</v>
      </c>
      <c r="C124" s="466">
        <v>1536570</v>
      </c>
      <c r="D124" s="466">
        <v>266562</v>
      </c>
      <c r="E124" s="466">
        <v>1505238</v>
      </c>
      <c r="F124" s="466">
        <v>419647</v>
      </c>
      <c r="G124" s="466">
        <v>304303</v>
      </c>
      <c r="H124" s="466">
        <v>2991</v>
      </c>
      <c r="I124" s="467">
        <v>108534</v>
      </c>
      <c r="J124" s="467"/>
      <c r="K124" s="1670">
        <f>SUM(C124:J124)</f>
        <v>4143845</v>
      </c>
      <c r="L124" s="466">
        <v>3691578</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1536570</v>
      </c>
      <c r="D127" s="1670">
        <f t="shared" ref="D127:L127" si="14">SUM(D122:D126)</f>
        <v>266562</v>
      </c>
      <c r="E127" s="1670">
        <f t="shared" si="14"/>
        <v>1615138</v>
      </c>
      <c r="F127" s="1670">
        <f t="shared" si="14"/>
        <v>419647</v>
      </c>
      <c r="G127" s="1670">
        <f t="shared" si="14"/>
        <v>409753</v>
      </c>
      <c r="H127" s="1670">
        <f t="shared" si="14"/>
        <v>2991</v>
      </c>
      <c r="I127" s="1670">
        <f t="shared" si="14"/>
        <v>108534</v>
      </c>
      <c r="J127" s="1670">
        <f t="shared" si="14"/>
        <v>0</v>
      </c>
      <c r="K127" s="1670">
        <f t="shared" si="14"/>
        <v>4359195</v>
      </c>
      <c r="L127" s="1670">
        <f t="shared" si="14"/>
        <v>4021578</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1536570</v>
      </c>
      <c r="D129" s="1677">
        <f t="shared" ref="D129:L129" si="15">SUM(D120,D127,D128)</f>
        <v>266562</v>
      </c>
      <c r="E129" s="1677">
        <f t="shared" si="15"/>
        <v>1615138</v>
      </c>
      <c r="F129" s="1677">
        <f t="shared" si="15"/>
        <v>419647</v>
      </c>
      <c r="G129" s="1677">
        <f t="shared" si="15"/>
        <v>409753</v>
      </c>
      <c r="H129" s="1677">
        <f t="shared" si="15"/>
        <v>2991</v>
      </c>
      <c r="I129" s="1677">
        <f t="shared" si="15"/>
        <v>108534</v>
      </c>
      <c r="J129" s="1677">
        <f t="shared" si="15"/>
        <v>0</v>
      </c>
      <c r="K129" s="1677">
        <f t="shared" si="15"/>
        <v>4359195</v>
      </c>
      <c r="L129" s="1677">
        <f t="shared" si="15"/>
        <v>4021578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2" t="s">
        <v>620</v>
      </c>
      <c r="B151" s="2152"/>
      <c r="C151" s="1670">
        <f>SUM(C129,C130,C139,C149,C150)</f>
        <v>1536570</v>
      </c>
      <c r="D151" s="1670">
        <f t="shared" ref="D151:K151" si="16">SUM(D129,D130,D139,D149,D150)</f>
        <v>266562</v>
      </c>
      <c r="E151" s="1670">
        <f t="shared" si="16"/>
        <v>1615138</v>
      </c>
      <c r="F151" s="1670">
        <f t="shared" si="16"/>
        <v>419647</v>
      </c>
      <c r="G151" s="1670">
        <f t="shared" si="16"/>
        <v>409753</v>
      </c>
      <c r="H151" s="1670">
        <f t="shared" si="16"/>
        <v>2991</v>
      </c>
      <c r="I151" s="1670">
        <f t="shared" si="16"/>
        <v>108534</v>
      </c>
      <c r="J151" s="1670">
        <f t="shared" si="16"/>
        <v>0</v>
      </c>
      <c r="K151" s="1670">
        <f t="shared" si="16"/>
        <v>4359195</v>
      </c>
      <c r="L151" s="1670">
        <f>SUM(L129,L130,L139,L149,L150)</f>
        <v>4021578</v>
      </c>
    </row>
    <row r="152" spans="1:14" ht="12.75" customHeight="1" thickTop="1" x14ac:dyDescent="0.2">
      <c r="A152" s="2175" t="s">
        <v>1178</v>
      </c>
      <c r="B152" s="2176"/>
      <c r="C152" s="618"/>
      <c r="D152" s="618"/>
      <c r="E152" s="618"/>
      <c r="F152" s="618"/>
      <c r="G152" s="618"/>
      <c r="H152" s="618"/>
      <c r="I152" s="618"/>
      <c r="J152" s="616"/>
      <c r="K152" s="1684">
        <f>'Revenues 9-14'!D268-'Expenditures 15-22'!K151</f>
        <v>-999946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1541442</v>
      </c>
      <c r="I169" s="616"/>
      <c r="J169" s="616"/>
      <c r="K169" s="1671">
        <f>SUM(C169:H169)</f>
        <v>1541442</v>
      </c>
      <c r="L169" s="656">
        <v>1488887</v>
      </c>
    </row>
    <row r="170" spans="1:14" ht="33.75" customHeight="1" x14ac:dyDescent="0.2">
      <c r="A170" s="669" t="s">
        <v>1670</v>
      </c>
      <c r="B170" s="671" t="s">
        <v>31</v>
      </c>
      <c r="C170" s="616"/>
      <c r="D170" s="616"/>
      <c r="E170" s="616"/>
      <c r="F170" s="616"/>
      <c r="G170" s="616"/>
      <c r="H170" s="569">
        <v>2150405</v>
      </c>
      <c r="I170" s="616"/>
      <c r="J170" s="616"/>
      <c r="K170" s="1671">
        <f>SUM(C170:J170)</f>
        <v>2150405</v>
      </c>
      <c r="L170" s="569">
        <v>1386689</v>
      </c>
    </row>
    <row r="171" spans="1:14" ht="15.75" customHeight="1" x14ac:dyDescent="0.2">
      <c r="A171" s="621" t="s">
        <v>766</v>
      </c>
      <c r="B171" s="672" t="s">
        <v>84</v>
      </c>
      <c r="C171" s="616"/>
      <c r="D171" s="616"/>
      <c r="E171" s="466">
        <v>2225</v>
      </c>
      <c r="F171" s="616"/>
      <c r="G171" s="616"/>
      <c r="H171" s="569"/>
      <c r="I171" s="477"/>
      <c r="J171" s="616"/>
      <c r="K171" s="1671">
        <f>SUM(C171:J171)</f>
        <v>2225</v>
      </c>
      <c r="L171" s="569">
        <v>2150</v>
      </c>
    </row>
    <row r="172" spans="1:14" ht="12.75" customHeight="1" thickBot="1" x14ac:dyDescent="0.25">
      <c r="A172" s="1668" t="s">
        <v>638</v>
      </c>
      <c r="B172" s="1669" t="s">
        <v>492</v>
      </c>
      <c r="C172" s="616"/>
      <c r="D172" s="616"/>
      <c r="E172" s="1677">
        <f>SUM(E168,E169,E170,E171)</f>
        <v>2225</v>
      </c>
      <c r="F172" s="616"/>
      <c r="G172" s="616"/>
      <c r="H172" s="1677">
        <f>SUM(H168,H169,H170,H171)</f>
        <v>3691847</v>
      </c>
      <c r="I172" s="638"/>
      <c r="J172" s="616"/>
      <c r="K172" s="1677">
        <f>SUM(K168,K169,K170,K171)</f>
        <v>3694072</v>
      </c>
      <c r="L172" s="1677">
        <f>SUM(L168,L169,L170,L171)</f>
        <v>2877726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2225</v>
      </c>
      <c r="F174" s="616"/>
      <c r="G174" s="616"/>
      <c r="H174" s="1677">
        <f>SUM(H160,H172,H173)</f>
        <v>3691847</v>
      </c>
      <c r="I174" s="638"/>
      <c r="J174" s="616"/>
      <c r="K174" s="1677">
        <f>SUM(K160,K172,K173)</f>
        <v>3694072</v>
      </c>
      <c r="L174" s="1677">
        <f>SUM(L160,L172,L173)</f>
        <v>2877726</v>
      </c>
    </row>
    <row r="175" spans="1:14" ht="13.5" thickTop="1" x14ac:dyDescent="0.2">
      <c r="A175" s="2155" t="s">
        <v>996</v>
      </c>
      <c r="B175" s="2156"/>
      <c r="C175" s="616"/>
      <c r="D175" s="616"/>
      <c r="E175" s="616"/>
      <c r="F175" s="616"/>
      <c r="G175" s="616"/>
      <c r="H175" s="618"/>
      <c r="I175" s="616"/>
      <c r="J175" s="616"/>
      <c r="K175" s="1684">
        <f>'Revenues 9-14'!E268-'Expenditures 15-22'!K174</f>
        <v>-903605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v>71729</v>
      </c>
      <c r="D180" s="466">
        <v>2636</v>
      </c>
      <c r="E180" s="466"/>
      <c r="F180" s="466"/>
      <c r="G180" s="466"/>
      <c r="H180" s="466"/>
      <c r="I180" s="467"/>
      <c r="J180" s="467"/>
      <c r="K180" s="1671">
        <f>SUM(C180:J180)</f>
        <v>74365</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40500</v>
      </c>
      <c r="D182" s="466">
        <v>7958</v>
      </c>
      <c r="E182" s="466">
        <v>4535867</v>
      </c>
      <c r="F182" s="466">
        <v>361998</v>
      </c>
      <c r="G182" s="466"/>
      <c r="H182" s="466"/>
      <c r="I182" s="467"/>
      <c r="J182" s="467"/>
      <c r="K182" s="1671">
        <f>SUM(C182:J182)</f>
        <v>4946323</v>
      </c>
      <c r="L182" s="466">
        <v>4508631</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112229</v>
      </c>
      <c r="D184" s="1677">
        <f t="shared" ref="D184:J184" si="17">SUM(D180,D182,D183)</f>
        <v>10594</v>
      </c>
      <c r="E184" s="1677">
        <f t="shared" si="17"/>
        <v>4535867</v>
      </c>
      <c r="F184" s="1677">
        <f t="shared" si="17"/>
        <v>361998</v>
      </c>
      <c r="G184" s="1677">
        <f t="shared" si="17"/>
        <v>0</v>
      </c>
      <c r="H184" s="1677">
        <f t="shared" si="17"/>
        <v>0</v>
      </c>
      <c r="I184" s="1677">
        <f t="shared" si="17"/>
        <v>0</v>
      </c>
      <c r="J184" s="1677">
        <f t="shared" si="17"/>
        <v>0</v>
      </c>
      <c r="K184" s="1677">
        <f>SUM(K180,K182,K183)</f>
        <v>5020688</v>
      </c>
      <c r="L184" s="1677">
        <f>SUM(L180, L182:L183)</f>
        <v>4508631</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112229</v>
      </c>
      <c r="D210" s="1670">
        <f>SUM(D184,D185)</f>
        <v>10594</v>
      </c>
      <c r="E210" s="1670">
        <f>SUM(E184,E185,E196)</f>
        <v>4535867</v>
      </c>
      <c r="F210" s="1670">
        <f>SUM(F184,F185)</f>
        <v>361998</v>
      </c>
      <c r="G210" s="1670">
        <f>SUM(G184,G185)</f>
        <v>0</v>
      </c>
      <c r="H210" s="1670">
        <f>SUM(H184,H185,H196,H208,H209)</f>
        <v>0</v>
      </c>
      <c r="I210" s="1670">
        <f>SUM(I184,I185)</f>
        <v>0</v>
      </c>
      <c r="J210" s="1670">
        <f>SUM(J184,J185)</f>
        <v>0</v>
      </c>
      <c r="K210" s="1671">
        <f>SUM(K184,K185,K196,K208,K209)</f>
        <v>5020688</v>
      </c>
      <c r="L210" s="1670">
        <f>SUM(L184,L185,L196,L208,L209)</f>
        <v>4508631</v>
      </c>
    </row>
    <row r="211" spans="1:14" ht="13.5" thickTop="1" x14ac:dyDescent="0.2">
      <c r="A211" s="2155" t="s">
        <v>996</v>
      </c>
      <c r="B211" s="2156"/>
      <c r="C211" s="618"/>
      <c r="D211" s="618"/>
      <c r="E211" s="618"/>
      <c r="F211" s="618"/>
      <c r="G211" s="618"/>
      <c r="H211" s="618"/>
      <c r="I211" s="616"/>
      <c r="J211" s="616"/>
      <c r="K211" s="1684">
        <f>'Revenues 9-14'!F268-'Expenditures 15-22'!K210</f>
        <v>-63273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533785</v>
      </c>
      <c r="E215" s="616"/>
      <c r="F215" s="616"/>
      <c r="G215" s="616"/>
      <c r="H215" s="616"/>
      <c r="I215" s="616"/>
      <c r="J215" s="616"/>
      <c r="K215" s="1671">
        <f>D215</f>
        <v>533785</v>
      </c>
      <c r="L215" s="466">
        <v>324898</v>
      </c>
    </row>
    <row r="216" spans="1:14" x14ac:dyDescent="0.2">
      <c r="A216" s="1504" t="s">
        <v>163</v>
      </c>
      <c r="B216" s="614" t="s">
        <v>967</v>
      </c>
      <c r="C216" s="616"/>
      <c r="D216" s="467">
        <v>28978</v>
      </c>
      <c r="E216" s="616"/>
      <c r="F216" s="616"/>
      <c r="G216" s="616"/>
      <c r="H216" s="616"/>
      <c r="I216" s="616"/>
      <c r="J216" s="616"/>
      <c r="K216" s="1671">
        <f t="shared" ref="K216:K228" si="19">D216</f>
        <v>28978</v>
      </c>
      <c r="L216" s="466">
        <v>227807</v>
      </c>
    </row>
    <row r="217" spans="1:14" x14ac:dyDescent="0.2">
      <c r="A217" s="1504" t="s">
        <v>164</v>
      </c>
      <c r="B217" s="614">
        <v>1200</v>
      </c>
      <c r="C217" s="616"/>
      <c r="D217" s="466">
        <v>318933</v>
      </c>
      <c r="E217" s="616"/>
      <c r="F217" s="616"/>
      <c r="G217" s="616"/>
      <c r="H217" s="616"/>
      <c r="I217" s="616"/>
      <c r="J217" s="616"/>
      <c r="K217" s="1671">
        <f t="shared" si="19"/>
        <v>318933</v>
      </c>
      <c r="L217" s="466">
        <v>397875</v>
      </c>
    </row>
    <row r="218" spans="1:14" x14ac:dyDescent="0.2">
      <c r="A218" s="1504" t="s">
        <v>278</v>
      </c>
      <c r="B218" s="614" t="s">
        <v>968</v>
      </c>
      <c r="C218" s="616"/>
      <c r="D218" s="467"/>
      <c r="E218" s="616"/>
      <c r="F218" s="616"/>
      <c r="G218" s="616"/>
      <c r="H218" s="616"/>
      <c r="I218" s="616"/>
      <c r="J218" s="616"/>
      <c r="K218" s="1671">
        <f t="shared" si="19"/>
        <v>0</v>
      </c>
      <c r="L218" s="466">
        <v>19072</v>
      </c>
    </row>
    <row r="219" spans="1:14" x14ac:dyDescent="0.2">
      <c r="A219" s="1504" t="s">
        <v>279</v>
      </c>
      <c r="B219" s="614">
        <v>1250</v>
      </c>
      <c r="C219" s="616"/>
      <c r="D219" s="466">
        <v>123032</v>
      </c>
      <c r="E219" s="616"/>
      <c r="F219" s="616"/>
      <c r="G219" s="616"/>
      <c r="H219" s="616"/>
      <c r="I219" s="616"/>
      <c r="J219" s="616"/>
      <c r="K219" s="1671">
        <f t="shared" si="19"/>
        <v>123032</v>
      </c>
      <c r="L219" s="466">
        <v>108903</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23</v>
      </c>
      <c r="E222" s="616"/>
      <c r="F222" s="616"/>
      <c r="G222" s="616"/>
      <c r="H222" s="616"/>
      <c r="I222" s="616"/>
      <c r="J222" s="616"/>
      <c r="K222" s="1671">
        <f t="shared" si="19"/>
        <v>23</v>
      </c>
      <c r="L222" s="466">
        <v>0</v>
      </c>
    </row>
    <row r="223" spans="1:14" x14ac:dyDescent="0.2">
      <c r="A223" s="1504" t="s">
        <v>963</v>
      </c>
      <c r="B223" s="614">
        <v>1500</v>
      </c>
      <c r="C223" s="616"/>
      <c r="D223" s="466">
        <v>27584</v>
      </c>
      <c r="E223" s="616"/>
      <c r="F223" s="616"/>
      <c r="G223" s="616"/>
      <c r="H223" s="616"/>
      <c r="I223" s="616"/>
      <c r="J223" s="616"/>
      <c r="K223" s="1671">
        <f t="shared" si="19"/>
        <v>27584</v>
      </c>
      <c r="L223" s="466">
        <v>23733</v>
      </c>
    </row>
    <row r="224" spans="1:14" x14ac:dyDescent="0.2">
      <c r="A224" s="1504" t="s">
        <v>964</v>
      </c>
      <c r="B224" s="614">
        <v>1600</v>
      </c>
      <c r="C224" s="616"/>
      <c r="D224" s="466">
        <v>6685</v>
      </c>
      <c r="E224" s="616"/>
      <c r="F224" s="616"/>
      <c r="G224" s="616"/>
      <c r="H224" s="616"/>
      <c r="I224" s="616"/>
      <c r="J224" s="616"/>
      <c r="K224" s="1671">
        <f t="shared" si="19"/>
        <v>6685</v>
      </c>
      <c r="L224" s="466">
        <v>4410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631</v>
      </c>
      <c r="E226" s="616"/>
      <c r="F226" s="616"/>
      <c r="G226" s="616"/>
      <c r="H226" s="616"/>
      <c r="I226" s="616"/>
      <c r="J226" s="616"/>
      <c r="K226" s="1671">
        <f t="shared" si="19"/>
        <v>631</v>
      </c>
      <c r="L226" s="466">
        <v>0</v>
      </c>
    </row>
    <row r="227" spans="1:12" x14ac:dyDescent="0.2">
      <c r="A227" s="1504" t="s">
        <v>1087</v>
      </c>
      <c r="B227" s="614">
        <v>1800</v>
      </c>
      <c r="C227" s="616"/>
      <c r="D227" s="466">
        <v>5079</v>
      </c>
      <c r="E227" s="616"/>
      <c r="F227" s="616"/>
      <c r="G227" s="616"/>
      <c r="H227" s="616"/>
      <c r="I227" s="616"/>
      <c r="J227" s="616"/>
      <c r="K227" s="1671">
        <f t="shared" si="19"/>
        <v>5079</v>
      </c>
      <c r="L227" s="466">
        <v>7444</v>
      </c>
    </row>
    <row r="228" spans="1:12" x14ac:dyDescent="0.2">
      <c r="A228" s="1504" t="s">
        <v>1088</v>
      </c>
      <c r="B228" s="614">
        <v>1900</v>
      </c>
      <c r="C228" s="616"/>
      <c r="D228" s="466">
        <v>2035</v>
      </c>
      <c r="E228" s="616"/>
      <c r="F228" s="616"/>
      <c r="G228" s="616"/>
      <c r="H228" s="616"/>
      <c r="I228" s="616"/>
      <c r="J228" s="616"/>
      <c r="K228" s="1671">
        <f t="shared" si="19"/>
        <v>2035</v>
      </c>
      <c r="L228" s="466">
        <v>2088</v>
      </c>
    </row>
    <row r="229" spans="1:12" ht="12.75" customHeight="1" thickBot="1" x14ac:dyDescent="0.25">
      <c r="A229" s="1668" t="s">
        <v>715</v>
      </c>
      <c r="B229" s="1675" t="s">
        <v>570</v>
      </c>
      <c r="C229" s="616"/>
      <c r="D229" s="1670">
        <f>SUM(D215:D228)</f>
        <v>1046765</v>
      </c>
      <c r="E229" s="616"/>
      <c r="F229" s="616"/>
      <c r="G229" s="616"/>
      <c r="H229" s="616"/>
      <c r="I229" s="616"/>
      <c r="J229" s="616"/>
      <c r="K229" s="1670">
        <f>SUM(K215:K228)</f>
        <v>1046765</v>
      </c>
      <c r="L229" s="1670">
        <f>SUM(L215:L228)</f>
        <v>1116230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14860</v>
      </c>
      <c r="E232" s="616"/>
      <c r="F232" s="616"/>
      <c r="G232" s="616"/>
      <c r="H232" s="616"/>
      <c r="I232" s="616"/>
      <c r="J232" s="616"/>
      <c r="K232" s="1671">
        <f t="shared" ref="K232:K237" si="20">D232</f>
        <v>14860</v>
      </c>
      <c r="L232" s="466">
        <v>17276</v>
      </c>
    </row>
    <row r="233" spans="1:12" x14ac:dyDescent="0.2">
      <c r="A233" s="1504" t="s">
        <v>1090</v>
      </c>
      <c r="B233" s="614">
        <v>2120</v>
      </c>
      <c r="C233" s="616"/>
      <c r="D233" s="466">
        <v>13304</v>
      </c>
      <c r="E233" s="616"/>
      <c r="F233" s="616"/>
      <c r="G233" s="616"/>
      <c r="H233" s="616"/>
      <c r="I233" s="616"/>
      <c r="J233" s="616"/>
      <c r="K233" s="1671">
        <f t="shared" si="20"/>
        <v>13304</v>
      </c>
      <c r="L233" s="466">
        <v>11615</v>
      </c>
    </row>
    <row r="234" spans="1:12" x14ac:dyDescent="0.2">
      <c r="A234" s="1504" t="s">
        <v>198</v>
      </c>
      <c r="B234" s="614">
        <v>2130</v>
      </c>
      <c r="C234" s="616"/>
      <c r="D234" s="466">
        <v>79203</v>
      </c>
      <c r="E234" s="616"/>
      <c r="F234" s="616"/>
      <c r="G234" s="616"/>
      <c r="H234" s="616"/>
      <c r="I234" s="616"/>
      <c r="J234" s="616"/>
      <c r="K234" s="1671">
        <f t="shared" si="20"/>
        <v>79203</v>
      </c>
      <c r="L234" s="466">
        <v>91346</v>
      </c>
    </row>
    <row r="235" spans="1:12" x14ac:dyDescent="0.2">
      <c r="A235" s="1504" t="s">
        <v>199</v>
      </c>
      <c r="B235" s="614">
        <v>2140</v>
      </c>
      <c r="C235" s="616"/>
      <c r="D235" s="466">
        <f>5043+2</f>
        <v>5045</v>
      </c>
      <c r="E235" s="616"/>
      <c r="F235" s="616"/>
      <c r="G235" s="616"/>
      <c r="H235" s="616"/>
      <c r="I235" s="616"/>
      <c r="J235" s="616"/>
      <c r="K235" s="1671">
        <f t="shared" si="20"/>
        <v>5045</v>
      </c>
      <c r="L235" s="466">
        <v>5163</v>
      </c>
    </row>
    <row r="236" spans="1:12" x14ac:dyDescent="0.2">
      <c r="A236" s="1504" t="s">
        <v>200</v>
      </c>
      <c r="B236" s="614">
        <v>2150</v>
      </c>
      <c r="C236" s="616"/>
      <c r="D236" s="466">
        <v>9787</v>
      </c>
      <c r="E236" s="616"/>
      <c r="F236" s="616"/>
      <c r="G236" s="616"/>
      <c r="H236" s="616"/>
      <c r="I236" s="616"/>
      <c r="J236" s="616"/>
      <c r="K236" s="1671">
        <f t="shared" si="20"/>
        <v>9787</v>
      </c>
      <c r="L236" s="466">
        <v>7314</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122199</v>
      </c>
      <c r="E238" s="616"/>
      <c r="F238" s="616"/>
      <c r="G238" s="616"/>
      <c r="H238" s="616"/>
      <c r="I238" s="616"/>
      <c r="J238" s="616"/>
      <c r="K238" s="1670">
        <f>SUM(K232:K237)</f>
        <v>122199</v>
      </c>
      <c r="L238" s="1670">
        <f>SUM(L232:L237)</f>
        <v>132714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62261</v>
      </c>
      <c r="E240" s="616"/>
      <c r="F240" s="616"/>
      <c r="G240" s="616"/>
      <c r="H240" s="616"/>
      <c r="I240" s="616"/>
      <c r="J240" s="616"/>
      <c r="K240" s="1672">
        <f>D240</f>
        <v>62261</v>
      </c>
      <c r="L240" s="481">
        <v>53720</v>
      </c>
    </row>
    <row r="241" spans="1:12" x14ac:dyDescent="0.2">
      <c r="A241" s="1504" t="s">
        <v>815</v>
      </c>
      <c r="B241" s="614">
        <v>2220</v>
      </c>
      <c r="C241" s="616"/>
      <c r="D241" s="466">
        <v>67152</v>
      </c>
      <c r="E241" s="616"/>
      <c r="F241" s="616"/>
      <c r="G241" s="616"/>
      <c r="H241" s="616"/>
      <c r="I241" s="616"/>
      <c r="J241" s="616"/>
      <c r="K241" s="1672">
        <f>D241</f>
        <v>67152</v>
      </c>
      <c r="L241" s="466">
        <v>64412</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129413</v>
      </c>
      <c r="E243" s="616"/>
      <c r="F243" s="616"/>
      <c r="G243" s="616"/>
      <c r="H243" s="616"/>
      <c r="I243" s="616"/>
      <c r="J243" s="616"/>
      <c r="K243" s="1670">
        <f>SUM(K240:K242)</f>
        <v>129413</v>
      </c>
      <c r="L243" s="1670">
        <f>SUM(L240:L242)</f>
        <v>118132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8893</v>
      </c>
      <c r="E245" s="616"/>
      <c r="F245" s="616"/>
      <c r="G245" s="616"/>
      <c r="H245" s="616"/>
      <c r="I245" s="616"/>
      <c r="J245" s="616"/>
      <c r="K245" s="1672">
        <f>D245</f>
        <v>8893</v>
      </c>
      <c r="L245" s="481">
        <v>9984</v>
      </c>
    </row>
    <row r="246" spans="1:12" x14ac:dyDescent="0.2">
      <c r="A246" s="1504" t="s">
        <v>818</v>
      </c>
      <c r="B246" s="614">
        <v>2320</v>
      </c>
      <c r="C246" s="616"/>
      <c r="D246" s="466">
        <v>24168</v>
      </c>
      <c r="E246" s="616"/>
      <c r="F246" s="616"/>
      <c r="G246" s="616"/>
      <c r="H246" s="616"/>
      <c r="I246" s="616"/>
      <c r="J246" s="616"/>
      <c r="K246" s="1672">
        <f t="shared" ref="K246:K256" si="21">D246</f>
        <v>24168</v>
      </c>
      <c r="L246" s="466">
        <v>20088</v>
      </c>
    </row>
    <row r="247" spans="1:12" x14ac:dyDescent="0.2">
      <c r="A247" s="1504" t="s">
        <v>819</v>
      </c>
      <c r="B247" s="614">
        <v>2330</v>
      </c>
      <c r="C247" s="616"/>
      <c r="D247" s="466">
        <v>15897</v>
      </c>
      <c r="E247" s="616"/>
      <c r="F247" s="616"/>
      <c r="G247" s="616"/>
      <c r="H247" s="616"/>
      <c r="I247" s="616"/>
      <c r="J247" s="616"/>
      <c r="K247" s="1672">
        <f t="shared" si="21"/>
        <v>15897</v>
      </c>
      <c r="L247" s="466">
        <v>16088</v>
      </c>
    </row>
    <row r="248" spans="1:12" x14ac:dyDescent="0.2">
      <c r="A248" s="1505" t="s">
        <v>299</v>
      </c>
      <c r="B248" s="602" t="s">
        <v>281</v>
      </c>
      <c r="C248" s="616"/>
      <c r="D248" s="474">
        <v>53299</v>
      </c>
      <c r="E248" s="616"/>
      <c r="F248" s="616"/>
      <c r="G248" s="616"/>
      <c r="H248" s="616"/>
      <c r="I248" s="616"/>
      <c r="J248" s="616"/>
      <c r="K248" s="1672">
        <f t="shared" si="21"/>
        <v>53299</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59672</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102257</v>
      </c>
      <c r="E257" s="616"/>
      <c r="F257" s="616"/>
      <c r="G257" s="616"/>
      <c r="H257" s="616"/>
      <c r="I257" s="616"/>
      <c r="J257" s="616"/>
      <c r="K257" s="1670">
        <f>SUM(K245:K256)</f>
        <v>102257</v>
      </c>
      <c r="L257" s="1670">
        <f>SUM(L245:L256)</f>
        <v>105832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194255</v>
      </c>
      <c r="E259" s="616"/>
      <c r="F259" s="616"/>
      <c r="G259" s="616"/>
      <c r="H259" s="616"/>
      <c r="I259" s="616"/>
      <c r="J259" s="616"/>
      <c r="K259" s="1672">
        <f>D259</f>
        <v>194255</v>
      </c>
      <c r="L259" s="481">
        <v>212175</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194255</v>
      </c>
      <c r="E261" s="616"/>
      <c r="F261" s="616"/>
      <c r="G261" s="616"/>
      <c r="H261" s="616"/>
      <c r="I261" s="616"/>
      <c r="J261" s="616"/>
      <c r="K261" s="1670">
        <f>SUM(K259:K260)</f>
        <v>194255</v>
      </c>
      <c r="L261" s="1670">
        <f>SUM(L259:L260)</f>
        <v>212175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1196</v>
      </c>
      <c r="E263" s="616"/>
      <c r="F263" s="616"/>
      <c r="G263" s="616"/>
      <c r="H263" s="616"/>
      <c r="I263" s="616"/>
      <c r="J263" s="616"/>
      <c r="K263" s="1672">
        <f>D263</f>
        <v>1196</v>
      </c>
      <c r="L263" s="481">
        <v>1200</v>
      </c>
    </row>
    <row r="264" spans="1:14" x14ac:dyDescent="0.2">
      <c r="A264" s="1504" t="s">
        <v>463</v>
      </c>
      <c r="B264" s="685">
        <v>2520</v>
      </c>
      <c r="C264" s="616"/>
      <c r="D264" s="466">
        <v>62244</v>
      </c>
      <c r="E264" s="616"/>
      <c r="F264" s="616"/>
      <c r="G264" s="616"/>
      <c r="H264" s="616"/>
      <c r="I264" s="616"/>
      <c r="J264" s="616"/>
      <c r="K264" s="1672">
        <f t="shared" ref="K264:K269" si="22">D264</f>
        <v>62244</v>
      </c>
      <c r="L264" s="466">
        <v>53093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405382</v>
      </c>
      <c r="E266" s="616"/>
      <c r="F266" s="616"/>
      <c r="G266" s="616"/>
      <c r="H266" s="616"/>
      <c r="I266" s="616"/>
      <c r="J266" s="616"/>
      <c r="K266" s="1672">
        <f t="shared" si="22"/>
        <v>405382</v>
      </c>
      <c r="L266" s="466">
        <v>343291</v>
      </c>
    </row>
    <row r="267" spans="1:14" x14ac:dyDescent="0.2">
      <c r="A267" s="1504" t="s">
        <v>953</v>
      </c>
      <c r="B267" s="614">
        <v>2550</v>
      </c>
      <c r="C267" s="616"/>
      <c r="D267" s="466">
        <v>587</v>
      </c>
      <c r="E267" s="616"/>
      <c r="F267" s="616"/>
      <c r="G267" s="616"/>
      <c r="H267" s="616"/>
      <c r="I267" s="616"/>
      <c r="J267" s="616"/>
      <c r="K267" s="1672">
        <f t="shared" si="22"/>
        <v>587</v>
      </c>
      <c r="L267" s="466">
        <v>0</v>
      </c>
    </row>
    <row r="268" spans="1:14" x14ac:dyDescent="0.2">
      <c r="A268" s="1504" t="s">
        <v>100</v>
      </c>
      <c r="B268" s="614">
        <v>2560</v>
      </c>
      <c r="C268" s="616"/>
      <c r="D268" s="466">
        <v>230110</v>
      </c>
      <c r="E268" s="616"/>
      <c r="F268" s="616"/>
      <c r="G268" s="616"/>
      <c r="H268" s="616"/>
      <c r="I268" s="616"/>
      <c r="J268" s="616"/>
      <c r="K268" s="1672">
        <f t="shared" si="22"/>
        <v>230110</v>
      </c>
      <c r="L268" s="466">
        <v>203335</v>
      </c>
    </row>
    <row r="269" spans="1:14" x14ac:dyDescent="0.2">
      <c r="A269" s="1504" t="s">
        <v>101</v>
      </c>
      <c r="B269" s="614">
        <v>2570</v>
      </c>
      <c r="C269" s="616"/>
      <c r="D269" s="466">
        <v>2777</v>
      </c>
      <c r="E269" s="616"/>
      <c r="F269" s="616"/>
      <c r="G269" s="616"/>
      <c r="H269" s="616"/>
      <c r="I269" s="616"/>
      <c r="J269" s="616"/>
      <c r="K269" s="1672">
        <f t="shared" si="22"/>
        <v>2777</v>
      </c>
      <c r="L269" s="466">
        <v>0</v>
      </c>
    </row>
    <row r="270" spans="1:14" ht="12.75" customHeight="1" thickBot="1" x14ac:dyDescent="0.25">
      <c r="A270" s="1668" t="s">
        <v>719</v>
      </c>
      <c r="B270" s="1675" t="s">
        <v>35</v>
      </c>
      <c r="C270" s="616"/>
      <c r="D270" s="1670">
        <f>SUM(D263:D269)</f>
        <v>702296</v>
      </c>
      <c r="E270" s="616"/>
      <c r="F270" s="616"/>
      <c r="G270" s="616"/>
      <c r="H270" s="616"/>
      <c r="I270" s="616"/>
      <c r="J270" s="616"/>
      <c r="K270" s="1670">
        <f>SUM(K263:K269)</f>
        <v>702296</v>
      </c>
      <c r="L270" s="1670">
        <f>SUM(L263:L269)</f>
        <v>600919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v>29764</v>
      </c>
      <c r="E275" s="616"/>
      <c r="F275" s="616"/>
      <c r="G275" s="616"/>
      <c r="H275" s="616"/>
      <c r="I275" s="616"/>
      <c r="J275" s="616"/>
      <c r="K275" s="1672">
        <f>D275</f>
        <v>29764</v>
      </c>
      <c r="L275" s="466">
        <v>56612</v>
      </c>
    </row>
    <row r="276" spans="1:12" x14ac:dyDescent="0.2">
      <c r="A276" s="1504" t="s">
        <v>404</v>
      </c>
      <c r="B276" s="614">
        <v>2660</v>
      </c>
      <c r="C276" s="616"/>
      <c r="D276" s="466">
        <v>90316</v>
      </c>
      <c r="E276" s="616"/>
      <c r="F276" s="616"/>
      <c r="G276" s="616"/>
      <c r="H276" s="616"/>
      <c r="I276" s="616"/>
      <c r="J276" s="616"/>
      <c r="K276" s="1672">
        <f>D276</f>
        <v>90316</v>
      </c>
      <c r="L276" s="466">
        <v>66142</v>
      </c>
    </row>
    <row r="277" spans="1:12" ht="12.75" customHeight="1" thickBot="1" x14ac:dyDescent="0.25">
      <c r="A277" s="1691" t="s">
        <v>37</v>
      </c>
      <c r="B277" s="1669" t="s">
        <v>36</v>
      </c>
      <c r="C277" s="616"/>
      <c r="D277" s="1670">
        <f>SUM(D272:D276)</f>
        <v>120080</v>
      </c>
      <c r="E277" s="616"/>
      <c r="F277" s="616"/>
      <c r="G277" s="616"/>
      <c r="H277" s="616"/>
      <c r="I277" s="616"/>
      <c r="J277" s="616"/>
      <c r="K277" s="1670">
        <f>SUM(K272:K276)</f>
        <v>120080</v>
      </c>
      <c r="L277" s="1670">
        <f>SUM(L272:L276)</f>
        <v>122754</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1370500</v>
      </c>
      <c r="E279" s="616"/>
      <c r="F279" s="616"/>
      <c r="G279" s="616"/>
      <c r="H279" s="616"/>
      <c r="I279" s="616"/>
      <c r="J279" s="616"/>
      <c r="K279" s="1677">
        <f>SUM(K238,K243,K257,K261,K270,K277,K278)</f>
        <v>1370500</v>
      </c>
      <c r="L279" s="1677">
        <f>SUM(L238,L243,L257,L261,L270,L277,L278)</f>
        <v>1292526</v>
      </c>
    </row>
    <row r="280" spans="1:12" ht="15.75" customHeight="1" thickTop="1" thickBot="1" x14ac:dyDescent="0.25">
      <c r="A280" s="1624" t="s">
        <v>875</v>
      </c>
      <c r="B280" s="1613">
        <v>3000</v>
      </c>
      <c r="C280" s="616"/>
      <c r="D280" s="576">
        <v>150184</v>
      </c>
      <c r="E280" s="616"/>
      <c r="F280" s="616"/>
      <c r="G280" s="616"/>
      <c r="H280" s="616"/>
      <c r="I280" s="616"/>
      <c r="J280" s="616"/>
      <c r="K280" s="1679">
        <f>D280</f>
        <v>150184</v>
      </c>
      <c r="L280" s="576">
        <v>153003</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3" t="s">
        <v>505</v>
      </c>
      <c r="B295" s="2174"/>
      <c r="C295" s="616"/>
      <c r="D295" s="1670">
        <f>SUM(D229,D279,D280,D285)</f>
        <v>2567449</v>
      </c>
      <c r="E295" s="616"/>
      <c r="F295" s="616"/>
      <c r="G295" s="616"/>
      <c r="H295" s="1670">
        <f>H293</f>
        <v>0</v>
      </c>
      <c r="I295" s="616"/>
      <c r="J295" s="616"/>
      <c r="K295" s="1670">
        <f>SUM(K229,K279,K280,K285,K293,K294)</f>
        <v>2567449</v>
      </c>
      <c r="L295" s="1670">
        <f>SUM(L229,L279,L280,L285,L293,L294)</f>
        <v>2561759</v>
      </c>
    </row>
    <row r="296" spans="1:14" ht="13.5" thickTop="1" x14ac:dyDescent="0.2">
      <c r="A296" s="2155" t="s">
        <v>996</v>
      </c>
      <c r="B296" s="2156"/>
      <c r="C296" s="616"/>
      <c r="D296" s="618"/>
      <c r="E296" s="616"/>
      <c r="F296" s="616"/>
      <c r="G296" s="616"/>
      <c r="H296" s="687"/>
      <c r="I296" s="616"/>
      <c r="J296" s="616"/>
      <c r="K296" s="1684">
        <f>'Revenues 9-14'!G268-'Expenditures 15-22'!K295</f>
        <v>69071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489588</v>
      </c>
      <c r="H301" s="466"/>
      <c r="I301" s="467"/>
      <c r="J301" s="467"/>
      <c r="K301" s="1671">
        <f>SUM(C301:J301)</f>
        <v>489588</v>
      </c>
      <c r="L301" s="467">
        <v>464231</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489588</v>
      </c>
      <c r="H303" s="1677">
        <f t="shared" si="23"/>
        <v>0</v>
      </c>
      <c r="I303" s="1677">
        <f t="shared" si="23"/>
        <v>0</v>
      </c>
      <c r="J303" s="1677">
        <f t="shared" si="23"/>
        <v>0</v>
      </c>
      <c r="K303" s="1677">
        <f t="shared" si="23"/>
        <v>489588</v>
      </c>
      <c r="L303" s="1677">
        <f t="shared" si="23"/>
        <v>464231</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489588</v>
      </c>
      <c r="H312" s="1670">
        <f>SUM(H303,H310)</f>
        <v>0</v>
      </c>
      <c r="I312" s="1670">
        <f>SUM(I303)</f>
        <v>0</v>
      </c>
      <c r="J312" s="1670">
        <f>SUM(J303)</f>
        <v>0</v>
      </c>
      <c r="K312" s="1670">
        <f>SUM(K303,K310,K311)</f>
        <v>489588</v>
      </c>
      <c r="L312" s="1670">
        <f>SUM(L303,L310,L311)</f>
        <v>464231</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-447280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v>167679</v>
      </c>
      <c r="F320" s="467"/>
      <c r="G320" s="467"/>
      <c r="H320" s="467"/>
      <c r="I320" s="467"/>
      <c r="J320" s="467"/>
      <c r="K320" s="1671">
        <f t="shared" ref="K320:K327" si="24">SUM(C320:J320)</f>
        <v>167679</v>
      </c>
      <c r="L320" s="467">
        <v>200000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169874</v>
      </c>
      <c r="F322" s="467"/>
      <c r="G322" s="467"/>
      <c r="H322" s="467"/>
      <c r="I322" s="467"/>
      <c r="J322" s="467"/>
      <c r="K322" s="1671">
        <f t="shared" si="24"/>
        <v>169874</v>
      </c>
      <c r="L322" s="467">
        <v>190000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775367</v>
      </c>
      <c r="D325" s="467">
        <v>159243</v>
      </c>
      <c r="E325" s="467">
        <v>234899</v>
      </c>
      <c r="F325" s="467"/>
      <c r="G325" s="467"/>
      <c r="H325" s="467"/>
      <c r="I325" s="467"/>
      <c r="J325" s="467"/>
      <c r="K325" s="1671">
        <f t="shared" si="24"/>
        <v>1169509</v>
      </c>
      <c r="L325" s="467">
        <v>1037963</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126163</v>
      </c>
      <c r="F327" s="467"/>
      <c r="G327" s="467"/>
      <c r="H327" s="467"/>
      <c r="I327" s="467"/>
      <c r="J327" s="467"/>
      <c r="K327" s="1671">
        <f t="shared" si="24"/>
        <v>126163</v>
      </c>
      <c r="L327" s="467">
        <v>100000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775367</v>
      </c>
      <c r="D330" s="1670">
        <f t="shared" ref="D330:J330" si="25">SUM(D319:D329)</f>
        <v>159243</v>
      </c>
      <c r="E330" s="1670">
        <f t="shared" si="25"/>
        <v>698615</v>
      </c>
      <c r="F330" s="1670">
        <f t="shared" si="25"/>
        <v>0</v>
      </c>
      <c r="G330" s="1670">
        <f t="shared" si="25"/>
        <v>0</v>
      </c>
      <c r="H330" s="1670">
        <f t="shared" si="25"/>
        <v>0</v>
      </c>
      <c r="I330" s="1670">
        <f t="shared" si="25"/>
        <v>0</v>
      </c>
      <c r="J330" s="1670">
        <f t="shared" si="25"/>
        <v>0</v>
      </c>
      <c r="K330" s="1670">
        <f>SUM(K319:K329)</f>
        <v>1633225</v>
      </c>
      <c r="L330" s="1670">
        <f>SUM(L319:L329)</f>
        <v>1527963</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775367</v>
      </c>
      <c r="D342" s="1670">
        <f>SUM(D330)</f>
        <v>159243</v>
      </c>
      <c r="E342" s="1670">
        <f>SUM(E330)</f>
        <v>698615</v>
      </c>
      <c r="F342" s="1670">
        <f>SUM(F330)</f>
        <v>0</v>
      </c>
      <c r="G342" s="1670">
        <f>SUM(G330)</f>
        <v>0</v>
      </c>
      <c r="H342" s="1670">
        <f>SUM(H330,H334,H340)</f>
        <v>0</v>
      </c>
      <c r="I342" s="1670">
        <f>SUM(I330)</f>
        <v>0</v>
      </c>
      <c r="J342" s="1670">
        <f>SUM(J330)</f>
        <v>0</v>
      </c>
      <c r="K342" s="1670">
        <f>SUM(K330,K334,K340)</f>
        <v>1633225</v>
      </c>
      <c r="L342" s="1677">
        <f>SUM(L330,L340,L341)</f>
        <v>1527963</v>
      </c>
    </row>
    <row r="343" spans="1:14" ht="12.75" customHeight="1" thickTop="1" x14ac:dyDescent="0.2">
      <c r="A343" s="2168" t="s">
        <v>996</v>
      </c>
      <c r="B343" s="2169"/>
      <c r="C343" s="616"/>
      <c r="D343" s="616"/>
      <c r="E343" s="616"/>
      <c r="F343" s="616"/>
      <c r="G343" s="616"/>
      <c r="H343" s="616"/>
      <c r="I343" s="616"/>
      <c r="J343" s="616"/>
      <c r="K343" s="1684">
        <f>'Revenues 9-14'!J268-'Expenditures 15-22'!K342</f>
        <v>24660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105627</v>
      </c>
      <c r="H348" s="466"/>
      <c r="I348" s="467"/>
      <c r="J348" s="467"/>
      <c r="K348" s="1671">
        <f>SUM(C348:J348)</f>
        <v>105627</v>
      </c>
      <c r="L348" s="466">
        <v>170298</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105627</v>
      </c>
      <c r="H350" s="1670">
        <f t="shared" si="26"/>
        <v>0</v>
      </c>
      <c r="I350" s="1670">
        <f t="shared" si="26"/>
        <v>0</v>
      </c>
      <c r="J350" s="1670">
        <f t="shared" si="26"/>
        <v>0</v>
      </c>
      <c r="K350" s="1670">
        <f t="shared" si="26"/>
        <v>105627</v>
      </c>
      <c r="L350" s="1670">
        <f t="shared" si="26"/>
        <v>170298</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105627</v>
      </c>
      <c r="H352" s="1670">
        <f t="shared" si="27"/>
        <v>0</v>
      </c>
      <c r="I352" s="1670">
        <f t="shared" si="27"/>
        <v>0</v>
      </c>
      <c r="J352" s="1670">
        <f t="shared" si="27"/>
        <v>0</v>
      </c>
      <c r="K352" s="1670">
        <f t="shared" si="27"/>
        <v>105627</v>
      </c>
      <c r="L352" s="1670">
        <f t="shared" si="27"/>
        <v>170298</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105627</v>
      </c>
      <c r="H367" s="1670">
        <f t="shared" si="28"/>
        <v>0</v>
      </c>
      <c r="I367" s="1670">
        <f t="shared" si="28"/>
        <v>0</v>
      </c>
      <c r="J367" s="1670">
        <f t="shared" si="28"/>
        <v>0</v>
      </c>
      <c r="K367" s="1670">
        <f t="shared" si="28"/>
        <v>105627</v>
      </c>
      <c r="L367" s="1670">
        <f t="shared" si="28"/>
        <v>170298</v>
      </c>
    </row>
    <row r="368" spans="1:14" ht="13.5" thickTop="1" x14ac:dyDescent="0.2">
      <c r="A368" s="2155" t="s">
        <v>996</v>
      </c>
      <c r="B368" s="2156"/>
      <c r="C368" s="654"/>
      <c r="D368" s="654"/>
      <c r="E368" s="626"/>
      <c r="F368" s="626"/>
      <c r="G368" s="626"/>
      <c r="H368" s="626"/>
      <c r="I368" s="626"/>
      <c r="J368" s="623"/>
      <c r="K368" s="1671">
        <f>'Revenues 9-14'!K268-'Expenditures 15-22'!K367</f>
        <v>61353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schemas.microsoft.com/office/infopath/2007/PartnerControls"/>
    <ds:schemaRef ds:uri="http://purl.org/dc/elements/1.1/"/>
    <ds:schemaRef ds:uri="http://purl.org/dc/terms/"/>
    <ds:schemaRef ds:uri="4d435f69-8686-490b-bd6d-b153bf22ab50"/>
    <ds:schemaRef ds:uri="http://schemas.microsoft.com/sharepoint/v3"/>
    <ds:schemaRef ds:uri="http://schemas.microsoft.com/office/2006/documentManagement/types"/>
    <ds:schemaRef ds:uri="6ce3111e-7420-4802-b50a-75d4e9a0b980"/>
    <ds:schemaRef ds:uri="http://schemas.openxmlformats.org/package/2006/metadata/core-properties"/>
    <ds:schemaRef ds:uri="d21dc803-237d-4c68-8692-8d731fd29118"/>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Short-Term Long-Term Debt 2 (2</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BAXTER CHRISTOPHER</dc:creator>
  <cp:lastModifiedBy>BAXTER CHRISTOPHER</cp:lastModifiedBy>
  <cp:lastPrinted>2019-11-11T16:49:48Z</cp:lastPrinted>
  <dcterms:created xsi:type="dcterms:W3CDTF">2019-12-30T14:38:50Z</dcterms:created>
  <dcterms:modified xsi:type="dcterms:W3CDTF">2019-12-30T14:38:50Z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bName">
    <vt:lpwstr>Reports - Separately issue SI (AFR)</vt:lpwstr>
  </property>
  <property fmtid="{D5CDD505-2E9C-101B-9397-08002B2CF9AE}" pid="3" name="tabIndex">
    <vt:lpwstr>0105</vt:lpwstr>
  </property>
  <property fmtid="{D5CDD505-2E9C-101B-9397-08002B2CF9AE}" pid="4" name="workpaperIndex">
    <vt:lpwstr>0105.12</vt:lpwstr>
  </property>
</Properties>
</file>