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4EA3474-8D77-4D05-AD73-3880F4E1687B}"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Sheet1" sheetId="183"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2)" sheetId="184" r:id="rId29"/>
    <sheet name=" SEFA (3)" sheetId="185" r:id="rId30"/>
    <sheet name=" SEFA" sheetId="179"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30">' SEFA'!$B$1:$M$46</definedName>
    <definedName name="_xlnm.Print_Area" localSheetId="28">' SEFA (2)'!$B$1:$M$46</definedName>
    <definedName name="_xlnm.Print_Area" localSheetId="29">' SEFA (3)'!$B$1:$M$46</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30">#REF!</definedName>
    <definedName name="SCHADDRS" localSheetId="28">#REF!</definedName>
    <definedName name="SCHADDRS" localSheetId="29">#REF!</definedName>
    <definedName name="SCHADDRS" localSheetId="18">#REF!</definedName>
    <definedName name="SCHADDRS" localSheetId="22">#REF!</definedName>
    <definedName name="SCHADDRS" localSheetId="5">#REF!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30">#REF!</definedName>
    <definedName name="SCHCTY" localSheetId="28">#REF!</definedName>
    <definedName name="SCHCTY" localSheetId="29">#REF!</definedName>
    <definedName name="SCHCTY" localSheetId="18">#REF!</definedName>
    <definedName name="SCHCTY" localSheetId="22">#REF!</definedName>
    <definedName name="SCHCTY" localSheetId="5">#REF!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30">#REF!</definedName>
    <definedName name="SCHNMBR" localSheetId="28">#REF!</definedName>
    <definedName name="SCHNMBR" localSheetId="29">#REF!</definedName>
    <definedName name="SCHNMBR" localSheetId="18">#REF!</definedName>
    <definedName name="SCHNMBR" localSheetId="22">#REF!</definedName>
    <definedName name="SCHNMBR" localSheetId="5">#REF!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30">#REF!</definedName>
    <definedName name="SCHNME" localSheetId="28">#REF!</definedName>
    <definedName name="SCHNME" localSheetId="29">#REF!</definedName>
    <definedName name="SCHNME" localSheetId="18">#REF!</definedName>
    <definedName name="SCHNME" localSheetId="22">#REF!</definedName>
    <definedName name="SCHNME" localSheetId="5">#REF!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30">#REF!</definedName>
    <definedName name="SUPT" localSheetId="28">#REF!</definedName>
    <definedName name="SUPT" localSheetId="29">#REF!</definedName>
    <definedName name="SUPT" localSheetId="18">#REF!</definedName>
    <definedName name="SUPT" localSheetId="22">#REF!</definedName>
    <definedName name="SUPT" localSheetId="5">#REF!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5" l="1"/>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2" i="179"/>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61" i="127"/>
  <c r="B62" i="127"/>
  <c r="E26" i="108"/>
  <c r="G26" i="108"/>
  <c r="D27" i="108"/>
  <c r="E27" i="108"/>
  <c r="F27" i="108"/>
  <c r="G27" i="108"/>
  <c r="F28" i="108"/>
  <c r="F31" i="108"/>
  <c r="F36" i="108"/>
  <c r="G28" i="108"/>
  <c r="G29" i="108"/>
  <c r="G30" i="108"/>
  <c r="D31" i="108"/>
  <c r="D36" i="108"/>
  <c r="E31" i="108"/>
  <c r="G31" i="108"/>
  <c r="E33"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B7074" i="106" l="1"/>
  <c r="D7074" i="106" s="1"/>
  <c r="J352" i="29"/>
  <c r="J367" i="29" s="1"/>
  <c r="B7245" i="106" s="1"/>
  <c r="B3647" i="106"/>
  <c r="D3647" i="106" s="1"/>
  <c r="E34" i="108"/>
  <c r="H365" i="29"/>
  <c r="B7242" i="106" s="1"/>
  <c r="D7242" i="106" s="1"/>
  <c r="C342" i="29"/>
  <c r="B7216" i="106" s="1"/>
  <c r="D7216" i="106" s="1"/>
  <c r="H28" i="118"/>
  <c r="D69" i="36"/>
  <c r="G210" i="29"/>
  <c r="F77" i="4"/>
  <c r="B3255" i="106" s="1"/>
  <c r="D3255" i="106" s="1"/>
  <c r="F19" i="7"/>
  <c r="B1807" i="106" s="1"/>
  <c r="D1807" i="106" s="1"/>
  <c r="J77" i="4"/>
  <c r="B6262" i="106" s="1"/>
  <c r="D6262" i="106" s="1"/>
  <c r="J41" i="3"/>
  <c r="D51" i="3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365" i="29" l="1"/>
  <c r="G170" i="5"/>
  <c r="B5778" i="106" s="1"/>
  <c r="D5778" i="106" s="1"/>
  <c r="N23" i="3"/>
  <c r="B284" i="106" s="1"/>
  <c r="D284" i="106" s="1"/>
  <c r="D7254" i="106"/>
  <c r="D7256" i="106"/>
  <c r="D44" i="36"/>
  <c r="D7250" i="106"/>
  <c r="B1381" i="106"/>
  <c r="D1381" i="106" s="1"/>
  <c r="B1365" i="106"/>
  <c r="D1365" i="106" s="1"/>
  <c r="F65" i="34"/>
  <c r="C114" i="29"/>
  <c r="B757" i="106" s="1"/>
  <c r="D757" i="106" s="1"/>
  <c r="L16" i="11"/>
  <c r="B2061" i="106" s="1"/>
  <c r="D2061"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<sst xmlns="http://schemas.openxmlformats.org/spreadsheetml/2006/main" count="5257" uniqueCount="2156">
  <si>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</si>
  <si>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</si>
  <si>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</si>
  <si>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</si>
  <si>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</si>
  <si>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</si>
  <si>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</si>
  <si>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</si>
  <si>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</si>
  <si>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</si>
  <si>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</si>
  <si>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</si>
  <si>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</si>
  <si>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</si>
  <si>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</si>
  <si>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</si>
  <si>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</si>
  <si>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</si>
  <si>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</si>
  <si>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</si>
  <si>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</si>
  <si>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</si>
  <si>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</si>
  <si>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</si>
  <si>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</si>
  <si>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</si>
  <si>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</si>
  <si>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</si>
  <si>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</si>
  <si>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</si>
  <si>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</si>
  <si>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</si>
  <si>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</si>
  <si>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</si>
  <si>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</si>
  <si>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</si>
  <si>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</si>
  <si>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</si>
  <si>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</si>
  <si>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</si>
  <si>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</si>
  <si>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</si>
  <si>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</si>
  <si>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</si>
  <si>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</si>
  <si>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</si>
  <si>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</si>
  <si>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</si>
  <si>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</si>
  <si>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</si>
  <si>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</si>
  <si>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</si>
  <si>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</si>
  <si>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</si>
  <si>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</si>
  <si>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</si>
  <si>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</si>
  <si>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</si>
  <si>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</si>
  <si>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</si>
  <si>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</si>
  <si>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</si>
  <si>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</si>
  <si>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</si>
  <si>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</si>
  <si>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</si>
  <si>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</si>
  <si>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</si>
  <si>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</si>
  <si>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</si>
  <si>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</si>
  <si>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</si>
  <si>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</si>
  <si>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</si>
  <si>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</si>
  <si>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</si>
  <si>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</si>
  <si>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</si>
  <si>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</si>
  <si>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</si>
  <si>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</si>
  <si>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</si>
  <si>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</si>
  <si>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</si>
  <si>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</si>
  <si>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</si>
  <si>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</si>
  <si>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</si>
  <si>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</si>
  <si>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</si>
  <si>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</si>
  <si>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</si>
  <si>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</si>
  <si>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</si>
  <si>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</si>
  <si>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</si>
  <si>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</si>
  <si>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</si>
  <si>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</si>
  <si>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</si>
  <si>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</si>
  <si>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</si>
  <si>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</si>
  <si>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</si>
  <si>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</si>
  <si>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</si>
  <si>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</si>
  <si>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</si>
  <si>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</si>
  <si>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</si>
  <si>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</si>
  <si>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</si>
  <si>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</si>
  <si>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</si>
  <si>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</si>
  <si>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</si>
  <si>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</si>
  <si>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</si>
  <si>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</si>
  <si>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</si>
  <si>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</si>
  <si>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</si>
  <si>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</si>
  <si>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</si>
  <si>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</si>
  <si>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</si>
  <si>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</si>
  <si>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</si>
  <si>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</si>
  <si>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</si>
  <si>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</si>
  <si>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</si>
  <si>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</si>
  <si>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</si>
  <si>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</si>
  <si>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</si>
  <si>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</si>
  <si>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</si>
  <si>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</si>
  <si>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</si>
  <si>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</si>
  <si>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</si>
  <si>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</si>
  <si>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</si>
  <si>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</si>
  <si>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</si>
  <si>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</si>
  <si>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</si>
  <si>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</si>
  <si>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</si>
  <si>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</si>
  <si>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</si>
  <si>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</si>
  <si>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</si>
  <si>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</si>
  <si>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</si>
  <si>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</si>
  <si>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</si>
  <si>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</si>
  <si>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</si>
  <si>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</si>
  <si>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</si>
  <si>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</si>
  <si>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</si>
  <si>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</si>
  <si>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</si>
  <si>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</si>
  <si>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</si>
  <si>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</si>
  <si>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</si>
  <si>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</si>
  <si>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</si>
  <si>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</si>
  <si>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</si>
  <si>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</si>
  <si>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</si>
  <si>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</si>
  <si>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</si>
  <si>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</si>
  <si>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</si>
  <si>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</si>
  <si>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</si>
  <si>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</si>
  <si>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</si>
  <si>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</si>
  <si>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</si>
  <si>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</si>
  <si>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</si>
  <si>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</si>
  <si>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</si>
  <si>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</si>
  <si>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</si>
  <si>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</si>
  <si>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</si>
  <si>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</si>
  <si>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</si>
  <si>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</si>
  <si>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</si>
  <si>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</si>
  <si>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</si>
  <si>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</si>
  <si>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</si>
  <si>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</si>
  <si>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</si>
  <si>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</si>
  <si>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</si>
  <si>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</si>
  <si>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</si>
  <si>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</si>
  <si>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</si>
  <si>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</si>
  <si>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</si>
  <si>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</si>
  <si>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</si>
  <si>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</si>
  <si>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</si>
  <si>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</si>
  <si>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</si>
  <si>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</si>
  <si>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</si>
  <si>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</si>
  <si>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</si>
  <si>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</si>
  <si>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</si>
  <si>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</si>
  <si>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</si>
  <si>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</si>
  <si>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</si>
  <si>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</si>
  <si>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</si>
  <si>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</si>
  <si>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</si>
  <si>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</si>
  <si>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</si>
  <si>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</si>
  <si>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</si>
  <si>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</si>
  <si>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</si>
  <si>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</si>
  <si>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</si>
  <si>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</si>
  <si>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</si>
  <si>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</si>
  <si>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</si>
  <si>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</si>
  <si>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</si>
  <si>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</si>
  <si>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</si>
  <si>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</si>
  <si>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</si>
  <si>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</si>
  <si>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</si>
  <si>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</si>
  <si>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</si>
  <si>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</si>
  <si>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</si>
  <si>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</si>
  <si>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</si>
  <si>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</si>
  <si>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</si>
  <si>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</si>
  <si>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</si>
  <si>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</si>
  <si>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</si>
  <si>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</si>
  <si>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</si>
  <si>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</si>
  <si>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</si>
  <si>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</si>
  <si>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</si>
  <si>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</si>
  <si>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</si>
  <si>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</si>
  <si>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</si>
  <si>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</si>
  <si>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</si>
  <si>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</si>
  <si>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</si>
  <si>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</si>
  <si>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</si>
  <si>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</si>
  <si>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</si>
  <si>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</si>
  <si>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</si>
  <si>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</si>
  <si>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</si>
  <si>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</si>
  <si>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</si>
  <si>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</si>
  <si>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</si>
  <si>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</si>
  <si>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</si>
  <si>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</si>
  <si>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</si>
  <si>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</si>
  <si>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</si>
  <si>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</si>
  <si>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</si>
  <si>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</si>
  <si>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</si>
  <si>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</si>
  <si>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</si>
  <si>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</si>
  <si>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</si>
  <si>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</si>
  <si>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</si>
  <si>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</si>
  <si>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</si>
  <si>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</si>
  <si>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</si>
  <si>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</si>
  <si>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</si>
  <si>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</si>
  <si>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</si>
  <si>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</si>
  <si>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</si>
  <si>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</si>
  <si>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</si>
  <si>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</si>
  <si>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</si>
  <si>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</si>
  <si>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</si>
  <si>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</si>
  <si>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</si>
  <si>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</si>
  <si>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</si>
  <si>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</si>
  <si>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</si>
  <si>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</si>
  <si>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</si>
  <si>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</si>
  <si>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</si>
  <si>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</si>
  <si>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</si>
  <si>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</si>
  <si>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</si>
  <si>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</si>
  <si>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</si>
  <si>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</si>
  <si>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</si>
  <si>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</si>
  <si>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</si>
  <si>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</si>
  <si>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</si>
  <si>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</si>
  <si>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</si>
  <si>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</si>
  <si>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</si>
  <si>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</si>
  <si>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</si>
  <si>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</si>
  <si>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</si>
  <si>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</si>
  <si>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</si>
  <si>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</si>
  <si>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</si>
  <si>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</si>
  <si>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</si>
  <si>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</si>
  <si>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</si>
  <si>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</si>
  <si>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</si>
  <si>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</si>
  <si>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</si>
  <si>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</si>
  <si>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</si>
  <si>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</si>
  <si>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</si>
  <si>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</si>
  <si>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</si>
  <si>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</si>
  <si>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</si>
  <si>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</si>
  <si>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</si>
  <si>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</si>
  <si>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</si>
  <si>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</si>
  <si>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</si>
  <si>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</si>
  <si>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</si>
  <si>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</si>
  <si>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</si>
  <si>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</si>
  <si>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</si>
  <si>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</si>
  <si>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</si>
  <si>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</si>
  <si>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</si>
  <si>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</si>
  <si>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</si>
  <si>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</si>
  <si>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</si>
  <si>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</si>
  <si>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</si>
  <si>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</si>
  <si>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</si>
  <si>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</si>
  <si>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</si>
  <si>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</si>
  <si>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</si>
  <si>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</si>
  <si>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</si>
  <si>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</si>
  <si>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</si>
  <si>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</si>
  <si>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</si>
  <si>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</si>
  <si>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</si>
  <si>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</si>
  <si>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</si>
  <si>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</si>
  <si>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</si>
  <si>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</si>
  <si>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</si>
  <si>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</si>
  <si>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</si>
  <si>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</si>
  <si>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</si>
  <si>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</si>
  <si>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</si>
  <si>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</si>
  <si>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</si>
  <si>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</si>
  <si>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</si>
  <si>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</si>
  <si>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</si>
  <si>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</si>
  <si>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</si>
  <si>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</si>
  <si>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</si>
  <si>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</si>
  <si>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</si>
  <si>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</si>
  <si>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</si>
  <si>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</si>
  <si>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</si>
  <si>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</si>
  <si>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</si>
  <si>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</si>
  <si>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</si>
  <si>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</si>
  <si>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</si>
  <si>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</si>
  <si>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</si>
  <si>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</si>
  <si>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</si>
  <si>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</si>
  <si>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</si>
  <si>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</si>
  <si>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</si>
  <si>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</si>
  <si>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</si>
  <si>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</si>
  <si>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</si>
  <si>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</si>
  <si>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</si>
  <si>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</si>
  <si>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</si>
  <si>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</si>
  <si>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</si>
  <si>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</si>
  <si>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</si>
  <si>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</si>
  <si>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</si>
  <si>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</si>
  <si>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</si>
  <si>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</si>
  <si>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</si>
  <si>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</si>
  <si>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</si>
  <si>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</si>
  <si>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</si>
  <si>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</si>
  <si>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</si>
  <si>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</si>
  <si>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</si>
  <si>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</si>
  <si>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</si>
  <si>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</si>
  <si>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</si>
  <si>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</si>
  <si>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</si>
  <si>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</si>
  <si>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</si>
  <si>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</si>
  <si>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</si>
  <si>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</si>
  <si>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</si>
  <si>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</si>
  <si>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</si>
  <si>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</si>
  <si>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</si>
  <si>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</si>
  <si>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</si>
  <si>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</si>
  <si>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</si>
  <si>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</si>
  <si>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</si>
  <si>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</si>
  <si>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</si>
  <si>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</si>
  <si>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</si>
  <si>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</si>
  <si>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</si>
  <si>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</si>
  <si>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</si>
  <si>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</si>
  <si>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</si>
  <si>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</si>
  <si>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</si>
  <si>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</si>
  <si>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</si>
  <si>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</si>
  <si>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</si>
  <si>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</si>
  <si>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</si>
  <si>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</si>
  <si>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</si>
  <si>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</si>
  <si>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</si>
  <si>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</si>
  <si>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</si>
  <si>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</si>
  <si>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</si>
  <si>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</si>
  <si>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</si>
  <si>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</si>
  <si>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</si>
  <si>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</si>
  <si>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</si>
  <si>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</si>
  <si>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</si>
  <si>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</si>
  <si>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</si>
  <si>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</si>
  <si>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</si>
  <si>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</si>
  <si>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</si>
  <si>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</si>
  <si>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</si>
  <si>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</si>
  <si>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</si>
  <si>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</si>
  <si>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</si>
  <si>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</si>
  <si>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</si>
  <si>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</si>
  <si>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</si>
  <si>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</si>
  <si>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</si>
  <si>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</si>
  <si>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</si>
  <si>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</si>
  <si>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</si>
  <si>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</si>
  <si>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</si>
  <si>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</si>
  <si>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</si>
  <si>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</si>
  <si>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</si>
  <si>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</si>
  <si>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</si>
  <si>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</si>
  <si>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</si>
  <si>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</si>
  <si>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</si>
  <si>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</si>
  <si>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</si>
  <si>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</si>
  <si>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</si>
  <si>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</si>
  <si>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</si>
  <si>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</si>
  <si>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</si>
  <si>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</si>
  <si>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</si>
  <si>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</si>
  <si>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</si>
  <si>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</si>
  <si>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</si>
  <si>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</si>
  <si>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</si>
  <si>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</si>
  <si>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</si>
  <si>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</si>
  <si>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</si>
  <si>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</si>
  <si>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</si>
  <si>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</si>
  <si>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</si>
  <si>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</si>
  <si>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</si>
  <si>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</si>
  <si>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</si>
  <si>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</si>
  <si>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</si>
  <si>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</si>
  <si>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</si>
  <si>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</si>
  <si>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</si>
  <si>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</si>
  <si>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</si>
  <si>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</si>
  <si>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</si>
  <si>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</si>
  <si>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</si>
  <si>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</si>
  <si>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</si>
  <si>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</si>
  <si>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</si>
  <si>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</si>
  <si>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</si>
  <si>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</si>
  <si>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</si>
  <si>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</si>
  <si>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</si>
  <si>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</si>
  <si>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</si>
  <si>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</si>
  <si>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</si>
  <si>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</si>
  <si>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</si>
  <si>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</si>
  <si>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</si>
  <si>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</si>
  <si>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</si>
  <si>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</si>
  <si>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</si>
  <si>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</si>
  <si>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</si>
  <si>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</si>
  <si>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</si>
  <si>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</si>
  <si>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</si>
  <si>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</si>
  <si>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</si>
  <si>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</si>
  <si>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</si>
  <si>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</si>
  <si>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</si>
  <si>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</si>
  <si>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</si>
  <si>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</si>
  <si>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</si>
  <si>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</si>
  <si>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</si>
  <si>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</si>
  <si>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</si>
  <si>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</si>
  <si>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</si>
  <si>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</si>
  <si>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</si>
  <si>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</si>
  <si>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</si>
  <si>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</si>
  <si>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</si>
  <si>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</si>
  <si>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</si>
  <si>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</si>
  <si>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</si>
  <si>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</si>
  <si>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</si>
  <si>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</si>
  <si>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</si>
  <si>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</si>
  <si>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</si>
  <si>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</si>
  <si>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</si>
  <si>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</si>
  <si>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</si>
  <si>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</si>
  <si>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</si>
  <si>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</si>
  <si>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</si>
  <si>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</si>
  <si>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</si>
  <si>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</si>
  <si>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</si>
  <si>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</si>
  <si>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</si>
  <si>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</si>
  <si>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</si>
  <si>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</si>
  <si>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</si>
  <si>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</si>
  <si>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</si>
  <si>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</si>
  <si>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</si>
  <si>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</si>
  <si>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</si>
  <si>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</si>
  <si>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</si>
  <si>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</si>
  <si>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</si>
  <si>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</si>
  <si>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</si>
  <si>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</si>
  <si>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</si>
  <si>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</si>
  <si>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</si>
  <si>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</si>
  <si>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</si>
  <si>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</si>
  <si>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</si>
  <si>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</si>
  <si>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</si>
  <si>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</si>
  <si>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</si>
  <si>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</si>
  <si>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</si>
  <si>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</si>
  <si>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</si>
  <si>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</si>
  <si>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</si>
  <si>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</si>
  <si>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</si>
  <si>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</si>
  <si>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</si>
  <si>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</si>
  <si>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</si>
  <si>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</si>
  <si>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</si>
  <si>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</si>
  <si>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</si>
  <si>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</si>
  <si>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</si>
  <si>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</si>
  <si>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</si>
  <si>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</si>
  <si>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</si>
  <si>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</si>
  <si>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</si>
  <si>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</si>
  <si>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</si>
  <si>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</si>
  <si>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</si>
  <si>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</si>
  <si>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</si>
  <si>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</si>
  <si>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</si>
  <si>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</si>
  <si>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</si>
  <si>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</si>
  <si>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</si>
  <si>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</si>
  <si>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</si>
  <si>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</si>
  <si>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</si>
  <si>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</si>
  <si>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</si>
  <si>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</si>
  <si>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</si>
  <si>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</si>
  <si>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</si>
  <si>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</si>
  <si>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</si>
  <si>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</si>
  <si>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</si>
  <si>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</si>
  <si>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</si>
  <si>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</si>
  <si>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</si>
  <si>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</si>
  <si>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</si>
  <si>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</si>
  <si>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</si>
  <si>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</si>
  <si>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</si>
  <si>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</si>
  <si>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</si>
  <si>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</si>
  <si>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</si>
  <si>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</si>
  <si>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</si>
  <si>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</si>
  <si>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</si>
  <si>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</si>
  <si>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</si>
  <si>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</si>
  <si>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</si>
  <si>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</si>
  <si>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</si>
  <si>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</si>
  <si>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</si>
  <si>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</si>
  <si>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</si>
  <si>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</si>
  <si>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</si>
  <si>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</si>
  <si>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</si>
  <si>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</si>
  <si>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</si>
  <si>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</si>
  <si>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</si>
  <si>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</si>
  <si>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</si>
  <si>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</si>
  <si>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</si>
  <si>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</si>
  <si>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</si>
  <si>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</si>
  <si>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</si>
  <si>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</si>
  <si>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</si>
  <si>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</si>
  <si>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</si>
  <si>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</si>
  <si>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</si>
  <si>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</si>
  <si>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</si>
  <si>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</si>
  <si>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</si>
  <si>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</si>
  <si>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</si>
  <si>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</si>
  <si>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</si>
  <si>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</si>
  <si>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</si>
  <si>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</si>
  <si>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</si>
  <si>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</si>
  <si>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</si>
  <si>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</si>
  <si>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</si>
  <si>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</si>
  <si>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</si>
  <si>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</si>
  <si>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</si>
  <si>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</si>
  <si>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</si>
  <si>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</si>
  <si>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</si>
  <si>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</si>
  <si>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</si>
  <si>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</si>
  <si>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</si>
  <si>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</si>
  <si>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</si>
  <si>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</si>
  <si>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</si>
  <si>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</si>
  <si>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</si>
  <si>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</si>
  <si>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</si>
  <si>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</si>
  <si>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</si>
  <si>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</si>
  <si>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</si>
  <si>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</si>
  <si>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</si>
  <si>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</si>
  <si>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</si>
  <si>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</si>
  <si>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</si>
  <si>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</si>
  <si>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</si>
  <si>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</si>
  <si>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</si>
  <si>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</si>
  <si>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</si>
  <si>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</si>
  <si>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</si>
  <si>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</si>
  <si>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</si>
  <si>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</si>
  <si>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</si>
  <si>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</si>
  <si>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</si>
  <si>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</si>
  <si>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</si>
  <si>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</si>
  <si>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</si>
  <si>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</si>
  <si>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</si>
  <si>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</si>
  <si>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</si>
  <si>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</si>
  <si>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</si>
  <si>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</si>
  <si>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</si>
  <si>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</si>
  <si>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</si>
  <si>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</si>
  <si>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</si>
  <si>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</si>
  <si>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</si>
  <si>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</si>
  <si>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</si>
  <si>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</si>
  <si>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</si>
  <si>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</si>
  <si>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</si>
  <si>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</si>
  <si>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</si>
  <si>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</si>
  <si>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</si>
  <si>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</si>
  <si>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</si>
  <si>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</si>
  <si>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</si>
  <si>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</si>
  <si>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</si>
  <si>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</si>
  <si>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</si>
  <si>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</si>
  <si>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</si>
  <si>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</si>
  <si>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</si>
  <si>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</si>
  <si>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</si>
  <si>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</si>
  <si>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</si>
  <si>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</si>
  <si>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</si>
  <si>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</si>
  <si>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</si>
  <si>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</si>
  <si>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</si>
  <si>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</si>
  <si>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</si>
  <si>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</si>
  <si>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</si>
  <si>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</si>
  <si>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</si>
  <si>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</si>
  <si>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</si>
  <si>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</si>
  <si>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</si>
  <si>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</si>
  <si>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</si>
  <si>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</si>
  <si>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</si>
  <si>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</si>
  <si>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</si>
  <si>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</si>
  <si>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</si>
  <si>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</si>
  <si>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</si>
  <si>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</si>
  <si>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</si>
  <si>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</si>
  <si>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</si>
  <si>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</si>
  <si>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</si>
  <si>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</si>
  <si>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</si>
  <si>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</si>
  <si>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</si>
  <si>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</si>
  <si>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</si>
  <si>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</si>
  <si>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</si>
  <si>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</si>
  <si>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</si>
  <si>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</si>
  <si>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</si>
  <si>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</si>
  <si>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</si>
  <si>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</si>
  <si>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</si>
  <si>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</si>
  <si>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</si>
  <si>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</si>
  <si>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</si>
  <si>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</si>
  <si>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</si>
  <si>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</si>
  <si>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</si>
  <si>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</si>
  <si>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</si>
  <si>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</si>
  <si>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</si>
  <si>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</si>
  <si>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</si>
  <si>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</si>
  <si>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</si>
  <si>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</si>
  <si>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</si>
  <si>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</si>
  <si>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</si>
  <si>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</si>
  <si>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</si>
  <si>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</si>
  <si>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</si>
  <si>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</si>
  <si>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</si>
  <si>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</si>
  <si>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</si>
  <si>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</si>
  <si>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</si>
  <si>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</si>
  <si>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</si>
  <si>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</si>
  <si>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</si>
  <si>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</si>
  <si>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</si>
  <si>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</si>
  <si>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</si>
  <si>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</si>
  <si>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</si>
  <si>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</si>
  <si>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</si>
  <si>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</si>
  <si>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</si>
  <si>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</si>
  <si>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</si>
  <si>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</si>
  <si>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</si>
  <si>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</si>
  <si>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</si>
  <si>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</si>
  <si>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</si>
  <si>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</si>
  <si>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</si>
  <si>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</si>
  <si>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</si>
  <si>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</si>
  <si>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</si>
  <si>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</si>
  <si>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</si>
  <si>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</si>
  <si>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</si>
  <si>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</si>
  <si>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</si>
  <si>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</si>
  <si>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</si>
  <si>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</si>
  <si>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</si>
  <si>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</si>
  <si>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</si>
  <si>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</si>
  <si>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</si>
  <si>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</si>
  <si>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</si>
  <si>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</si>
  <si>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</si>
  <si>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</si>
  <si>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</si>
  <si>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</si>
  <si>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</si>
  <si>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</si>
  <si>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</si>
  <si>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</si>
  <si>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</si>
  <si>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</si>
  <si>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</si>
  <si>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</si>
  <si>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</si>
  <si>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</si>
  <si>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</si>
  <si>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</si>
  <si>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</si>
  <si>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</si>
  <si>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</si>
  <si>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</si>
  <si>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</si>
  <si>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</si>
  <si>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</si>
  <si>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</si>
  <si>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</si>
  <si>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</si>
  <si>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</si>
  <si>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</si>
  <si>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</si>
  <si>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</si>
  <si>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</si>
  <si>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</si>
  <si>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</si>
  <si>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</si>
  <si>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</si>
  <si>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</si>
  <si>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</si>
  <si>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</si>
  <si>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</si>
  <si>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</si>
  <si>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</si>
  <si>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</si>
  <si>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</si>
  <si>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</si>
  <si>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</si>
  <si>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</si>
  <si>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</si>
  <si>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</si>
  <si>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</si>
  <si>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</si>
  <si>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</si>
  <si>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</si>
  <si>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</si>
  <si>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</si>
  <si>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</si>
  <si>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</si>
  <si>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</si>
  <si>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</si>
  <si>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</si>
  <si>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</si>
  <si>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</si>
  <si>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</si>
  <si>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</si>
  <si>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</si>
  <si>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</si>
  <si>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</si>
  <si>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</si>
  <si>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</si>
  <si>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</si>
  <si>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</si>
  <si>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</si>
  <si>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</si>
  <si>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</si>
  <si>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</si>
  <si>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</si>
  <si>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</si>
  <si>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</si>
  <si>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</si>
  <si>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</si>
  <si>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</si>
  <si>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</si>
  <si>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</si>
  <si>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</si>
  <si>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</si>
  <si>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</si>
  <si>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</si>
  <si>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</si>
  <si>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</si>
  <si>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</si>
  <si>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</si>
  <si>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</si>
  <si>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</si>
  <si>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</si>
  <si>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</si>
  <si>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</si>
  <si>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</si>
  <si>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</si>
  <si>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</si>
  <si>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</si>
  <si>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</si>
  <si>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</si>
  <si>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</si>
  <si>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</si>
  <si>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</si>
  <si>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</si>
  <si>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</si>
  <si>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</si>
  <si>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</si>
  <si>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</si>
  <si>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</si>
  <si>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</si>
  <si>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</si>
  <si>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</si>
  <si>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</si>
  <si>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</si>
  <si>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</si>
  <si>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</si>
  <si>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</si>
  <si>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</si>
  <si>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</si>
  <si>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</si>
  <si>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</si>
  <si>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</si>
  <si>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</si>
  <si>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</si>
  <si>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</si>
  <si>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</si>
  <si>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</si>
  <si>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</si>
  <si>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</si>
  <si>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</si>
  <si>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</si>
  <si>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</si>
  <si>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</si>
  <si>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</si>
  <si>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</si>
  <si>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</si>
  <si>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</si>
  <si>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</si>
  <si>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</si>
  <si>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</si>
  <si>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</si>
  <si>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</si>
  <si>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</si>
  <si>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</si>
  <si>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</si>
  <si>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</si>
  <si>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</si>
  <si>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</si>
  <si>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</si>
  <si>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</si>
  <si>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</si>
  <si>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</si>
  <si>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</si>
  <si>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</si>
  <si>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</si>
  <si>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</si>
  <si>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</si>
  <si>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</si>
  <si>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</si>
  <si>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</si>
  <si>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</si>
  <si>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</si>
  <si>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</si>
  <si>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</si>
  <si>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</si>
  <si>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</si>
  <si>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</si>
  <si>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</si>
  <si>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</si>
  <si>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</si>
  <si>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</si>
  <si>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</si>
  <si>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</si>
  <si>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</si>
  <si>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</si>
  <si>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</si>
  <si>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</si>
  <si>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</si>
  <si>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</si>
  <si>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</si>
  <si>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</si>
  <si>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</si>
  <si>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</si>
  <si>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</si>
  <si>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</si>
  <si>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</si>
  <si>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</si>
  <si>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</si>
  <si>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</si>
  <si>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</si>
  <si>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</si>
  <si>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</si>
  <si>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</si>
  <si>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</si>
  <si>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</si>
  <si>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</si>
  <si>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</si>
  <si>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</si>
  <si>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</si>
  <si>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</si>
  <si>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</si>
  <si>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</si>
  <si>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</si>
  <si>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</si>
  <si>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</si>
  <si>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</si>
  <si>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</si>
  <si>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</si>
  <si>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</si>
  <si>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</si>
  <si>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</si>
  <si>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</si>
  <si>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</si>
  <si>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</si>
  <si>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</si>
  <si>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</si>
  <si>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</si>
  <si>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</si>
  <si>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</si>
  <si>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</si>
  <si>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</si>
  <si>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</si>
  <si>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</si>
  <si>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</si>
  <si>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</si>
  <si>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</si>
  <si>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</si>
  <si>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</si>
  <si>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</si>
  <si>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</si>
  <si>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</si>
  <si>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</si>
  <si>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</si>
  <si>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</si>
  <si>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</si>
  <si>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</si>
  <si>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</si>
  <si>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</si>
  <si>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</si>
  <si>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</si>
  <si>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</si>
  <si>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</si>
  <si>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</si>
  <si>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</si>
  <si>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</si>
  <si>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</si>
  <si>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</si>
  <si>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</si>
  <si>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</si>
  <si>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</si>
  <si>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</si>
  <si>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</si>
  <si>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</si>
  <si>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</si>
  <si>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</si>
  <si>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</si>
  <si>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</si>
  <si>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</si>
  <si>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</si>
  <si>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</si>
  <si>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</si>
  <si>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</si>
  <si>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</si>
  <si>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</si>
  <si>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</si>
  <si>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</si>
  <si>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</si>
  <si>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</si>
  <si>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</si>
  <si>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</si>
  <si>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</si>
  <si>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</si>
  <si>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</si>
  <si>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</si>
  <si>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</si>
  <si>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</si>
  <si>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</si>
  <si>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</si>
  <si>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</si>
  <si>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</si>
  <si>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</si>
  <si>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</si>
  <si>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</si>
  <si>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</si>
  <si>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</si>
  <si>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</si>
  <si>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</si>
  <si>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</si>
  <si>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</si>
  <si>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</si>
  <si>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</si>
  <si>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</si>
  <si>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</si>
  <si>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</si>
  <si>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</si>
  <si>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</si>
  <si>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</si>
  <si>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</si>
  <si>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</si>
  <si>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</si>
  <si>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</si>
  <si>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</si>
  <si>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</si>
  <si>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</si>
  <si>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</si>
  <si>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</si>
  <si>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</si>
  <si>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</si>
  <si>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</si>
  <si>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</si>
  <si>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</si>
  <si>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</si>
  <si>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</si>
  <si>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</si>
  <si>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</si>
  <si>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</si>
  <si>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</si>
  <si>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</si>
  <si>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</si>
  <si>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</si>
  <si>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</si>
  <si>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</si>
  <si>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</si>
  <si>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</si>
  <si>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</si>
  <si>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</si>
  <si>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</si>
  <si>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</si>
  <si>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</si>
  <si>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</si>
  <si>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</si>
  <si>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</si>
  <si>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</si>
  <si>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</si>
  <si>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</si>
  <si>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</si>
  <si>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</si>
  <si>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</si>
  <si>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</si>
  <si>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</si>
  <si>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</si>
  <si>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</si>
  <si>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</si>
  <si>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</si>
  <si>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</si>
  <si>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</si>
  <si>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</si>
  <si>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</si>
  <si>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</si>
  <si>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</si>
  <si>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</si>
  <si>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</si>
  <si>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</si>
  <si>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</si>
  <si>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</si>
  <si>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</si>
  <si>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</si>
  <si>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</si>
  <si>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</si>
  <si>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</si>
  <si>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</si>
  <si>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</si>
  <si>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</si>
  <si>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</si>
  <si>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</si>
  <si>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</si>
  <si>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</si>
  <si>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</si>
  <si>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</si>
  <si>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</si>
  <si>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</si>
  <si>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</si>
  <si>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</si>
  <si>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</si>
  <si>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</si>
  <si>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</si>
  <si>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</si>
  <si>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</si>
  <si>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</si>
  <si>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</si>
  <si>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</si>
  <si>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</si>
  <si>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</si>
  <si>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</si>
  <si>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</si>
  <si>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</si>
  <si>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</si>
  <si>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</si>
  <si>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</si>
  <si>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</si>
  <si>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</si>
  <si>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</si>
  <si>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</si>
  <si>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</si>
  <si>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</si>
  <si>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</si>
  <si>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</si>
  <si>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</si>
  <si>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</si>
  <si>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</si>
  <si>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</si>
  <si>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</si>
  <si>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</si>
  <si>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</si>
  <si>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</si>
  <si>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</si>
  <si>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</si>
  <si>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</si>
  <si>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</si>
  <si>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</si>
  <si>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</si>
  <si>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</si>
  <si>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</si>
  <si>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</si>
  <si>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</si>
  <si>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</si>
  <si>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</si>
  <si>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</si>
  <si>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</si>
  <si>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</si>
  <si>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</si>
  <si>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</si>
  <si>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</si>
  <si>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</si>
  <si>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</si>
  <si>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</si>
  <si>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</si>
  <si>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</si>
  <si>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</si>
  <si>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</si>
  <si>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</si>
  <si>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</si>
  <si>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</si>
  <si>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</si>
  <si>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</si>
  <si>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</si>
  <si>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</si>
  <si>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</si>
  <si>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</si>
  <si>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</si>
  <si>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</si>
  <si>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</si>
  <si>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</si>
  <si>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</si>
  <si>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</si>
  <si>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</si>
  <si>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</si>
  <si>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</si>
  <si>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</si>
  <si>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</si>
  <si>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</si>
  <si>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</si>
  <si>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</si>
  <si>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</si>
  <si>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</si>
  <si>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</si>
  <si>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</si>
  <si>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</si>
  <si>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</si>
  <si>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</si>
  <si>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</si>
  <si>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</si>
  <si>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</si>
  <si>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</si>
  <si>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</si>
  <si>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</si>
  <si>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</si>
  <si>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</si>
  <si>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</si>
  <si>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</si>
  <si>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</si>
  <si>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</si>
  <si>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</si>
  <si>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</si>
  <si>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</si>
  <si>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</si>
  <si>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</si>
  <si>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</si>
  <si>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</si>
  <si>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</si>
  <si>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</si>
  <si>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</si>
  <si>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</si>
  <si>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</si>
  <si>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</si>
  <si>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</si>
  <si>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</si>
  <si>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</si>
  <si>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</si>
  <si>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</si>
  <si>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</si>
  <si>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</si>
  <si>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</si>
  <si>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</si>
  <si>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</si>
  <si>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</si>
  <si>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</si>
  <si>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</si>
  <si>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</si>
  <si>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</si>
  <si>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</si>
  <si>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</si>
  <si>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</si>
  <si>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</si>
  <si>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</si>
  <si>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</si>
  <si>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</si>
  <si>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</si>
  <si>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</si>
  <si>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</si>
  <si>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</si>
  <si>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</si>
  <si>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</si>
  <si>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</si>
  <si>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</si>
  <si>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</si>
  <si>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</si>
  <si>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</si>
  <si>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</si>
  <si>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</si>
  <si>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</si>
  <si>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</si>
  <si>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</si>
  <si>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</si>
  <si>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</si>
  <si>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</si>
  <si>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</si>
  <si>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</si>
  <si>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</si>
  <si>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</si>
  <si>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</si>
  <si>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</si>
  <si>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</si>
  <si>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</si>
  <si>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</si>
  <si>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</si>
  <si>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</si>
  <si>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</si>
  <si>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</si>
  <si>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</si>
  <si>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</si>
  <si>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</si>
  <si>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</si>
  <si>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</si>
  <si>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</si>
  <si>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</si>
  <si>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</si>
  <si>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</si>
  <si>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</si>
  <si>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</si>
  <si>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</si>
  <si>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</si>
  <si>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</si>
  <si>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</si>
  <si>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</si>
  <si>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</si>
  <si>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</si>
  <si>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</si>
  <si>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</si>
  <si>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</si>
  <si>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</si>
  <si>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</si>
  <si>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</si>
  <si>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</si>
  <si>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</si>
  <si>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</si>
  <si>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</si>
  <si>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</si>
  <si>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</si>
  <si>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</si>
  <si>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</si>
  <si>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</si>
  <si>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</si>
  <si>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</si>
  <si>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</si>
  <si>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</si>
  <si>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</si>
  <si>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</si>
  <si>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</si>
  <si>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</si>
  <si>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</si>
  <si>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</si>
  <si>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</si>
  <si>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</si>
  <si>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</si>
  <si>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</si>
  <si>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</si>
  <si>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</si>
  <si>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</si>
  <si>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</si>
  <si>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</si>
  <si>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</si>
  <si>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</si>
  <si>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</si>
  <si>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</si>
  <si>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</si>
  <si>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</si>
  <si>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</si>
  <si>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</si>
  <si>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</si>
  <si>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</si>
  <si>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</si>
  <si>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</si>
  <si>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</si>
  <si>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</si>
  <si>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</si>
  <si>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</si>
  <si>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</si>
  <si>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</si>
  <si>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</si>
  <si>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</si>
  <si>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</si>
  <si>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</si>
  <si>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</si>
  <si>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</si>
  <si>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</si>
  <si>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</si>
  <si>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</si>
  <si>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</si>
  <si>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</si>
  <si>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</si>
  <si>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</si>
  <si>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</si>
  <si>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</si>
  <si>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</si>
  <si>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</si>
  <si>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</si>
  <si>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</si>
  <si>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</si>
  <si>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</si>
  <si>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</si>
  <si>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</si>
  <si>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</si>
  <si>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</si>
  <si>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</si>
  <si>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</si>
  <si>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</si>
  <si>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</si>
  <si>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</si>
  <si>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</si>
  <si>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</si>
  <si>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</si>
  <si>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</si>
  <si>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</si>
  <si>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</si>
  <si>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</si>
  <si>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</si>
  <si>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</si>
  <si>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</si>
  <si>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</si>
  <si>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</si>
  <si>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</si>
  <si>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</si>
  <si>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</si>
  <si>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</si>
  <si>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</si>
  <si>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</si>
  <si>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</si>
  <si>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</si>
  <si>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</si>
  <si>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</si>
  <si>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</si>
  <si>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</si>
  <si>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</si>
  <si>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</si>
  <si>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</si>
  <si>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</si>
  <si>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</si>
  <si>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</si>
  <si>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</si>
  <si>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</si>
  <si>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</si>
  <si>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</si>
  <si>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</si>
  <si>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</si>
  <si>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</si>
  <si>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</si>
  <si>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</si>
  <si>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</si>
  <si>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</si>
  <si>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</si>
  <si>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</si>
  <si>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</si>
  <si>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</si>
  <si>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</si>
  <si>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</si>
  <si>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</si>
  <si>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</si>
  <si>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</si>
  <si>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</si>
  <si>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</si>
  <si>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</si>
  <si>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</si>
  <si>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</si>
  <si>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</si>
  <si>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</si>
  <si>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</si>
  <si>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</si>
  <si>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</si>
  <si>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</si>
  <si>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</si>
  <si>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</si>
  <si>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</si>
  <si>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</si>
  <si>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</si>
  <si>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</si>
  <si>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</si>
  <si>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</si>
  <si>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</si>
  <si>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</si>
  <si>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</si>
  <si>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</si>
  <si>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</si>
  <si>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</si>
  <si>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</si>
  <si>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</si>
  <si>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</si>
  <si>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</si>
  <si>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</si>
  <si>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</si>
  <si>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</si>
  <si>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</si>
  <si>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</si>
  <si>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</si>
  <si>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</si>
  <si>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</si>
  <si>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</si>
  <si>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</si>
  <si>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</si>
  <si>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</si>
  <si>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</si>
  <si>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</si>
  <si>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</si>
  <si>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</si>
  <si>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</si>
  <si>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</si>
  <si>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</si>
  <si>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</si>
  <si>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</si>
  <si>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</si>
  <si>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</si>
  <si>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</si>
  <si>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</si>
  <si>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</si>
  <si>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</si>
  <si>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</si>
  <si>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</si>
  <si>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</si>
  <si>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</si>
  <si>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</si>
  <si>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</si>
  <si>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</si>
  <si>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</si>
  <si>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</si>
  <si>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</si>
  <si>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</si>
  <si>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</si>
  <si>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</si>
  <si>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</si>
  <si>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</si>
  <si>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</si>
  <si>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</si>
  <si>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</si>
  <si>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</si>
  <si>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</si>
  <si>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</si>
  <si>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</si>
  <si>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</si>
  <si>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</si>
  <si>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</si>
  <si>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</si>
  <si>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</si>
  <si>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</si>
  <si>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</si>
  <si>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</si>
  <si>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</si>
  <si>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</si>
  <si>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</si>
  <si>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</si>
  <si>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</si>
  <si>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</si>
  <si>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</si>
  <si>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</si>
  <si>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</si>
  <si>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</si>
  <si>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</si>
  <si>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</si>
  <si>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</si>
  <si>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</si>
  <si>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</si>
  <si>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</si>
  <si>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</si>
  <si>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</si>
  <si>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</si>
  <si>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</si>
  <si>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</si>
  <si>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</si>
  <si>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</si>
  <si>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</si>
  <si>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</si>
  <si>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</si>
  <si>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</si>
  <si>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</si>
  <si>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</si>
  <si>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</si>
  <si>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</si>
  <si>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</si>
  <si>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</si>
  <si>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</si>
  <si>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</si>
  <si>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</si>
  <si>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</si>
  <si>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</si>
  <si>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</si>
  <si>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</si>
  <si>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</si>
  <si>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</si>
  <si>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</si>
  <si>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</si>
  <si>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</si>
  <si>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</si>
  <si>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</si>
  <si>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</si>
  <si>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</si>
  <si>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</si>
  <si>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</si>
  <si>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</si>
  <si>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</si>
  <si>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</si>
  <si>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</si>
  <si>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</si>
  <si>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</si>
  <si>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</si>
  <si>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</si>
  <si>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</si>
  <si>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</si>
  <si>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</si>
  <si>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</si>
  <si>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</si>
  <si>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</si>
  <si>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</si>
  <si>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</si>
  <si>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</si>
  <si>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</si>
  <si>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</si>
  <si>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</si>
  <si>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</si>
  <si>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</si>
  <si>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</si>
  <si>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</si>
  <si>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</si>
  <si>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</si>
  <si>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</si>
  <si>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</si>
  <si>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</si>
  <si>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</si>
  <si>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</si>
  <si>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</si>
  <si>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</si>
  <si>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</si>
  <si>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</si>
  <si>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</si>
  <si>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</si>
  <si>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</si>
  <si>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</si>
  <si>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</si>
  <si>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</si>
  <si>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</si>
  <si>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</si>
  <si>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</si>
  <si>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</si>
  <si>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</si>
  <si>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</si>
  <si>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</si>
  <si>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</si>
  <si>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</si>
  <si>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</si>
  <si>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</si>
  <si>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</si>
  <si>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</si>
  <si>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</si>
  <si>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</si>
  <si>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</si>
  <si>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</si>
  <si>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</si>
  <si>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</si>
  <si>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</si>
  <si>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</si>
  <si>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</si>
  <si>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</si>
  <si>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</si>
  <si>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</si>
  <si>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</si>
  <si>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</si>
  <si>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</si>
  <si>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</si>
  <si>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</si>
  <si>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</si>
  <si>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</si>
  <si>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</si>
  <si>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</si>
  <si>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</si>
  <si>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</si>
  <si>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</si>
  <si>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</si>
  <si>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</si>
  <si>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</si>
  <si>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</si>
  <si>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</si>
  <si>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</si>
  <si>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</si>
  <si>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</si>
  <si>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</si>
  <si>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</si>
  <si>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</si>
  <si>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</si>
  <si>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</si>
  <si>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</si>
  <si>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</si>
  <si>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</si>
  <si>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</si>
  <si>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</si>
  <si>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</si>
  <si>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</si>
  <si>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</si>
  <si>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</si>
  <si>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</si>
  <si>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</si>
  <si>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</si>
  <si>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</si>
  <si>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</si>
  <si>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</si>
  <si>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</si>
  <si>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</si>
  <si>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</si>
  <si>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</si>
  <si>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</si>
  <si>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</si>
  <si>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</si>
  <si>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</si>
  <si>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</si>
  <si>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</si>
  <si>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</si>
  <si>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</si>
  <si>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</si>
  <si>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</si>
  <si>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</si>
  <si>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</si>
  <si>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</si>
  <si>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</si>
  <si>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</si>
  <si>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</si>
  <si>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</si>
  <si>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</si>
  <si>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</si>
  <si>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</si>
  <si>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</si>
  <si>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</si>
  <si>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</si>
  <si>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</si>
  <si>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</si>
  <si>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</si>
  <si>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</si>
  <si>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</si>
  <si>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</si>
  <si>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</si>
  <si>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</si>
  <si>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</si>
  <si>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</si>
  <si>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</si>
  <si>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</si>
  <si>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</si>
  <si>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</si>
  <si>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</si>
  <si>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</si>
  <si>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</si>
  <si>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</si>
  <si>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</si>
  <si>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</si>
  <si>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</si>
  <si>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</si>
  <si>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</si>
  <si>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</si>
  <si>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</si>
  <si>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</si>
  <si>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</si>
  <si>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</si>
  <si>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</si>
  <si>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</si>
  <si>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</si>
  <si>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</si>
  <si>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</si>
  <si>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</si>
  <si>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</si>
  <si>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</si>
  <si>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</si>
  <si>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</si>
  <si>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</si>
  <si>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</si>
  <si>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</si>
  <si>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</si>
  <si>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</si>
  <si>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</si>
  <si>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</si>
  <si>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</si>
  <si>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</si>
  <si>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</si>
  <si>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</si>
  <si>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</si>
  <si>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</si>
  <si>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</si>
  <si>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</si>
  <si>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</si>
  <si>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</si>
  <si>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</si>
  <si>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</si>
  <si>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</si>
  <si>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</si>
  <si>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</si>
  <si>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</si>
  <si>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</si>
  <si>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</si>
  <si>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</si>
  <si>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</si>
  <si>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</si>
  <si>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</si>
  <si>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</si>
  <si>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</si>
  <si>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</si>
  <si>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</si>
  <si>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</si>
  <si>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</si>
  <si>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</si>
  <si>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</si>
  <si>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</si>
  <si>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</si>
  <si>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</si>
  <si>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</si>
  <si>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615 E ORANGE</t>
  </si>
  <si>
    <t>Robert Richardson</t>
  </si>
  <si>
    <t>richarre@hoopeston.k12.il.us</t>
  </si>
  <si>
    <t>217-283-6668</t>
  </si>
  <si>
    <t>217-283-5431</t>
  </si>
  <si>
    <t>No applicable contracts paid in current year.</t>
  </si>
  <si>
    <t>Vermilion Association for Special Education</t>
  </si>
  <si>
    <t>2016 GO WORKING CASH BONDS</t>
  </si>
  <si>
    <t>2019 GO WORKING CASH BONDS</t>
  </si>
  <si>
    <t>CAPITAL LEASE - BUSES</t>
  </si>
  <si>
    <t>CAPITAL LEASE</t>
  </si>
  <si>
    <t>Page 2 - Auditor's Questionnaire</t>
  </si>
  <si>
    <t>Part C - Other Issues - #20 - Other Findings</t>
  </si>
  <si>
    <t>High School Imprest account was overdrawn.</t>
  </si>
  <si>
    <t>Activity funds contain expenses that don't directly benefit students.</t>
  </si>
  <si>
    <t>Page 7 - Acct 7990 - Other Sources not Classified Elsewhere</t>
  </si>
  <si>
    <t>Col 40 - Transportation</t>
  </si>
  <si>
    <t>Capital Lease Proceeds - $60,997</t>
  </si>
  <si>
    <t>Page 10 - Acct 1690 - Other Food Service Revenue</t>
  </si>
  <si>
    <t>Col 10 - Educational</t>
  </si>
  <si>
    <t>Misc Reimbursements &amp; Rebates - $3,814</t>
  </si>
  <si>
    <t>Page 8 - Acct 8990 - Other Uses Not Classified Elsewhere</t>
  </si>
  <si>
    <t>Col 70 - Working Cash</t>
  </si>
  <si>
    <t>Working Cash Bond Issue Costs - $21,500</t>
  </si>
  <si>
    <t>Page 10 - Acct 1790 - Other District/Activity Revenue</t>
  </si>
  <si>
    <t>Misc Fees - $1,075</t>
  </si>
  <si>
    <t>Page 10 - Acct 1990 - Other Local Revenues</t>
  </si>
  <si>
    <t>E-Rate Proceeds - $24,060</t>
  </si>
  <si>
    <t>Refunds &amp; Reimbursements - $95,978</t>
  </si>
  <si>
    <t>Col 20 - Operations &amp; Maintenance</t>
  </si>
  <si>
    <t>Refunds &amp; Reimbursements - $21,600</t>
  </si>
  <si>
    <t>Page 11 - Acct 2300 - Other Flow Through</t>
  </si>
  <si>
    <t>Local Flow Through - VVEDS - $7,500</t>
  </si>
  <si>
    <t>Page 12 - Acct 3999 - Other Restricted Revenue from State Sources</t>
  </si>
  <si>
    <t>Library Grant - $892</t>
  </si>
  <si>
    <t>Gear Up Grant - $125,716</t>
  </si>
  <si>
    <t>Other State Programs - $69,910</t>
  </si>
  <si>
    <t>Pages 15 &amp; 19 - Acct 2190 -Other Support Services -Pupils</t>
  </si>
  <si>
    <t>Homebound Tutoring - Salaries and Benefits</t>
  </si>
  <si>
    <t>AUDITCHECK Tab</t>
  </si>
  <si>
    <t>#8 Long Term Debt Issued Error</t>
  </si>
  <si>
    <t>Long term debt issued in form of capital lease was recognized in the Transportation Fund</t>
  </si>
  <si>
    <t>#8 Long Term Debt Retired Error</t>
  </si>
  <si>
    <t>Long term debt retired in the Transportation Fund as principal on capital leases</t>
  </si>
  <si>
    <t>#13 - Contracts Paid Error</t>
  </si>
  <si>
    <t>No applicable contracts paid in current year</t>
  </si>
  <si>
    <t>U.S. Department of Agriculture</t>
  </si>
  <si>
    <t xml:space="preserve">     Passed Through Illinois State Board of Education</t>
  </si>
  <si>
    <t>(M)School Lunch-18</t>
  </si>
  <si>
    <t>(M)School Lunch-19</t>
  </si>
  <si>
    <t xml:space="preserve">       School Milk-18</t>
  </si>
  <si>
    <t xml:space="preserve">       School Milk-19</t>
  </si>
  <si>
    <t xml:space="preserve">       School Breakfast-18</t>
  </si>
  <si>
    <t xml:space="preserve">       School Breakfast-19</t>
  </si>
  <si>
    <t xml:space="preserve">        School Commodities</t>
  </si>
  <si>
    <t xml:space="preserve">        Fruit and Vegtables</t>
  </si>
  <si>
    <t xml:space="preserve">          Total U.S. Department of Agriculture</t>
  </si>
  <si>
    <t>U.S Department of Education</t>
  </si>
  <si>
    <t>(M)Title 1-Low Income</t>
  </si>
  <si>
    <t xml:space="preserve">       Title II-Teacher Quality</t>
  </si>
  <si>
    <t>84.367a</t>
  </si>
  <si>
    <t xml:space="preserve">       IDEA-Room and Board</t>
  </si>
  <si>
    <t>84.027a</t>
  </si>
  <si>
    <t>84.358b</t>
  </si>
  <si>
    <t xml:space="preserve">       Title V-Rural Ed Intiative</t>
  </si>
  <si>
    <t xml:space="preserve">          Total U.S. Department of Education</t>
  </si>
  <si>
    <t>U.S Department of Family and Healthcare Service</t>
  </si>
  <si>
    <t xml:space="preserve">     Passed Through Illinois Healthcare &amp; Family Service</t>
  </si>
  <si>
    <t xml:space="preserve">             Medicaid-Admin Outreach</t>
  </si>
  <si>
    <t xml:space="preserve">           Total U.S. Department of Family and Healthcare</t>
  </si>
  <si>
    <t xml:space="preserve">          Total Federal Financial Assistance</t>
  </si>
  <si>
    <t>The accompanying Schedule of Expenditures of Federal Awards includes the federal grant activity of Hoopeston Community Unit #11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</si>
  <si>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</si>
  <si>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Hoopeston Communitu Unit No 11 provided federal  awards to subrecipients as follows:</t>
  </si>
  <si>
    <t>none</t>
  </si>
  <si>
    <r>
      <t xml:space="preserve">The following amounts were expended in the form of non-cash assistance by Hoopeston Community No. 11 and </t>
    </r>
    <r>
      <rPr>
        <b/>
        <sz val="9"/>
        <rFont val="Calibri"/>
        <family val="2"/>
        <scheme val="minor"/>
      </rPr>
      <t>should be</t>
    </r>
    <r>
      <rPr>
        <sz val="9"/>
        <rFont val="Calibri"/>
        <family val="2"/>
        <scheme val="minor"/>
      </rPr>
      <t xml:space="preserve"> included in the Schedule of Expenditures of Federal Awards:</t>
    </r>
  </si>
  <si>
    <t>no</t>
  </si>
  <si>
    <t>Adverse-Gaap/Qualified-Regulatory</t>
  </si>
  <si>
    <t>Unmodified</t>
  </si>
  <si>
    <t>School Lunch Program</t>
  </si>
  <si>
    <t>Title I-Low Income</t>
  </si>
  <si>
    <t>Hoopeston Area CUSD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</si>
</sst>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554182</xdr:colOff>
          <xdr:row>3</xdr:row>
          <xdr:rowOff>17318</xdr:rowOff>
        </xdr:from>
        <xdr:to>
          <xdr:col>1</xdr:col>
          <xdr:colOff>1465984</xdr:colOff>
          <xdr:row>7</xdr:row>
          <xdr:rowOff>55418</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5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0" t="s">
        <v>405</v>
      </c>
      <c r="J1" s="2021"/>
      <c r="K1" s="2021"/>
      <c r="L1" s="2021"/>
      <c r="M1" s="2021"/>
      <c r="N1" s="2021"/>
      <c r="O1" s="2021"/>
      <c r="P1" s="2021"/>
      <c r="Q1" s="2021"/>
      <c r="R1" s="2021"/>
      <c r="S1" s="2021"/>
    </row>
    <row r="2" spans="1:28" ht="12" customHeight="1" x14ac:dyDescent="0.2">
      <c r="A2" s="47" t="s">
        <v>1988</v>
      </c>
      <c r="D2" s="48"/>
      <c r="I2" s="2022" t="s">
        <v>979</v>
      </c>
      <c r="J2" s="2021"/>
      <c r="K2" s="2021"/>
      <c r="L2" s="2021"/>
      <c r="M2" s="2021"/>
      <c r="N2" s="2021"/>
      <c r="O2" s="2021"/>
      <c r="P2" s="2021"/>
      <c r="Q2" s="2021"/>
      <c r="R2" s="2021"/>
      <c r="S2" s="2021"/>
    </row>
    <row r="3" spans="1:28" ht="12" customHeight="1" x14ac:dyDescent="0.2">
      <c r="A3" s="155" t="s">
        <v>1940</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2070</v>
      </c>
      <c r="C5" s="26" t="s">
        <v>910</v>
      </c>
      <c r="D5" s="84"/>
      <c r="E5" s="84"/>
      <c r="H5" s="38"/>
      <c r="I5" s="2029" t="s">
        <v>680</v>
      </c>
      <c r="J5" s="1973"/>
      <c r="K5" s="1973"/>
      <c r="L5" s="1973"/>
      <c r="M5" s="1973"/>
      <c r="N5" s="1973"/>
      <c r="O5" s="1973"/>
      <c r="P5" s="1973"/>
      <c r="Q5" s="1973"/>
      <c r="R5" s="1973"/>
      <c r="S5" s="1973"/>
    </row>
    <row r="6" spans="1:28" ht="14.1" customHeight="1" x14ac:dyDescent="0.2">
      <c r="B6" s="104"/>
      <c r="C6" s="26" t="s">
        <v>911</v>
      </c>
      <c r="D6" s="84"/>
      <c r="E6" s="84"/>
      <c r="I6" s="2028" t="s">
        <v>883</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2070</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54092011026</v>
      </c>
      <c r="B13" s="1990"/>
      <c r="C13" s="1990"/>
      <c r="D13" s="1990"/>
      <c r="E13" s="1990"/>
      <c r="F13" s="1990"/>
      <c r="G13" s="1990"/>
      <c r="H13" s="1991"/>
      <c r="I13" s="31"/>
      <c r="J13" s="30"/>
      <c r="K13" s="28"/>
      <c r="L13" s="30"/>
      <c r="M13" s="30"/>
      <c r="N13" s="30"/>
      <c r="O13" s="30"/>
      <c r="P13" s="30"/>
      <c r="Q13" s="30"/>
      <c r="R13" s="30"/>
      <c r="S13" s="30"/>
      <c r="T13" s="1994" t="s">
        <v>2062</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2073</v>
      </c>
      <c r="B15" s="1992"/>
      <c r="C15" s="1992"/>
      <c r="D15" s="1992"/>
      <c r="E15" s="1992"/>
      <c r="F15" s="1992"/>
      <c r="G15" s="1992"/>
      <c r="H15" s="1993"/>
      <c r="T15" s="1955" t="s">
        <v>2063</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2155</v>
      </c>
      <c r="B17" s="2018"/>
      <c r="C17" s="2018"/>
      <c r="D17" s="2018"/>
      <c r="E17" s="2018"/>
      <c r="F17" s="2018"/>
      <c r="G17" s="2018"/>
      <c r="H17" s="2019"/>
      <c r="T17" s="2004" t="s">
        <v>2064</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2074</v>
      </c>
      <c r="B19" s="1988"/>
      <c r="C19" s="1988"/>
      <c r="D19" s="1988"/>
      <c r="E19" s="1988"/>
      <c r="F19" s="1988"/>
      <c r="G19" s="1988"/>
      <c r="H19" s="1986"/>
      <c r="I19" s="30"/>
      <c r="J19" s="99"/>
      <c r="K19" s="40"/>
      <c r="L19" s="38"/>
      <c r="M19" s="112" t="s">
        <v>315</v>
      </c>
      <c r="P19" s="27"/>
      <c r="Q19" s="27"/>
      <c r="R19" s="27"/>
      <c r="S19" s="31"/>
      <c r="T19" s="1987" t="s">
        <v>2065</v>
      </c>
      <c r="U19" s="1985"/>
      <c r="V19" s="1985"/>
      <c r="W19" s="1986"/>
      <c r="X19" s="2002" t="s">
        <v>2066</v>
      </c>
      <c r="Y19" s="2003"/>
      <c r="Z19" s="2000">
        <v>60942</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2065</v>
      </c>
      <c r="B21" s="1985"/>
      <c r="C21" s="1985"/>
      <c r="D21" s="1985"/>
      <c r="E21" s="1985"/>
      <c r="F21" s="1985"/>
      <c r="G21" s="1985"/>
      <c r="H21" s="1986"/>
      <c r="I21" s="2010" t="s">
        <v>678</v>
      </c>
      <c r="J21" s="1973"/>
      <c r="K21" s="1973"/>
      <c r="L21" s="1973"/>
      <c r="M21" s="1973"/>
      <c r="N21" s="1973"/>
      <c r="O21" s="1973"/>
      <c r="P21" s="1973"/>
      <c r="Q21" s="1973"/>
      <c r="R21" s="1973"/>
      <c r="S21" s="1974"/>
      <c r="T21" s="1952" t="s">
        <v>2067</v>
      </c>
      <c r="U21" s="1953"/>
      <c r="V21" s="1953"/>
      <c r="W21" s="1953"/>
      <c r="X21" s="1966" t="s">
        <v>2068</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2071</v>
      </c>
      <c r="U23" s="1948"/>
      <c r="V23" s="1948"/>
      <c r="W23" s="1948"/>
      <c r="X23" s="1963">
        <v>44469</v>
      </c>
      <c r="Y23" s="1964"/>
      <c r="Z23" s="1964"/>
      <c r="AA23" s="1965"/>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4"/>
      <c r="B25" s="1985"/>
      <c r="C25" s="1985"/>
      <c r="D25" s="1985"/>
      <c r="E25" s="1985"/>
      <c r="F25" s="1985"/>
      <c r="G25" s="1985"/>
      <c r="H25" s="1986"/>
      <c r="I25" s="113"/>
      <c r="J25" s="2052"/>
      <c r="K25" s="2052"/>
      <c r="L25" s="2052"/>
      <c r="M25" s="2052"/>
      <c r="N25" s="2052"/>
      <c r="O25" s="2052"/>
      <c r="P25" s="2052"/>
      <c r="Q25" s="2052"/>
      <c r="R25" s="2052"/>
      <c r="S25" s="2053"/>
      <c r="T25" s="1944" t="s">
        <v>2069</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48" t="s">
        <v>2070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2075</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2076</v>
      </c>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2077</v>
      </c>
      <c r="B42" s="2035"/>
      <c r="C42" s="2036"/>
      <c r="D42" s="2049" t="s">
        <v>2078</v>
      </c>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19DF-3959-4AAD-8897-C718D5F13FCF}">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2070</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2072</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79942024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2.9600000000000001E-2</v>
      </c>
      <c r="E10" s="356" t="s">
        <v>1005</v>
      </c>
      <c r="F10" s="355">
        <v>5.0000000000000001E-3</v>
      </c>
      <c r="G10" s="356" t="s">
        <v>1005</v>
      </c>
      <c r="H10" s="355">
        <v>2E-3</v>
      </c>
      <c r="I10" s="356" t="s">
        <v>1006</v>
      </c>
      <c r="J10" s="1732">
        <f>ROUND(D10+F10+H10,5)</f>
        <v>3.6600000000000001E-2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13351084</v>
      </c>
      <c r="E16" s="356"/>
      <c r="F16" s="1733">
        <f>SUM('Acct Summary 7-8'!C17,'Acct Summary 7-8'!D17,'Acct Summary 7-8'!F17)</f>
        <v>13084946</v>
      </c>
      <c r="G16" s="356"/>
      <c r="H16" s="1733">
        <f>SUM(D16-F16)</f>
        <v>266138</v>
      </c>
      <c r="I16" s="222"/>
      <c r="J16" s="1733">
        <f>SUM('Acct Summary 7-8'!C81,'Acct Summary 7-8'!D81,'Acct Summary 7-8'!F81,'Acct Summary 7-8'!I81)</f>
        <v>9595002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11031999.312000001</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1031241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Hoopeston Area CUSD 11</v>
      </c>
      <c r="E7" s="391"/>
      <c r="G7" s="252"/>
      <c r="H7" s="387"/>
      <c r="I7" s="387"/>
      <c r="J7" s="387"/>
      <c r="K7" s="387"/>
      <c r="L7" s="329"/>
      <c r="M7" s="329"/>
      <c r="N7" s="329"/>
      <c r="O7" s="329"/>
      <c r="P7" s="329"/>
    </row>
    <row r="8" spans="1:18" ht="12.75" x14ac:dyDescent="0.2">
      <c r="A8" s="329"/>
      <c r="B8" s="329"/>
      <c r="C8" s="389" t="s">
        <v>1125</v>
      </c>
      <c r="D8" s="392">
        <f>COVER!A13</f>
        <v>54092011026</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9595002</v>
      </c>
      <c r="I12" s="404"/>
      <c r="J12" s="404"/>
      <c r="K12" s="405">
        <f>TRUNC((H12/H13*100000),5)/100000</f>
        <v>0.71866838669999999</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13351084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13084946</v>
      </c>
      <c r="I17" s="404"/>
      <c r="J17" s="416"/>
      <c r="K17" s="405">
        <f>TRUNC((H17/H18*100000),5)/100000</f>
        <v>0.98006618779999999</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13351084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9595002</v>
      </c>
      <c r="I24" s="422"/>
      <c r="J24" s="422"/>
      <c r="K24" s="423">
        <f>TRUNC(((H24/H25*100000)/100000),2)</f>
        <v>263.98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36347.072220000002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2486996.3666400001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1031241</v>
      </c>
      <c r="I32" s="420"/>
      <c r="J32" s="420"/>
      <c r="K32" s="423">
        <f>TRUNC(100-((((H32/H33*100))*100)/100),2)</f>
        <v>90.65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11031999.312000001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6097080</v>
      </c>
      <c r="D4" s="466">
        <v>258003</v>
      </c>
      <c r="E4" s="466">
        <v>10467</v>
      </c>
      <c r="F4" s="466">
        <v>87573</v>
      </c>
      <c r="G4" s="466">
        <v>638143</v>
      </c>
      <c r="H4" s="466"/>
      <c r="I4" s="466">
        <v>2252346</v>
      </c>
      <c r="J4" s="467">
        <v>68136</v>
      </c>
      <c r="K4" s="466">
        <v>242979</v>
      </c>
      <c r="L4" s="466">
        <v>169703</v>
      </c>
      <c r="M4" s="468"/>
      <c r="N4" s="469"/>
    </row>
    <row r="5" spans="1:14" x14ac:dyDescent="0.2">
      <c r="A5" s="463" t="s">
        <v>992</v>
      </c>
      <c r="B5" s="470">
        <v>120</v>
      </c>
      <c r="C5" s="465">
        <v>900000</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6997080</v>
      </c>
      <c r="D13" s="1737">
        <f t="shared" ref="D13:L13" si="0">SUM(D4:D12)</f>
        <v>258003</v>
      </c>
      <c r="E13" s="1737">
        <f t="shared" si="0"/>
        <v>10467</v>
      </c>
      <c r="F13" s="1737">
        <f t="shared" si="0"/>
        <v>87573</v>
      </c>
      <c r="G13" s="1737">
        <f t="shared" si="0"/>
        <v>638143</v>
      </c>
      <c r="H13" s="1737">
        <f t="shared" si="0"/>
        <v>0</v>
      </c>
      <c r="I13" s="1737">
        <f t="shared" si="0"/>
        <v>2252346</v>
      </c>
      <c r="J13" s="1737">
        <f t="shared" si="0"/>
        <v>68136</v>
      </c>
      <c r="K13" s="1737">
        <f t="shared" si="0"/>
        <v>242979</v>
      </c>
      <c r="L13" s="1737">
        <f t="shared" si="0"/>
        <v>169703</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218431</v>
      </c>
      <c r="N16" s="484"/>
    </row>
    <row r="17" spans="1:14" s="485" customFormat="1" ht="12.75" customHeight="1" x14ac:dyDescent="0.2">
      <c r="A17" s="482" t="s">
        <v>1403</v>
      </c>
      <c r="B17" s="483">
        <v>230</v>
      </c>
      <c r="C17" s="477"/>
      <c r="D17" s="477"/>
      <c r="E17" s="477"/>
      <c r="F17" s="477"/>
      <c r="G17" s="477"/>
      <c r="H17" s="477"/>
      <c r="I17" s="477"/>
      <c r="J17" s="477"/>
      <c r="K17" s="477"/>
      <c r="L17" s="477"/>
      <c r="M17" s="467">
        <v>6854157</v>
      </c>
      <c r="N17" s="484"/>
    </row>
    <row r="18" spans="1:14" s="485" customFormat="1" ht="12.75" customHeight="1" x14ac:dyDescent="0.2">
      <c r="A18" s="482" t="s">
        <v>1404</v>
      </c>
      <c r="B18" s="483">
        <v>240</v>
      </c>
      <c r="C18" s="477"/>
      <c r="D18" s="477"/>
      <c r="E18" s="477"/>
      <c r="F18" s="477"/>
      <c r="G18" s="477"/>
      <c r="H18" s="477"/>
      <c r="I18" s="477"/>
      <c r="J18" s="477"/>
      <c r="K18" s="477"/>
      <c r="L18" s="477"/>
      <c r="M18" s="467">
        <v>2805327</v>
      </c>
      <c r="N18" s="484"/>
    </row>
    <row r="19" spans="1:14" s="485" customFormat="1" ht="12.75" customHeight="1" x14ac:dyDescent="0.2">
      <c r="A19" s="482" t="s">
        <v>1405</v>
      </c>
      <c r="B19" s="483">
        <v>250</v>
      </c>
      <c r="C19" s="477"/>
      <c r="D19" s="477"/>
      <c r="E19" s="477"/>
      <c r="F19" s="477"/>
      <c r="G19" s="477"/>
      <c r="H19" s="477"/>
      <c r="I19" s="477"/>
      <c r="J19" s="477"/>
      <c r="K19" s="477"/>
      <c r="L19" s="477"/>
      <c r="M19" s="467">
        <v>6334317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10467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1020774</v>
      </c>
    </row>
    <row r="23" spans="1:14" ht="13.5" customHeight="1" thickBot="1" x14ac:dyDescent="0.25">
      <c r="A23" s="1736" t="s">
        <v>643</v>
      </c>
      <c r="B23" s="1741"/>
      <c r="C23" s="468"/>
      <c r="D23" s="468"/>
      <c r="E23" s="468"/>
      <c r="F23" s="468"/>
      <c r="G23" s="468"/>
      <c r="H23" s="468"/>
      <c r="I23" s="468"/>
      <c r="J23" s="468"/>
      <c r="K23" s="468"/>
      <c r="L23" s="468"/>
      <c r="M23" s="1688">
        <f>SUM(M15:M22)</f>
        <v>16212232</v>
      </c>
      <c r="N23" s="1688">
        <f>SUM(N21:N22)</f>
        <v>1031241</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169703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169703</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1031241</v>
      </c>
    </row>
    <row r="37" spans="1:14" ht="13.5" thickBot="1" x14ac:dyDescent="0.25">
      <c r="A37" s="1736" t="s">
        <v>653</v>
      </c>
      <c r="B37" s="1741"/>
      <c r="C37" s="477"/>
      <c r="D37" s="477"/>
      <c r="E37" s="477"/>
      <c r="F37" s="477"/>
      <c r="G37" s="477"/>
      <c r="H37" s="477"/>
      <c r="I37" s="477"/>
      <c r="J37" s="477"/>
      <c r="K37" s="477"/>
      <c r="L37" s="480"/>
      <c r="M37" s="468"/>
      <c r="N37" s="1688">
        <f>SUM(N36:N36)</f>
        <v>1031241</v>
      </c>
    </row>
    <row r="38" spans="1:14" s="329" customFormat="1" ht="13.5" customHeight="1" thickTop="1" x14ac:dyDescent="0.2">
      <c r="A38" s="496" t="s">
        <v>420</v>
      </c>
      <c r="B38" s="483">
        <v>714</v>
      </c>
      <c r="C38" s="466">
        <v>12747</v>
      </c>
      <c r="D38" s="466"/>
      <c r="E38" s="466"/>
      <c r="F38" s="466"/>
      <c r="G38" s="466">
        <v>638143</v>
      </c>
      <c r="H38" s="466"/>
      <c r="I38" s="466"/>
      <c r="J38" s="467"/>
      <c r="K38" s="466"/>
      <c r="L38" s="481"/>
      <c r="M38" s="497"/>
      <c r="N38" s="497"/>
    </row>
    <row r="39" spans="1:14" s="329" customFormat="1" ht="13.5" customHeight="1" x14ac:dyDescent="0.2">
      <c r="A39" s="496" t="s">
        <v>342</v>
      </c>
      <c r="B39" s="483">
        <v>730</v>
      </c>
      <c r="C39" s="466">
        <v>6984333</v>
      </c>
      <c r="D39" s="466">
        <v>258003</v>
      </c>
      <c r="E39" s="466">
        <v>10467</v>
      </c>
      <c r="F39" s="466">
        <v>87573</v>
      </c>
      <c r="G39" s="466"/>
      <c r="H39" s="466"/>
      <c r="I39" s="466">
        <v>2252346</v>
      </c>
      <c r="J39" s="467">
        <v>68136</v>
      </c>
      <c r="K39" s="466">
        <v>242979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16212232</v>
      </c>
      <c r="N40" s="497"/>
    </row>
    <row r="41" spans="1:14" ht="13.5" customHeight="1" thickBot="1" x14ac:dyDescent="0.25">
      <c r="A41" s="1736" t="s">
        <v>655</v>
      </c>
      <c r="B41" s="1706"/>
      <c r="C41" s="1688">
        <f>(SUM(C34,C37,C38,C39))</f>
        <v>6997080</v>
      </c>
      <c r="D41" s="1688">
        <f t="shared" ref="D41:L41" si="2">SUM(D34,D37,D38:D39)</f>
        <v>258003</v>
      </c>
      <c r="E41" s="1688">
        <f t="shared" si="2"/>
        <v>10467</v>
      </c>
      <c r="F41" s="1688">
        <f t="shared" si="2"/>
        <v>87573</v>
      </c>
      <c r="G41" s="1688">
        <f t="shared" si="2"/>
        <v>638143</v>
      </c>
      <c r="H41" s="1688">
        <f t="shared" si="2"/>
        <v>0</v>
      </c>
      <c r="I41" s="1688">
        <f t="shared" si="2"/>
        <v>2252346</v>
      </c>
      <c r="J41" s="1688">
        <f t="shared" si="2"/>
        <v>68136</v>
      </c>
      <c r="K41" s="1688">
        <f t="shared" si="2"/>
        <v>242979</v>
      </c>
      <c r="L41" s="1688">
        <f t="shared" si="2"/>
        <v>169703</v>
      </c>
      <c r="M41" s="1688">
        <f>SUM(M40)</f>
        <v>16212232</v>
      </c>
      <c r="N41" s="1688">
        <f>SUM(N37)</f>
        <v>1031241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4" sqref="C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3356689</v>
      </c>
      <c r="D4" s="1742">
        <f>'Revenues 9-14'!D109</f>
        <v>464354</v>
      </c>
      <c r="E4" s="1742">
        <f>'Revenues 9-14'!E109</f>
        <v>307837</v>
      </c>
      <c r="F4" s="1742">
        <f>'Revenues 9-14'!F109</f>
        <v>306086</v>
      </c>
      <c r="G4" s="1742">
        <f>'Revenues 9-14'!G109</f>
        <v>429743</v>
      </c>
      <c r="H4" s="1742">
        <f>'Revenues 9-14'!H109</f>
        <v>0</v>
      </c>
      <c r="I4" s="1742">
        <f>'Revenues 9-14'!I109</f>
        <v>69716</v>
      </c>
      <c r="J4" s="1742">
        <f>'Revenues 9-14'!J109</f>
        <v>226717</v>
      </c>
      <c r="K4" s="1742">
        <f>'Revenues 9-14'!K109</f>
        <v>41651</v>
      </c>
      <c r="L4" s="347"/>
    </row>
    <row r="5" spans="1:13" ht="15.75" customHeight="1" x14ac:dyDescent="0.2">
      <c r="A5" s="1576" t="s">
        <v>1500</v>
      </c>
      <c r="B5" s="1577">
        <v>2000</v>
      </c>
      <c r="C5" s="1743">
        <f>'Revenues 9-14'!C114</f>
        <v>7500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7856063</v>
      </c>
      <c r="D6" s="1743">
        <f>'Revenues 9-14'!D170</f>
        <v>0</v>
      </c>
      <c r="E6" s="1743">
        <f>'Revenues 9-14'!E170</f>
        <v>0</v>
      </c>
      <c r="F6" s="1743">
        <f>'Revenues 9-14'!F170</f>
        <v>248409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1042267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12262519</v>
      </c>
      <c r="D8" s="1688">
        <f t="shared" ref="D8:K8" si="0">SUM(D4:D7)</f>
        <v>464354</v>
      </c>
      <c r="E8" s="1688">
        <f t="shared" si="0"/>
        <v>307837</v>
      </c>
      <c r="F8" s="1688">
        <f t="shared" si="0"/>
        <v>554495</v>
      </c>
      <c r="G8" s="1688">
        <f t="shared" si="0"/>
        <v>429743</v>
      </c>
      <c r="H8" s="1688">
        <f t="shared" si="0"/>
        <v>0</v>
      </c>
      <c r="I8" s="1688">
        <f t="shared" si="0"/>
        <v>69716</v>
      </c>
      <c r="J8" s="1688">
        <f t="shared" si="0"/>
        <v>226717</v>
      </c>
      <c r="K8" s="1688">
        <f t="shared" si="0"/>
        <v>41651</v>
      </c>
      <c r="L8" s="347"/>
    </row>
    <row r="9" spans="1:13" ht="15.75" thickTop="1" x14ac:dyDescent="0.2">
      <c r="A9" s="514" t="s">
        <v>1653</v>
      </c>
      <c r="B9" s="515">
        <v>3998</v>
      </c>
      <c r="C9" s="481">
        <v>4098172</v>
      </c>
      <c r="D9" s="516"/>
      <c r="E9" s="481"/>
      <c r="F9" s="481"/>
      <c r="G9" s="517"/>
      <c r="H9" s="481"/>
      <c r="I9" s="509" t="s">
        <v>1169</v>
      </c>
      <c r="J9" s="478"/>
      <c r="K9" s="481"/>
      <c r="L9" s="347"/>
    </row>
    <row r="10" spans="1:13" s="519" customFormat="1" ht="13.5" thickBot="1" x14ac:dyDescent="0.25">
      <c r="A10" s="1736" t="s">
        <v>1173</v>
      </c>
      <c r="B10" s="1709"/>
      <c r="C10" s="1688">
        <f>SUM(C8:C9)</f>
        <v>16360691</v>
      </c>
      <c r="D10" s="1688">
        <f t="shared" ref="D10:K10" si="1">SUM(D8:D9)</f>
        <v>464354</v>
      </c>
      <c r="E10" s="1688">
        <f t="shared" si="1"/>
        <v>307837</v>
      </c>
      <c r="F10" s="1688">
        <f t="shared" si="1"/>
        <v>554495</v>
      </c>
      <c r="G10" s="1688">
        <f t="shared" si="1"/>
        <v>429743</v>
      </c>
      <c r="H10" s="1688">
        <f t="shared" si="1"/>
        <v>0</v>
      </c>
      <c r="I10" s="1688">
        <f t="shared" si="1"/>
        <v>69716</v>
      </c>
      <c r="J10" s="1688">
        <f t="shared" si="1"/>
        <v>226717</v>
      </c>
      <c r="K10" s="1688">
        <f t="shared" si="1"/>
        <v>41651</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8073923</v>
      </c>
      <c r="D12" s="520" t="s">
        <v>1169</v>
      </c>
      <c r="E12" s="468" t="s">
        <v>1169</v>
      </c>
      <c r="F12" s="468" t="s">
        <v>1169</v>
      </c>
      <c r="G12" s="1742">
        <f>'Expenditures 15-22'!K229</f>
        <v>192614</v>
      </c>
      <c r="H12" s="521"/>
      <c r="I12" s="468" t="s">
        <v>1169</v>
      </c>
      <c r="J12" s="468" t="s">
        <v>1169</v>
      </c>
      <c r="K12" s="521" t="s">
        <v>1169</v>
      </c>
      <c r="L12" s="347"/>
    </row>
    <row r="13" spans="1:13" ht="15.75" customHeight="1" x14ac:dyDescent="0.2">
      <c r="A13" s="1576" t="s">
        <v>457</v>
      </c>
      <c r="B13" s="1578">
        <v>2000</v>
      </c>
      <c r="C13" s="1743">
        <f>'Expenditures 15-22'!K74</f>
        <v>3914292</v>
      </c>
      <c r="D13" s="1743">
        <f>'Expenditures 15-22'!K129</f>
        <v>386234</v>
      </c>
      <c r="E13" s="469" t="s">
        <v>1169</v>
      </c>
      <c r="F13" s="1743">
        <f>'Expenditures 15-22'!K184</f>
        <v>563421</v>
      </c>
      <c r="G13" s="1743">
        <f>'Expenditures 15-22'!K279</f>
        <v>235728</v>
      </c>
      <c r="H13" s="1743">
        <f>'Expenditures 15-22'!K303</f>
        <v>0</v>
      </c>
      <c r="I13" s="468" t="s">
        <v>1169</v>
      </c>
      <c r="J13" s="1743">
        <f>'Expenditures 15-22'!K330</f>
        <v>269673</v>
      </c>
      <c r="K13" s="1747">
        <f>'Expenditures 15-22'!K352</f>
        <v>1427</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103154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310338</v>
      </c>
      <c r="F16" s="1743">
        <f>'Expenditures 15-22'!K208</f>
        <v>43922</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12091369</v>
      </c>
      <c r="D17" s="1688">
        <f t="shared" si="2"/>
        <v>386234</v>
      </c>
      <c r="E17" s="1688">
        <f t="shared" si="2"/>
        <v>310338</v>
      </c>
      <c r="F17" s="1688">
        <f t="shared" si="2"/>
        <v>607343</v>
      </c>
      <c r="G17" s="1688">
        <f t="shared" si="2"/>
        <v>428342</v>
      </c>
      <c r="H17" s="1688">
        <f t="shared" si="2"/>
        <v>0</v>
      </c>
      <c r="I17" s="468"/>
      <c r="J17" s="1688">
        <f>SUM(J12:J16)</f>
        <v>269673</v>
      </c>
      <c r="K17" s="1688">
        <f>SUM(K12:K16)</f>
        <v>1427</v>
      </c>
      <c r="L17" s="347"/>
    </row>
    <row r="18" spans="1:12" ht="15" customHeight="1" thickTop="1" x14ac:dyDescent="0.2">
      <c r="A18" s="1744" t="s">
        <v>1654</v>
      </c>
      <c r="B18" s="1745">
        <v>4180</v>
      </c>
      <c r="C18" s="1742">
        <f t="shared" ref="C18:H18" si="3">C9</f>
        <v>4098172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16189541</v>
      </c>
      <c r="D19" s="1688">
        <f t="shared" si="4"/>
        <v>386234</v>
      </c>
      <c r="E19" s="1688">
        <f t="shared" si="4"/>
        <v>310338</v>
      </c>
      <c r="F19" s="1688">
        <f t="shared" si="4"/>
        <v>607343</v>
      </c>
      <c r="G19" s="1688">
        <f t="shared" si="4"/>
        <v>428342</v>
      </c>
      <c r="H19" s="1688">
        <f t="shared" si="4"/>
        <v>0</v>
      </c>
      <c r="I19" s="468"/>
      <c r="J19" s="1688">
        <f>SUM(J17:J18)</f>
        <v>269673</v>
      </c>
      <c r="K19" s="1688">
        <f>SUM(K17:K18)</f>
        <v>1427</v>
      </c>
      <c r="L19" s="347"/>
    </row>
    <row r="20" spans="1:12" ht="16.5" thickTop="1" thickBot="1" x14ac:dyDescent="0.25">
      <c r="A20" s="2130" t="s">
        <v>1655</v>
      </c>
      <c r="B20" s="2131"/>
      <c r="C20" s="1746">
        <f>C8-C17</f>
        <v>171150</v>
      </c>
      <c r="D20" s="1746">
        <f t="shared" ref="D20:K20" si="5">D8-D17</f>
        <v>78120</v>
      </c>
      <c r="E20" s="1746">
        <f t="shared" si="5"/>
        <v>-2501</v>
      </c>
      <c r="F20" s="1746">
        <f t="shared" si="5"/>
        <v>-52848</v>
      </c>
      <c r="G20" s="1746">
        <f t="shared" si="5"/>
        <v>1401</v>
      </c>
      <c r="H20" s="1746">
        <f t="shared" si="5"/>
        <v>0</v>
      </c>
      <c r="I20" s="1746">
        <f t="shared" si="5"/>
        <v>69716</v>
      </c>
      <c r="J20" s="1746">
        <f t="shared" si="5"/>
        <v>-42956</v>
      </c>
      <c r="K20" s="1746">
        <f t="shared" si="5"/>
        <v>40224</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900000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900000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v>60997</v>
      </c>
      <c r="G43" s="467"/>
      <c r="H43" s="467"/>
      <c r="I43" s="467"/>
      <c r="J43" s="467"/>
      <c r="K43" s="467"/>
      <c r="L43" s="524"/>
    </row>
    <row r="44" spans="1:12" s="485" customFormat="1" ht="13.5" customHeight="1" thickBot="1" x14ac:dyDescent="0.25">
      <c r="A44" s="2144" t="s">
        <v>374</v>
      </c>
      <c r="B44" s="2145"/>
      <c r="C44" s="1703">
        <f>SUM(C24:C43)</f>
        <v>900000</v>
      </c>
      <c r="D44" s="1703">
        <f t="shared" ref="D44:K44" si="6">SUM(D24:D43)</f>
        <v>0</v>
      </c>
      <c r="E44" s="1703">
        <f t="shared" si="6"/>
        <v>0</v>
      </c>
      <c r="F44" s="1703">
        <f t="shared" si="6"/>
        <v>60997</v>
      </c>
      <c r="G44" s="1703">
        <f t="shared" si="6"/>
        <v>0</v>
      </c>
      <c r="H44" s="1703">
        <f t="shared" si="6"/>
        <v>0</v>
      </c>
      <c r="I44" s="1703">
        <f t="shared" si="6"/>
        <v>900000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900000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21500</v>
      </c>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921500</v>
      </c>
      <c r="J76" s="1703">
        <f t="shared" si="7"/>
        <v>0</v>
      </c>
      <c r="K76" s="1703">
        <f t="shared" si="7"/>
        <v>0</v>
      </c>
      <c r="L76" s="524"/>
    </row>
    <row r="77" spans="1:12" ht="14.25" thickTop="1" thickBot="1" x14ac:dyDescent="0.25">
      <c r="A77" s="2122" t="s">
        <v>1177</v>
      </c>
      <c r="B77" s="2123"/>
      <c r="C77" s="1703">
        <f t="shared" ref="C77:K77" si="8">C44-C76</f>
        <v>900000</v>
      </c>
      <c r="D77" s="1703">
        <f t="shared" si="8"/>
        <v>0</v>
      </c>
      <c r="E77" s="1703">
        <f t="shared" si="8"/>
        <v>0</v>
      </c>
      <c r="F77" s="1703">
        <f t="shared" si="8"/>
        <v>60997</v>
      </c>
      <c r="G77" s="1703">
        <f t="shared" si="8"/>
        <v>0</v>
      </c>
      <c r="H77" s="1703">
        <f t="shared" si="8"/>
        <v>0</v>
      </c>
      <c r="I77" s="1703">
        <f t="shared" si="8"/>
        <v>-21500</v>
      </c>
      <c r="J77" s="1703">
        <f t="shared" si="8"/>
        <v>0</v>
      </c>
      <c r="K77" s="1703">
        <f t="shared" si="8"/>
        <v>0</v>
      </c>
      <c r="L77" s="347"/>
    </row>
    <row r="78" spans="1:12" ht="21.75" customHeight="1" thickTop="1" thickBot="1" x14ac:dyDescent="0.25">
      <c r="A78" s="2126" t="s">
        <v>597</v>
      </c>
      <c r="B78" s="2127"/>
      <c r="C78" s="1702">
        <f t="shared" ref="C78:K78" si="9">C20+C77</f>
        <v>1071150</v>
      </c>
      <c r="D78" s="1702">
        <f t="shared" si="9"/>
        <v>78120</v>
      </c>
      <c r="E78" s="1702">
        <f t="shared" si="9"/>
        <v>-2501</v>
      </c>
      <c r="F78" s="1702">
        <f t="shared" si="9"/>
        <v>8149</v>
      </c>
      <c r="G78" s="1702">
        <f t="shared" si="9"/>
        <v>1401</v>
      </c>
      <c r="H78" s="1702">
        <f t="shared" si="9"/>
        <v>0</v>
      </c>
      <c r="I78" s="1702">
        <f t="shared" si="9"/>
        <v>48216</v>
      </c>
      <c r="J78" s="1702">
        <f t="shared" si="9"/>
        <v>-42956</v>
      </c>
      <c r="K78" s="1702">
        <f t="shared" si="9"/>
        <v>40224</v>
      </c>
      <c r="L78" s="533"/>
    </row>
    <row r="79" spans="1:12" ht="13.5" thickTop="1" x14ac:dyDescent="0.2">
      <c r="A79" s="1494" t="s">
        <v>1944</v>
      </c>
      <c r="B79" s="534"/>
      <c r="C79" s="478">
        <v>5925930</v>
      </c>
      <c r="D79" s="535">
        <v>179883</v>
      </c>
      <c r="E79" s="535">
        <v>12968</v>
      </c>
      <c r="F79" s="535">
        <v>79424</v>
      </c>
      <c r="G79" s="535">
        <v>636742</v>
      </c>
      <c r="H79" s="535">
        <v>0</v>
      </c>
      <c r="I79" s="535">
        <v>2204130</v>
      </c>
      <c r="J79" s="535">
        <v>111092</v>
      </c>
      <c r="K79" s="535">
        <v>202755</v>
      </c>
      <c r="L79" s="347"/>
    </row>
    <row r="80" spans="1:12" x14ac:dyDescent="0.2">
      <c r="A80" s="2132" t="s">
        <v>1792</v>
      </c>
      <c r="B80" s="2133"/>
      <c r="C80" s="467"/>
      <c r="D80" s="467"/>
      <c r="E80" s="467"/>
      <c r="F80" s="467"/>
      <c r="G80" s="467"/>
      <c r="H80" s="467"/>
      <c r="I80" s="467"/>
      <c r="J80" s="467"/>
      <c r="K80" s="467"/>
      <c r="L80" s="347"/>
    </row>
    <row r="81" spans="1:12" ht="13.5" thickBot="1" x14ac:dyDescent="0.25">
      <c r="A81" s="2124" t="s">
        <v>1945</v>
      </c>
      <c r="B81" s="2125"/>
      <c r="C81" s="1688">
        <f>(SUM(C78:C80))</f>
        <v>6997080</v>
      </c>
      <c r="D81" s="1688">
        <f>SUM(D78:D80)</f>
        <v>258003</v>
      </c>
      <c r="E81" s="1688">
        <f t="shared" ref="E81:K81" si="10">SUM(E78:E80)</f>
        <v>10467</v>
      </c>
      <c r="F81" s="1688">
        <f t="shared" si="10"/>
        <v>87573</v>
      </c>
      <c r="G81" s="1688">
        <f t="shared" si="10"/>
        <v>638143</v>
      </c>
      <c r="H81" s="1688">
        <f t="shared" si="10"/>
        <v>0</v>
      </c>
      <c r="I81" s="1688">
        <f t="shared" si="10"/>
        <v>2252346</v>
      </c>
      <c r="J81" s="1688">
        <f t="shared" si="10"/>
        <v>68136</v>
      </c>
      <c r="K81" s="1688">
        <f t="shared" si="10"/>
        <v>242979</v>
      </c>
      <c r="L81" s="347"/>
    </row>
    <row r="82" spans="1:12" ht="0.75" customHeight="1" thickTop="1" thickBot="1" x14ac:dyDescent="0.25">
      <c r="A82" s="536" t="s">
        <v>343</v>
      </c>
      <c r="B82" s="537"/>
      <c r="C82" s="538">
        <f>(C81-C79)</f>
        <v>1071150</v>
      </c>
      <c r="D82" s="538">
        <f t="shared" ref="D82:K82" si="11">(D81-D79)</f>
        <v>78120</v>
      </c>
      <c r="E82" s="538">
        <f t="shared" si="11"/>
        <v>-2501</v>
      </c>
      <c r="F82" s="538">
        <f t="shared" si="11"/>
        <v>8149</v>
      </c>
      <c r="G82" s="538">
        <f t="shared" si="11"/>
        <v>1401</v>
      </c>
      <c r="H82" s="538">
        <f t="shared" si="11"/>
        <v>0</v>
      </c>
      <c r="I82" s="538">
        <f t="shared" si="11"/>
        <v>48216</v>
      </c>
      <c r="J82" s="538">
        <f t="shared" si="11"/>
        <v>-42956</v>
      </c>
      <c r="K82" s="538">
        <f t="shared" si="11"/>
        <v>40224</v>
      </c>
    </row>
    <row r="83" spans="1:12" ht="14.25" hidden="1" thickTop="1" thickBot="1" x14ac:dyDescent="0.25">
      <c r="A83" s="539" t="s">
        <v>344</v>
      </c>
      <c r="B83" s="464"/>
      <c r="C83" s="540">
        <f>C82/C81</f>
        <v>0.15308528700543655</v>
      </c>
      <c r="D83" s="540">
        <f t="shared" ref="D83:K83" si="12">D82/D81</f>
        <v>0.30278717689329193</v>
      </c>
      <c r="E83" s="540">
        <f t="shared" si="12"/>
        <v>-0.23894143498614695</v>
      </c>
      <c r="F83" s="540">
        <f t="shared" si="12"/>
        <v>9.3053795119500307E-2</v>
      </c>
      <c r="G83" s="540">
        <f t="shared" si="12"/>
        <v>2.1954326851505068E-3</v>
      </c>
      <c r="H83" s="540" t="e">
        <f t="shared" si="12"/>
        <v>#DIV/0!</v>
      </c>
      <c r="I83" s="540">
        <f t="shared" si="12"/>
        <v>2.1407012954492783E-2</v>
      </c>
      <c r="J83" s="540">
        <f t="shared" si="12"/>
        <v>-0.63044499236820473</v>
      </c>
      <c r="K83" s="540">
        <f t="shared" si="12"/>
        <v>0.16554517057029619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0" activePane="bottomLeft" state="frozen"/>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1799</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2244927</v>
      </c>
      <c r="D5" s="481">
        <v>379198</v>
      </c>
      <c r="E5" s="466">
        <v>307837</v>
      </c>
      <c r="F5" s="548">
        <v>151678</v>
      </c>
      <c r="G5" s="466">
        <v>207697</v>
      </c>
      <c r="H5" s="466"/>
      <c r="I5" s="466">
        <v>37919</v>
      </c>
      <c r="J5" s="467">
        <v>224683</v>
      </c>
      <c r="K5" s="466">
        <v>37919</v>
      </c>
    </row>
    <row r="6" spans="1:12" ht="15" x14ac:dyDescent="0.2">
      <c r="A6" s="463" t="s">
        <v>1662</v>
      </c>
      <c r="B6" s="470">
        <v>1130</v>
      </c>
      <c r="C6" s="466">
        <v>37948</v>
      </c>
      <c r="D6" s="466"/>
      <c r="E6" s="475"/>
      <c r="F6" s="475"/>
      <c r="G6" s="468"/>
      <c r="H6" s="468"/>
      <c r="I6" s="468"/>
      <c r="J6" s="468"/>
      <c r="K6" s="468"/>
    </row>
    <row r="7" spans="1:12" x14ac:dyDescent="0.2">
      <c r="A7" s="463" t="s">
        <v>110</v>
      </c>
      <c r="B7" s="549">
        <v>1140</v>
      </c>
      <c r="C7" s="466">
        <v>30359</v>
      </c>
      <c r="D7" s="466"/>
      <c r="E7" s="468"/>
      <c r="F7" s="467"/>
      <c r="G7" s="467"/>
      <c r="H7" s="467"/>
      <c r="I7" s="468"/>
      <c r="J7" s="468"/>
      <c r="K7" s="468"/>
    </row>
    <row r="8" spans="1:12" x14ac:dyDescent="0.2">
      <c r="A8" s="463" t="s">
        <v>413</v>
      </c>
      <c r="B8" s="470">
        <v>1150</v>
      </c>
      <c r="C8" s="475"/>
      <c r="D8" s="475"/>
      <c r="E8" s="477"/>
      <c r="F8" s="477"/>
      <c r="G8" s="481">
        <v>207697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2313234</v>
      </c>
      <c r="D12" s="1707">
        <f t="shared" si="0"/>
        <v>379198</v>
      </c>
      <c r="E12" s="1707">
        <f t="shared" si="0"/>
        <v>307837</v>
      </c>
      <c r="F12" s="1707">
        <f t="shared" si="0"/>
        <v>151678</v>
      </c>
      <c r="G12" s="1707">
        <f t="shared" si="0"/>
        <v>415394</v>
      </c>
      <c r="H12" s="1707">
        <f t="shared" si="0"/>
        <v>0</v>
      </c>
      <c r="I12" s="1707">
        <f t="shared" si="0"/>
        <v>37919</v>
      </c>
      <c r="J12" s="1707">
        <f t="shared" si="0"/>
        <v>224683</v>
      </c>
      <c r="K12" s="1688">
        <f t="shared" si="0"/>
        <v>37919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437630</v>
      </c>
      <c r="D16" s="466"/>
      <c r="E16" s="466"/>
      <c r="F16" s="466">
        <v>153083</v>
      </c>
      <c r="G16" s="466">
        <v>2500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437630</v>
      </c>
      <c r="D18" s="1710">
        <f t="shared" ref="D18:K18" si="1">SUM(D14:D17)</f>
        <v>0</v>
      </c>
      <c r="E18" s="1710">
        <f t="shared" si="1"/>
        <v>0</v>
      </c>
      <c r="F18" s="1710">
        <f t="shared" si="1"/>
        <v>153083</v>
      </c>
      <c r="G18" s="1710">
        <f t="shared" si="1"/>
        <v>2500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81792</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81792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114929</v>
      </c>
      <c r="D65" s="466">
        <v>3116</v>
      </c>
      <c r="E65" s="466"/>
      <c r="F65" s="467">
        <v>1325</v>
      </c>
      <c r="G65" s="466">
        <v>11849</v>
      </c>
      <c r="H65" s="466"/>
      <c r="I65" s="466">
        <v>31797</v>
      </c>
      <c r="J65" s="467">
        <v>2034</v>
      </c>
      <c r="K65" s="466">
        <v>3732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114929</v>
      </c>
      <c r="D67" s="1688">
        <f t="shared" ref="D67:K67" si="2">SUM(D65:D66)</f>
        <v>3116</v>
      </c>
      <c r="E67" s="1688">
        <f t="shared" si="2"/>
        <v>0</v>
      </c>
      <c r="F67" s="1688">
        <f t="shared" si="2"/>
        <v>1325</v>
      </c>
      <c r="G67" s="1688">
        <f t="shared" si="2"/>
        <v>11849</v>
      </c>
      <c r="H67" s="1688">
        <f t="shared" si="2"/>
        <v>0</v>
      </c>
      <c r="I67" s="1688">
        <f t="shared" si="2"/>
        <v>31797</v>
      </c>
      <c r="J67" s="1688">
        <f t="shared" si="2"/>
        <v>2034</v>
      </c>
      <c r="K67" s="1688">
        <f t="shared" si="2"/>
        <v>3732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7977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3363</v>
      </c>
      <c r="D73" s="468"/>
      <c r="E73" s="468"/>
      <c r="F73" s="468"/>
      <c r="G73" s="468"/>
      <c r="H73" s="468"/>
      <c r="I73" s="468"/>
      <c r="J73" s="468"/>
      <c r="K73" s="468"/>
    </row>
    <row r="74" spans="1:11" ht="12.75" customHeight="1" x14ac:dyDescent="0.2">
      <c r="A74" s="463" t="s">
        <v>25</v>
      </c>
      <c r="B74" s="470">
        <v>1690</v>
      </c>
      <c r="C74" s="551">
        <v>3814</v>
      </c>
      <c r="D74" s="468"/>
      <c r="E74" s="468"/>
      <c r="F74" s="468"/>
      <c r="G74" s="468"/>
      <c r="H74" s="468"/>
      <c r="I74" s="468"/>
      <c r="J74" s="468"/>
      <c r="K74" s="468"/>
    </row>
    <row r="75" spans="1:11" ht="12.75" customHeight="1" thickBot="1" x14ac:dyDescent="0.25">
      <c r="A75" s="1708" t="s">
        <v>548</v>
      </c>
      <c r="B75" s="1709"/>
      <c r="C75" s="1688">
        <f>SUM(C69:C74)</f>
        <v>15154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15402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3500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1075</v>
      </c>
      <c r="D81" s="466"/>
      <c r="E81" s="468"/>
      <c r="F81" s="468"/>
      <c r="G81" s="468"/>
      <c r="H81" s="468"/>
      <c r="I81" s="468"/>
      <c r="J81" s="468"/>
      <c r="K81" s="468"/>
    </row>
    <row r="82" spans="1:11" ht="12.75" customHeight="1" thickBot="1" x14ac:dyDescent="0.25">
      <c r="A82" s="1708" t="s">
        <v>241</v>
      </c>
      <c r="B82" s="1709"/>
      <c r="C82" s="1707">
        <f>SUM(C77:C81)</f>
        <v>19977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27351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27351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4001</v>
      </c>
      <c r="D95" s="551">
        <v>440</v>
      </c>
      <c r="E95" s="521"/>
      <c r="F95" s="521"/>
      <c r="G95" s="521"/>
      <c r="H95" s="521"/>
      <c r="I95" s="521"/>
      <c r="J95" s="521"/>
      <c r="K95" s="521"/>
    </row>
    <row r="96" spans="1:11" ht="12.75" customHeight="1" x14ac:dyDescent="0.2">
      <c r="A96" s="463" t="s">
        <v>391</v>
      </c>
      <c r="B96" s="470">
        <v>1920</v>
      </c>
      <c r="C96" s="551">
        <v>208495</v>
      </c>
      <c r="D96" s="551">
        <v>10000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10350</v>
      </c>
      <c r="D99" s="466"/>
      <c r="E99" s="466"/>
      <c r="F99" s="466"/>
      <c r="G99" s="466"/>
      <c r="H99" s="466"/>
      <c r="I99" s="468"/>
      <c r="J99" s="467"/>
      <c r="K99" s="466"/>
    </row>
    <row r="100" spans="1:12" ht="12.75" customHeight="1" x14ac:dyDescent="0.2">
      <c r="A100" s="463" t="s">
        <v>245</v>
      </c>
      <c r="B100" s="470">
        <v>1960</v>
      </c>
      <c r="C100" s="489"/>
      <c r="D100" s="489">
        <v>50000</v>
      </c>
      <c r="E100" s="489"/>
      <c r="F100" s="489"/>
      <c r="G100" s="489"/>
      <c r="H100" s="489"/>
      <c r="I100" s="467"/>
      <c r="J100" s="489"/>
      <c r="K100" s="467"/>
    </row>
    <row r="101" spans="1:12" ht="12.75" customHeight="1" x14ac:dyDescent="0.2">
      <c r="A101" s="463" t="s">
        <v>246</v>
      </c>
      <c r="B101" s="470">
        <v>1970</v>
      </c>
      <c r="C101" s="489">
        <v>3738</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120038</v>
      </c>
      <c r="D107" s="466">
        <v>21600</v>
      </c>
      <c r="E107" s="466"/>
      <c r="F107" s="466"/>
      <c r="G107" s="466"/>
      <c r="H107" s="466"/>
      <c r="I107" s="466"/>
      <c r="J107" s="467"/>
      <c r="K107" s="466"/>
    </row>
    <row r="108" spans="1:12" ht="12.75" customHeight="1" thickBot="1" x14ac:dyDescent="0.25">
      <c r="A108" s="1708" t="s">
        <v>487</v>
      </c>
      <c r="B108" s="1712"/>
      <c r="C108" s="1707">
        <f>SUM(C95:C107)</f>
        <v>346622</v>
      </c>
      <c r="D108" s="1707">
        <f t="shared" ref="D108:K108" si="3">SUM(D95:D107)</f>
        <v>82040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3356689</v>
      </c>
      <c r="D109" s="1715">
        <f t="shared" si="4"/>
        <v>464354</v>
      </c>
      <c r="E109" s="1715">
        <f t="shared" si="4"/>
        <v>307837</v>
      </c>
      <c r="F109" s="1715">
        <f t="shared" si="4"/>
        <v>306086</v>
      </c>
      <c r="G109" s="1715">
        <f t="shared" si="4"/>
        <v>429743</v>
      </c>
      <c r="H109" s="1715">
        <f t="shared" si="4"/>
        <v>0</v>
      </c>
      <c r="I109" s="1715">
        <f t="shared" si="4"/>
        <v>69716</v>
      </c>
      <c r="J109" s="1715">
        <f t="shared" si="4"/>
        <v>226717</v>
      </c>
      <c r="K109" s="1702">
        <f t="shared" si="4"/>
        <v>41651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v>7500</v>
      </c>
      <c r="D113" s="466"/>
      <c r="E113" s="561"/>
      <c r="F113" s="466"/>
      <c r="G113" s="466"/>
      <c r="H113" s="561"/>
      <c r="I113" s="468"/>
      <c r="J113" s="468"/>
      <c r="K113" s="468"/>
    </row>
    <row r="114" spans="1:11" ht="13.5" thickBot="1" x14ac:dyDescent="0.25">
      <c r="A114" s="1716" t="s">
        <v>806</v>
      </c>
      <c r="B114" s="1717" t="s">
        <v>569</v>
      </c>
      <c r="C114" s="1718">
        <f>SUM(C111:C113)</f>
        <v>7500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7169969</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7169969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350162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78946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429108</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5843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5843</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10761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13673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229731</v>
      </c>
      <c r="G152" s="467"/>
      <c r="H152" s="468"/>
      <c r="I152" s="468"/>
      <c r="J152" s="468"/>
      <c r="K152" s="468"/>
    </row>
    <row r="153" spans="1:11" ht="12.75" customHeight="1" x14ac:dyDescent="0.2">
      <c r="A153" s="463" t="s">
        <v>1057</v>
      </c>
      <c r="B153" s="562">
        <v>3510</v>
      </c>
      <c r="C153" s="551"/>
      <c r="D153" s="466"/>
      <c r="E153" s="561"/>
      <c r="F153" s="466">
        <v>18678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248409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30191</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196518</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686094</v>
      </c>
      <c r="D169" s="1722">
        <f t="shared" si="6"/>
        <v>0</v>
      </c>
      <c r="E169" s="1722">
        <f t="shared" si="6"/>
        <v>0</v>
      </c>
      <c r="F169" s="1722">
        <f t="shared" si="6"/>
        <v>248409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7856063</v>
      </c>
      <c r="D170" s="1715">
        <f t="shared" si="7"/>
        <v>0</v>
      </c>
      <c r="E170" s="1715">
        <f t="shared" si="7"/>
        <v>0</v>
      </c>
      <c r="F170" s="1715">
        <f t="shared" si="7"/>
        <v>248409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1800</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43979</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43979</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413822</v>
      </c>
      <c r="D191" s="468"/>
      <c r="E191" s="561"/>
      <c r="F191" s="468"/>
      <c r="G191" s="585"/>
      <c r="H191" s="468"/>
      <c r="I191" s="468"/>
      <c r="J191" s="468"/>
      <c r="K191" s="468"/>
    </row>
    <row r="192" spans="1:11" ht="12.75" customHeight="1" x14ac:dyDescent="0.2">
      <c r="A192" s="463" t="s">
        <v>1047</v>
      </c>
      <c r="B192" s="470">
        <v>4215</v>
      </c>
      <c r="C192" s="551">
        <v>1214</v>
      </c>
      <c r="D192" s="468"/>
      <c r="E192" s="561"/>
      <c r="F192" s="468"/>
      <c r="G192" s="585"/>
      <c r="H192" s="468"/>
      <c r="I192" s="468"/>
      <c r="J192" s="468"/>
      <c r="K192" s="468"/>
    </row>
    <row r="193" spans="1:11" ht="12.75" customHeight="1" x14ac:dyDescent="0.2">
      <c r="A193" s="463" t="s">
        <v>1059</v>
      </c>
      <c r="B193" s="470">
        <v>4220</v>
      </c>
      <c r="C193" s="551">
        <v>105332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520368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377500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377500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18443</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18443</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25177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8208</v>
      </c>
      <c r="D263" s="576"/>
      <c r="E263" s="468"/>
      <c r="F263" s="576"/>
      <c r="G263" s="576"/>
      <c r="H263" s="468"/>
      <c r="I263" s="468"/>
      <c r="J263" s="468"/>
      <c r="K263" s="468"/>
    </row>
    <row r="264" spans="1:11" ht="12.75" customHeight="1" thickTop="1" thickBot="1" x14ac:dyDescent="0.25">
      <c r="A264" s="463" t="s">
        <v>377</v>
      </c>
      <c r="B264" s="470">
        <v>4992</v>
      </c>
      <c r="C264" s="575">
        <v>48592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1042267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1042267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12262519</v>
      </c>
      <c r="D268" s="1715">
        <f t="shared" si="12"/>
        <v>464354</v>
      </c>
      <c r="E268" s="1715">
        <f t="shared" si="12"/>
        <v>307837</v>
      </c>
      <c r="F268" s="1715">
        <f t="shared" si="12"/>
        <v>554495</v>
      </c>
      <c r="G268" s="1715">
        <f t="shared" si="12"/>
        <v>429743</v>
      </c>
      <c r="H268" s="1715">
        <f t="shared" si="12"/>
        <v>0</v>
      </c>
      <c r="I268" s="1715">
        <f t="shared" si="12"/>
        <v>69716</v>
      </c>
      <c r="J268" s="1715">
        <f t="shared" si="12"/>
        <v>226717</v>
      </c>
      <c r="K268" s="1702">
        <f t="shared" si="12"/>
        <v>41651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3" activePane="bottomLeft" state="frozen"/>
      <selection pane="bottomLeft" activeCell="G348" sqref="G34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3441507</v>
      </c>
      <c r="D5" s="466">
        <v>518891</v>
      </c>
      <c r="E5" s="466">
        <v>30531</v>
      </c>
      <c r="F5" s="466">
        <v>110797</v>
      </c>
      <c r="G5" s="466"/>
      <c r="H5" s="466">
        <v>36121</v>
      </c>
      <c r="I5" s="467"/>
      <c r="J5" s="467"/>
      <c r="K5" s="1671">
        <f>SUM(C5:J5)</f>
        <v>4137847</v>
      </c>
      <c r="L5" s="466">
        <v>4180082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1175725</v>
      </c>
      <c r="D8" s="466">
        <v>208842</v>
      </c>
      <c r="E8" s="466">
        <v>698204</v>
      </c>
      <c r="F8" s="466">
        <v>4367</v>
      </c>
      <c r="G8" s="466"/>
      <c r="H8" s="466">
        <v>525</v>
      </c>
      <c r="I8" s="467"/>
      <c r="J8" s="467"/>
      <c r="K8" s="1671">
        <f t="shared" si="0"/>
        <v>2087663</v>
      </c>
      <c r="L8" s="466">
        <v>2103551</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471293</v>
      </c>
      <c r="D10" s="466">
        <v>83970</v>
      </c>
      <c r="E10" s="466">
        <v>48615</v>
      </c>
      <c r="F10" s="466">
        <v>348598</v>
      </c>
      <c r="G10" s="466"/>
      <c r="H10" s="466">
        <v>2160</v>
      </c>
      <c r="I10" s="467"/>
      <c r="J10" s="467"/>
      <c r="K10" s="1671">
        <f t="shared" si="0"/>
        <v>954636</v>
      </c>
      <c r="L10" s="466">
        <v>753014</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251310</v>
      </c>
      <c r="D13" s="466">
        <v>37780</v>
      </c>
      <c r="E13" s="466">
        <v>72267</v>
      </c>
      <c r="F13" s="466">
        <v>10013</v>
      </c>
      <c r="G13" s="466">
        <v>171500</v>
      </c>
      <c r="H13" s="466"/>
      <c r="I13" s="467"/>
      <c r="J13" s="467"/>
      <c r="K13" s="1671">
        <f t="shared" si="0"/>
        <v>542870</v>
      </c>
      <c r="L13" s="466">
        <v>319203</v>
      </c>
    </row>
    <row r="14" spans="1:14" x14ac:dyDescent="0.2">
      <c r="A14" s="1504" t="s">
        <v>963</v>
      </c>
      <c r="B14" s="614">
        <v>1500</v>
      </c>
      <c r="C14" s="466">
        <v>236091</v>
      </c>
      <c r="D14" s="466">
        <v>27508</v>
      </c>
      <c r="E14" s="466">
        <v>35030</v>
      </c>
      <c r="F14" s="466">
        <v>43371</v>
      </c>
      <c r="G14" s="466">
        <v>2000</v>
      </c>
      <c r="H14" s="466">
        <v>6907</v>
      </c>
      <c r="I14" s="467"/>
      <c r="J14" s="467"/>
      <c r="K14" s="1671">
        <f t="shared" si="0"/>
        <v>350907</v>
      </c>
      <c r="L14" s="466">
        <v>358463</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5575926</v>
      </c>
      <c r="D33" s="1670">
        <f t="shared" ref="D33:L33" si="1">SUM(D5:D32)</f>
        <v>876991</v>
      </c>
      <c r="E33" s="1670">
        <f t="shared" si="1"/>
        <v>884647</v>
      </c>
      <c r="F33" s="1670">
        <f t="shared" si="1"/>
        <v>517146</v>
      </c>
      <c r="G33" s="1670">
        <f t="shared" si="1"/>
        <v>173500</v>
      </c>
      <c r="H33" s="1670">
        <f t="shared" si="1"/>
        <v>45713</v>
      </c>
      <c r="I33" s="1670">
        <f t="shared" si="1"/>
        <v>0</v>
      </c>
      <c r="J33" s="1670">
        <f t="shared" si="1"/>
        <v>0</v>
      </c>
      <c r="K33" s="1670">
        <f t="shared" si="1"/>
        <v>8073923</v>
      </c>
      <c r="L33" s="1670">
        <f t="shared" si="1"/>
        <v>7714313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115513</v>
      </c>
      <c r="D36" s="481">
        <v>11534</v>
      </c>
      <c r="E36" s="481"/>
      <c r="F36" s="481">
        <v>226</v>
      </c>
      <c r="G36" s="481"/>
      <c r="H36" s="481"/>
      <c r="I36" s="467"/>
      <c r="J36" s="467"/>
      <c r="K36" s="1671">
        <f t="shared" ref="K36:K41" si="2">SUM(C36:J36)</f>
        <v>127273</v>
      </c>
      <c r="L36" s="466">
        <v>135521</v>
      </c>
    </row>
    <row r="37" spans="1:14" x14ac:dyDescent="0.2">
      <c r="A37" s="1504" t="s">
        <v>1090</v>
      </c>
      <c r="B37" s="614">
        <v>2120</v>
      </c>
      <c r="C37" s="466">
        <v>60748</v>
      </c>
      <c r="D37" s="466">
        <v>9492</v>
      </c>
      <c r="E37" s="466"/>
      <c r="F37" s="466"/>
      <c r="G37" s="466"/>
      <c r="H37" s="466"/>
      <c r="I37" s="467"/>
      <c r="J37" s="467"/>
      <c r="K37" s="1671">
        <f t="shared" si="2"/>
        <v>70240</v>
      </c>
      <c r="L37" s="466">
        <v>72789</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v>78141</v>
      </c>
      <c r="D39" s="466">
        <v>10083</v>
      </c>
      <c r="E39" s="466"/>
      <c r="F39" s="466">
        <v>450</v>
      </c>
      <c r="G39" s="466"/>
      <c r="H39" s="466"/>
      <c r="I39" s="467"/>
      <c r="J39" s="467"/>
      <c r="K39" s="1671">
        <f t="shared" si="2"/>
        <v>88674</v>
      </c>
      <c r="L39" s="466">
        <v>89350</v>
      </c>
    </row>
    <row r="40" spans="1:14" x14ac:dyDescent="0.2">
      <c r="A40" s="1504" t="s">
        <v>200</v>
      </c>
      <c r="B40" s="614">
        <v>2150</v>
      </c>
      <c r="C40" s="466">
        <v>135381</v>
      </c>
      <c r="D40" s="466">
        <v>11224</v>
      </c>
      <c r="E40" s="466">
        <v>13669</v>
      </c>
      <c r="F40" s="466">
        <v>372</v>
      </c>
      <c r="G40" s="466"/>
      <c r="H40" s="466"/>
      <c r="I40" s="467"/>
      <c r="J40" s="467"/>
      <c r="K40" s="1671">
        <f t="shared" si="2"/>
        <v>160646</v>
      </c>
      <c r="L40" s="466">
        <v>137752</v>
      </c>
    </row>
    <row r="41" spans="1:14" x14ac:dyDescent="0.2">
      <c r="A41" s="1504" t="s">
        <v>1669</v>
      </c>
      <c r="B41" s="614">
        <v>2190</v>
      </c>
      <c r="C41" s="466">
        <v>18581</v>
      </c>
      <c r="D41" s="466">
        <v>1191</v>
      </c>
      <c r="E41" s="466">
        <v>59523</v>
      </c>
      <c r="F41" s="466">
        <v>128396</v>
      </c>
      <c r="G41" s="466"/>
      <c r="H41" s="466"/>
      <c r="I41" s="467"/>
      <c r="J41" s="467"/>
      <c r="K41" s="1671">
        <f t="shared" si="2"/>
        <v>207691</v>
      </c>
      <c r="L41" s="466"/>
    </row>
    <row r="42" spans="1:14" ht="12.75" customHeight="1" thickBot="1" x14ac:dyDescent="0.25">
      <c r="A42" s="1668" t="s">
        <v>560</v>
      </c>
      <c r="B42" s="1669" t="s">
        <v>716</v>
      </c>
      <c r="C42" s="1670">
        <f>SUM(C36:C41)</f>
        <v>408364</v>
      </c>
      <c r="D42" s="1670">
        <f t="shared" ref="D42:L42" si="3">SUM(D36:D41)</f>
        <v>43524</v>
      </c>
      <c r="E42" s="1670">
        <f t="shared" si="3"/>
        <v>73192</v>
      </c>
      <c r="F42" s="1670">
        <f t="shared" si="3"/>
        <v>129444</v>
      </c>
      <c r="G42" s="1670">
        <f t="shared" si="3"/>
        <v>0</v>
      </c>
      <c r="H42" s="1670">
        <f t="shared" si="3"/>
        <v>0</v>
      </c>
      <c r="I42" s="1670">
        <f t="shared" si="3"/>
        <v>0</v>
      </c>
      <c r="J42" s="1670">
        <f t="shared" si="3"/>
        <v>0</v>
      </c>
      <c r="K42" s="1670">
        <f t="shared" si="3"/>
        <v>654524</v>
      </c>
      <c r="L42" s="1670">
        <f t="shared" si="3"/>
        <v>435412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92366</v>
      </c>
      <c r="D44" s="481">
        <v>2519</v>
      </c>
      <c r="E44" s="481">
        <v>114706</v>
      </c>
      <c r="F44" s="481">
        <v>123840</v>
      </c>
      <c r="G44" s="481"/>
      <c r="H44" s="481">
        <v>663</v>
      </c>
      <c r="I44" s="467"/>
      <c r="J44" s="467"/>
      <c r="K44" s="1672">
        <f>SUM(C44:J44)</f>
        <v>334094</v>
      </c>
      <c r="L44" s="481">
        <v>425217</v>
      </c>
    </row>
    <row r="45" spans="1:14" x14ac:dyDescent="0.2">
      <c r="A45" s="1504" t="s">
        <v>815</v>
      </c>
      <c r="B45" s="614">
        <v>2220</v>
      </c>
      <c r="C45" s="466">
        <v>141965</v>
      </c>
      <c r="D45" s="466">
        <v>33871</v>
      </c>
      <c r="E45" s="466"/>
      <c r="F45" s="466">
        <v>45642</v>
      </c>
      <c r="G45" s="466"/>
      <c r="H45" s="466">
        <v>3519</v>
      </c>
      <c r="I45" s="467"/>
      <c r="J45" s="467"/>
      <c r="K45" s="1672">
        <f>SUM(C45:J45)</f>
        <v>224997</v>
      </c>
      <c r="L45" s="466">
        <v>196632</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234331</v>
      </c>
      <c r="D47" s="1670">
        <f t="shared" ref="D47:K47" si="4">SUM(D44:D46)</f>
        <v>36390</v>
      </c>
      <c r="E47" s="1670">
        <f t="shared" si="4"/>
        <v>114706</v>
      </c>
      <c r="F47" s="1670">
        <f t="shared" si="4"/>
        <v>169482</v>
      </c>
      <c r="G47" s="1670">
        <f t="shared" si="4"/>
        <v>0</v>
      </c>
      <c r="H47" s="1670">
        <f t="shared" si="4"/>
        <v>4182</v>
      </c>
      <c r="I47" s="1670">
        <f t="shared" si="4"/>
        <v>0</v>
      </c>
      <c r="J47" s="1670">
        <f t="shared" si="4"/>
        <v>0</v>
      </c>
      <c r="K47" s="1670">
        <f t="shared" si="4"/>
        <v>559091</v>
      </c>
      <c r="L47" s="1670">
        <f>SUM(L44:L46)</f>
        <v>621849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1000</v>
      </c>
      <c r="D49" s="481">
        <v>11915</v>
      </c>
      <c r="E49" s="481">
        <v>30289</v>
      </c>
      <c r="F49" s="481">
        <v>10411</v>
      </c>
      <c r="G49" s="481"/>
      <c r="H49" s="481">
        <v>16067</v>
      </c>
      <c r="I49" s="467"/>
      <c r="J49" s="467"/>
      <c r="K49" s="1672">
        <f>SUM(C49:J49)</f>
        <v>69682</v>
      </c>
      <c r="L49" s="481">
        <v>69200</v>
      </c>
    </row>
    <row r="50" spans="1:14" x14ac:dyDescent="0.2">
      <c r="A50" s="1504" t="s">
        <v>818</v>
      </c>
      <c r="B50" s="614">
        <v>2320</v>
      </c>
      <c r="C50" s="466">
        <v>170971</v>
      </c>
      <c r="D50" s="466">
        <v>17438</v>
      </c>
      <c r="E50" s="466">
        <v>15924</v>
      </c>
      <c r="F50" s="466">
        <v>6638</v>
      </c>
      <c r="G50" s="466"/>
      <c r="H50" s="466">
        <v>2240</v>
      </c>
      <c r="I50" s="467"/>
      <c r="J50" s="467"/>
      <c r="K50" s="1672">
        <f>SUM(C50:J50)</f>
        <v>213211</v>
      </c>
      <c r="L50" s="466">
        <v>211236</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171971</v>
      </c>
      <c r="D53" s="1670">
        <f t="shared" ref="D53:L53" si="5">SUM(D49:D52)</f>
        <v>29353</v>
      </c>
      <c r="E53" s="1670">
        <f t="shared" si="5"/>
        <v>46213</v>
      </c>
      <c r="F53" s="1670">
        <f t="shared" si="5"/>
        <v>17049</v>
      </c>
      <c r="G53" s="1670">
        <f t="shared" si="5"/>
        <v>0</v>
      </c>
      <c r="H53" s="1670">
        <f t="shared" si="5"/>
        <v>18307</v>
      </c>
      <c r="I53" s="1670">
        <f t="shared" si="5"/>
        <v>0</v>
      </c>
      <c r="J53" s="1670">
        <f t="shared" si="5"/>
        <v>0</v>
      </c>
      <c r="K53" s="1670">
        <f t="shared" si="5"/>
        <v>282893</v>
      </c>
      <c r="L53" s="1670">
        <f t="shared" si="5"/>
        <v>280436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823544</v>
      </c>
      <c r="D55" s="481">
        <v>115529</v>
      </c>
      <c r="E55" s="481">
        <v>525</v>
      </c>
      <c r="F55" s="481">
        <v>8444</v>
      </c>
      <c r="G55" s="481"/>
      <c r="H55" s="481">
        <v>9399</v>
      </c>
      <c r="I55" s="467"/>
      <c r="J55" s="467"/>
      <c r="K55" s="1672">
        <f>SUM(C55:J55)</f>
        <v>957441</v>
      </c>
      <c r="L55" s="481">
        <v>995488</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823544</v>
      </c>
      <c r="D57" s="1674">
        <f t="shared" ref="D57:K57" si="6">SUM(D55:D56)</f>
        <v>115529</v>
      </c>
      <c r="E57" s="1674">
        <f t="shared" si="6"/>
        <v>525</v>
      </c>
      <c r="F57" s="1674">
        <f t="shared" si="6"/>
        <v>8444</v>
      </c>
      <c r="G57" s="1674">
        <f t="shared" si="6"/>
        <v>0</v>
      </c>
      <c r="H57" s="1674">
        <f t="shared" si="6"/>
        <v>9399</v>
      </c>
      <c r="I57" s="1674">
        <f t="shared" si="6"/>
        <v>0</v>
      </c>
      <c r="J57" s="1674">
        <f t="shared" si="6"/>
        <v>0</v>
      </c>
      <c r="K57" s="1674">
        <f t="shared" si="6"/>
        <v>957441</v>
      </c>
      <c r="L57" s="1670">
        <f>SUM(L55:L56)</f>
        <v>995488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30377</v>
      </c>
      <c r="D60" s="466">
        <v>4751</v>
      </c>
      <c r="E60" s="466">
        <v>8280</v>
      </c>
      <c r="F60" s="466">
        <v>1063</v>
      </c>
      <c r="G60" s="466"/>
      <c r="H60" s="466">
        <v>123281</v>
      </c>
      <c r="I60" s="467"/>
      <c r="J60" s="467"/>
      <c r="K60" s="1672">
        <f t="shared" si="7"/>
        <v>167752</v>
      </c>
      <c r="L60" s="466">
        <v>50951</v>
      </c>
      <c r="M60" s="609"/>
      <c r="N60" s="609"/>
    </row>
    <row r="61" spans="1:14" s="343" customFormat="1" x14ac:dyDescent="0.2">
      <c r="A61" s="1504" t="s">
        <v>197</v>
      </c>
      <c r="B61" s="614">
        <v>2540</v>
      </c>
      <c r="C61" s="466">
        <v>323192</v>
      </c>
      <c r="D61" s="466">
        <v>71434</v>
      </c>
      <c r="E61" s="466">
        <v>122013</v>
      </c>
      <c r="F61" s="466">
        <v>232241</v>
      </c>
      <c r="G61" s="466">
        <v>46434</v>
      </c>
      <c r="H61" s="466"/>
      <c r="I61" s="467"/>
      <c r="J61" s="467"/>
      <c r="K61" s="1672">
        <f t="shared" si="7"/>
        <v>795314</v>
      </c>
      <c r="L61" s="466">
        <v>809995</v>
      </c>
      <c r="M61" s="609"/>
      <c r="N61" s="609"/>
    </row>
    <row r="62" spans="1:14" s="343" customFormat="1" x14ac:dyDescent="0.2">
      <c r="A62" s="1504" t="s">
        <v>953</v>
      </c>
      <c r="B62" s="614">
        <v>2550</v>
      </c>
      <c r="C62" s="466">
        <v>9336</v>
      </c>
      <c r="D62" s="466">
        <v>3359</v>
      </c>
      <c r="E62" s="466"/>
      <c r="F62" s="466"/>
      <c r="G62" s="466"/>
      <c r="H62" s="466"/>
      <c r="I62" s="467"/>
      <c r="J62" s="467"/>
      <c r="K62" s="1672">
        <f t="shared" si="7"/>
        <v>12695</v>
      </c>
      <c r="L62" s="466">
        <v>14000</v>
      </c>
      <c r="M62" s="609"/>
      <c r="N62" s="609"/>
    </row>
    <row r="63" spans="1:14" s="609" customFormat="1" x14ac:dyDescent="0.2">
      <c r="A63" s="1504" t="s">
        <v>100</v>
      </c>
      <c r="B63" s="614">
        <v>2560</v>
      </c>
      <c r="C63" s="466">
        <v>155968</v>
      </c>
      <c r="D63" s="466">
        <v>47200</v>
      </c>
      <c r="E63" s="466">
        <v>24391</v>
      </c>
      <c r="F63" s="466">
        <v>247862</v>
      </c>
      <c r="G63" s="466">
        <v>2550</v>
      </c>
      <c r="H63" s="466">
        <v>6611</v>
      </c>
      <c r="I63" s="467"/>
      <c r="J63" s="467"/>
      <c r="K63" s="1672">
        <f t="shared" si="7"/>
        <v>484582</v>
      </c>
      <c r="L63" s="466">
        <v>576244</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518873</v>
      </c>
      <c r="D65" s="1670">
        <f t="shared" ref="D65:L65" si="8">SUM(D59:D64)</f>
        <v>126744</v>
      </c>
      <c r="E65" s="1670">
        <f t="shared" si="8"/>
        <v>154684</v>
      </c>
      <c r="F65" s="1670">
        <f t="shared" si="8"/>
        <v>481166</v>
      </c>
      <c r="G65" s="1670">
        <f t="shared" si="8"/>
        <v>48984</v>
      </c>
      <c r="H65" s="1670">
        <f t="shared" si="8"/>
        <v>129892</v>
      </c>
      <c r="I65" s="1670">
        <f t="shared" si="8"/>
        <v>0</v>
      </c>
      <c r="J65" s="1670">
        <f t="shared" si="8"/>
        <v>0</v>
      </c>
      <c r="K65" s="1670">
        <f t="shared" si="8"/>
        <v>1460343</v>
      </c>
      <c r="L65" s="1670">
        <f t="shared" si="8"/>
        <v>1451190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2157083</v>
      </c>
      <c r="D74" s="1677">
        <f t="shared" ref="D74:K74" si="10">SUM(D42,D47,D53,D57,D65,D72,D73)</f>
        <v>351540</v>
      </c>
      <c r="E74" s="1677">
        <f t="shared" si="10"/>
        <v>389320</v>
      </c>
      <c r="F74" s="1677">
        <f t="shared" si="10"/>
        <v>805585</v>
      </c>
      <c r="G74" s="1677">
        <f t="shared" si="10"/>
        <v>48984</v>
      </c>
      <c r="H74" s="1677">
        <f t="shared" si="10"/>
        <v>161780</v>
      </c>
      <c r="I74" s="1677">
        <f t="shared" si="10"/>
        <v>0</v>
      </c>
      <c r="J74" s="1677">
        <f t="shared" si="10"/>
        <v>0</v>
      </c>
      <c r="K74" s="1677">
        <f t="shared" si="10"/>
        <v>3914292</v>
      </c>
      <c r="L74" s="1677">
        <f>SUM(L42,L47,L53,L57,L65,L72,L73)</f>
        <v>3784375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100086</v>
      </c>
      <c r="F79" s="616"/>
      <c r="G79" s="616"/>
      <c r="H79" s="466"/>
      <c r="I79" s="477"/>
      <c r="J79" s="477"/>
      <c r="K79" s="1671">
        <f t="shared" si="11"/>
        <v>100086</v>
      </c>
      <c r="L79" s="466">
        <v>159000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3068</v>
      </c>
      <c r="F81" s="616"/>
      <c r="G81" s="616"/>
      <c r="H81" s="466"/>
      <c r="I81" s="477"/>
      <c r="J81" s="477"/>
      <c r="K81" s="1671">
        <f t="shared" si="11"/>
        <v>3068</v>
      </c>
      <c r="L81" s="466">
        <v>2312</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103154</v>
      </c>
      <c r="F84" s="616"/>
      <c r="G84" s="616"/>
      <c r="H84" s="1670">
        <f>SUM(H78:H83)</f>
        <v>0</v>
      </c>
      <c r="I84" s="477"/>
      <c r="J84" s="477"/>
      <c r="K84" s="1670">
        <f>SUM(K78:K83)</f>
        <v>103154</v>
      </c>
      <c r="L84" s="1670">
        <f>SUM(L78:L83)</f>
        <v>161312</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103154</v>
      </c>
      <c r="F102" s="616"/>
      <c r="G102" s="616"/>
      <c r="H102" s="1677">
        <f>SUM(H84,H92,H100,H101)</f>
        <v>0</v>
      </c>
      <c r="I102" s="477"/>
      <c r="J102" s="477"/>
      <c r="K102" s="1677">
        <f>SUM(K84,K92,K100,K101)</f>
        <v>103154</v>
      </c>
      <c r="L102" s="1677">
        <f>SUM(L84,L92,L100,L101)</f>
        <v>161312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7733009</v>
      </c>
      <c r="D114" s="1670">
        <f t="shared" ref="D114:K114" si="13">SUM(D33,D74,D75,D102,D112,D113)</f>
        <v>1228531</v>
      </c>
      <c r="E114" s="1670">
        <f t="shared" si="13"/>
        <v>1377121</v>
      </c>
      <c r="F114" s="1670">
        <f t="shared" si="13"/>
        <v>1322731</v>
      </c>
      <c r="G114" s="1670">
        <f t="shared" si="13"/>
        <v>222484</v>
      </c>
      <c r="H114" s="1670">
        <f>SUM(H33,H74,H75,H102,H112,H113)</f>
        <v>207493</v>
      </c>
      <c r="I114" s="1670">
        <f t="shared" si="13"/>
        <v>0</v>
      </c>
      <c r="J114" s="1670">
        <f t="shared" si="13"/>
        <v>0</v>
      </c>
      <c r="K114" s="1670">
        <f t="shared" si="13"/>
        <v>12091369</v>
      </c>
      <c r="L114" s="1670">
        <f>SUM(L33,L74,L75,L102,L112,L113)</f>
        <v>11660000</v>
      </c>
    </row>
    <row r="115" spans="1:14" ht="13.5" thickTop="1" x14ac:dyDescent="0.2">
      <c r="A115" s="2185" t="s">
        <v>996</v>
      </c>
      <c r="B115" s="2186"/>
      <c r="C115" s="618"/>
      <c r="D115" s="618"/>
      <c r="E115" s="618"/>
      <c r="F115" s="618"/>
      <c r="G115" s="618"/>
      <c r="H115" s="618"/>
      <c r="I115" s="618"/>
      <c r="J115" s="618"/>
      <c r="K115" s="1684">
        <f>'Revenues 9-14'!C268-'Expenditures 15-22'!K114</f>
        <v>171150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v>629000</v>
      </c>
    </row>
    <row r="124" spans="1:14" ht="14.25" thickTop="1" thickBot="1" x14ac:dyDescent="0.25">
      <c r="A124" s="1504" t="s">
        <v>197</v>
      </c>
      <c r="B124" s="614">
        <v>2540</v>
      </c>
      <c r="C124" s="466"/>
      <c r="D124" s="466"/>
      <c r="E124" s="466">
        <v>217180</v>
      </c>
      <c r="F124" s="466">
        <v>54387</v>
      </c>
      <c r="G124" s="466">
        <v>114667</v>
      </c>
      <c r="H124" s="466"/>
      <c r="I124" s="467"/>
      <c r="J124" s="467"/>
      <c r="K124" s="1670">
        <f>SUM(C124:J124)</f>
        <v>386234</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217180</v>
      </c>
      <c r="F127" s="1670">
        <f t="shared" si="14"/>
        <v>54387</v>
      </c>
      <c r="G127" s="1670">
        <f t="shared" si="14"/>
        <v>114667</v>
      </c>
      <c r="H127" s="1670">
        <f t="shared" si="14"/>
        <v>0</v>
      </c>
      <c r="I127" s="1670">
        <f t="shared" si="14"/>
        <v>0</v>
      </c>
      <c r="J127" s="1670">
        <f t="shared" si="14"/>
        <v>0</v>
      </c>
      <c r="K127" s="1670">
        <f t="shared" si="14"/>
        <v>386234</v>
      </c>
      <c r="L127" s="1670">
        <f t="shared" si="14"/>
        <v>629000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217180</v>
      </c>
      <c r="F129" s="1677">
        <f t="shared" si="15"/>
        <v>54387</v>
      </c>
      <c r="G129" s="1677">
        <f t="shared" si="15"/>
        <v>114667</v>
      </c>
      <c r="H129" s="1677">
        <f t="shared" si="15"/>
        <v>0</v>
      </c>
      <c r="I129" s="1677">
        <f t="shared" si="15"/>
        <v>0</v>
      </c>
      <c r="J129" s="1677">
        <f t="shared" si="15"/>
        <v>0</v>
      </c>
      <c r="K129" s="1677">
        <f t="shared" si="15"/>
        <v>386234</v>
      </c>
      <c r="L129" s="1677">
        <f t="shared" si="15"/>
        <v>629000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0</v>
      </c>
      <c r="D151" s="1670">
        <f t="shared" ref="D151:K151" si="16">SUM(D129,D130,D139,D149,D150)</f>
        <v>0</v>
      </c>
      <c r="E151" s="1670">
        <f t="shared" si="16"/>
        <v>217180</v>
      </c>
      <c r="F151" s="1670">
        <f t="shared" si="16"/>
        <v>54387</v>
      </c>
      <c r="G151" s="1670">
        <f t="shared" si="16"/>
        <v>114667</v>
      </c>
      <c r="H151" s="1670">
        <f t="shared" si="16"/>
        <v>0</v>
      </c>
      <c r="I151" s="1670">
        <f t="shared" si="16"/>
        <v>0</v>
      </c>
      <c r="J151" s="1670">
        <f t="shared" si="16"/>
        <v>0</v>
      </c>
      <c r="K151" s="1670">
        <f t="shared" si="16"/>
        <v>386234</v>
      </c>
      <c r="L151" s="1670">
        <f>SUM(L129,L130,L139,L149,L150)</f>
        <v>629000</v>
      </c>
    </row>
    <row r="152" spans="1:14" ht="12.75" customHeight="1" thickTop="1" x14ac:dyDescent="0.2">
      <c r="A152" s="2178" t="s">
        <v>1178</v>
      </c>
      <c r="B152" s="2179"/>
      <c r="C152" s="618"/>
      <c r="D152" s="618"/>
      <c r="E152" s="618"/>
      <c r="F152" s="618"/>
      <c r="G152" s="618"/>
      <c r="H152" s="618"/>
      <c r="I152" s="618"/>
      <c r="J152" s="616"/>
      <c r="K152" s="1684">
        <f>'Revenues 9-14'!D268-'Expenditures 15-22'!K151</f>
        <v>78120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5338</v>
      </c>
      <c r="I169" s="616"/>
      <c r="J169" s="616"/>
      <c r="K169" s="1671">
        <f>SUM(C169:H169)</f>
        <v>5338</v>
      </c>
      <c r="L169" s="656"/>
    </row>
    <row r="170" spans="1:14" ht="33.75" customHeight="1" x14ac:dyDescent="0.2">
      <c r="A170" s="669" t="s">
        <v>1670</v>
      </c>
      <c r="B170" s="671" t="s">
        <v>31</v>
      </c>
      <c r="C170" s="616"/>
      <c r="D170" s="616"/>
      <c r="E170" s="616"/>
      <c r="F170" s="616"/>
      <c r="G170" s="616"/>
      <c r="H170" s="569">
        <v>305000</v>
      </c>
      <c r="I170" s="616"/>
      <c r="J170" s="616"/>
      <c r="K170" s="1671">
        <f>SUM(C170:J170)</f>
        <v>305000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310338</v>
      </c>
      <c r="I172" s="638"/>
      <c r="J172" s="616"/>
      <c r="K172" s="1677">
        <f>SUM(K168,K169,K170,K171)</f>
        <v>310338</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310338</v>
      </c>
      <c r="I174" s="638"/>
      <c r="J174" s="616"/>
      <c r="K174" s="1677">
        <f>SUM(K160,K172,K173)</f>
        <v>310338</v>
      </c>
      <c r="L174" s="1677">
        <f>SUM(L160,L172,L173)</f>
        <v>0</v>
      </c>
    </row>
    <row r="175" spans="1:14" ht="13.5" thickTop="1" x14ac:dyDescent="0.2">
      <c r="A175" s="2185" t="s">
        <v>996</v>
      </c>
      <c r="B175" s="2186"/>
      <c r="C175" s="616"/>
      <c r="D175" s="616"/>
      <c r="E175" s="616"/>
      <c r="F175" s="616"/>
      <c r="G175" s="616"/>
      <c r="H175" s="618"/>
      <c r="I175" s="616"/>
      <c r="J175" s="616"/>
      <c r="K175" s="1684">
        <f>'Revenues 9-14'!E268-'Expenditures 15-22'!K174</f>
        <v>-2501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257466</v>
      </c>
      <c r="D182" s="466">
        <v>127991</v>
      </c>
      <c r="E182" s="466">
        <v>36611</v>
      </c>
      <c r="F182" s="466">
        <v>78297</v>
      </c>
      <c r="G182" s="466">
        <v>60997</v>
      </c>
      <c r="H182" s="466">
        <v>2059</v>
      </c>
      <c r="I182" s="467"/>
      <c r="J182" s="467"/>
      <c r="K182" s="1671">
        <f>SUM(C182:J182)</f>
        <v>563421</v>
      </c>
      <c r="L182" s="466">
        <v>509207</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257466</v>
      </c>
      <c r="D184" s="1677">
        <f t="shared" ref="D184:J184" si="17">SUM(D180,D182,D183)</f>
        <v>127991</v>
      </c>
      <c r="E184" s="1677">
        <f t="shared" si="17"/>
        <v>36611</v>
      </c>
      <c r="F184" s="1677">
        <f t="shared" si="17"/>
        <v>78297</v>
      </c>
      <c r="G184" s="1677">
        <f t="shared" si="17"/>
        <v>60997</v>
      </c>
      <c r="H184" s="1677">
        <f t="shared" si="17"/>
        <v>2059</v>
      </c>
      <c r="I184" s="1677">
        <f t="shared" si="17"/>
        <v>0</v>
      </c>
      <c r="J184" s="1677">
        <f t="shared" si="17"/>
        <v>0</v>
      </c>
      <c r="K184" s="1677">
        <f>SUM(K180,K182,K183)</f>
        <v>563421</v>
      </c>
      <c r="L184" s="1677">
        <f>SUM(L180, L182:L183)</f>
        <v>509207</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4753</v>
      </c>
      <c r="I205" s="616"/>
      <c r="J205" s="616"/>
      <c r="K205" s="1685">
        <f>SUM(H205)</f>
        <v>4753</v>
      </c>
      <c r="L205" s="535"/>
    </row>
    <row r="206" spans="1:14" ht="30" customHeight="1" x14ac:dyDescent="0.2">
      <c r="A206" s="681" t="s">
        <v>1671</v>
      </c>
      <c r="B206" s="672" t="s">
        <v>31</v>
      </c>
      <c r="C206" s="616"/>
      <c r="D206" s="616"/>
      <c r="E206" s="616"/>
      <c r="F206" s="616"/>
      <c r="G206" s="616"/>
      <c r="H206" s="466">
        <v>39169</v>
      </c>
      <c r="I206" s="616"/>
      <c r="J206" s="616"/>
      <c r="K206" s="1671">
        <f>SUM(H206)</f>
        <v>39169</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43922</v>
      </c>
      <c r="I208" s="616"/>
      <c r="J208" s="616"/>
      <c r="K208" s="1677">
        <f>SUM(K204,K205,K206,K207)</f>
        <v>43922</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257466</v>
      </c>
      <c r="D210" s="1670">
        <f>SUM(D184,D185)</f>
        <v>127991</v>
      </c>
      <c r="E210" s="1670">
        <f>SUM(E184,E185,E196)</f>
        <v>36611</v>
      </c>
      <c r="F210" s="1670">
        <f>SUM(F184,F185)</f>
        <v>78297</v>
      </c>
      <c r="G210" s="1670">
        <f>SUM(G184,G185)</f>
        <v>60997</v>
      </c>
      <c r="H210" s="1670">
        <f>SUM(H184,H185,H196,H208,H209)</f>
        <v>45981</v>
      </c>
      <c r="I210" s="1670">
        <f>SUM(I184,I185)</f>
        <v>0</v>
      </c>
      <c r="J210" s="1670">
        <f>SUM(J184,J185)</f>
        <v>0</v>
      </c>
      <c r="K210" s="1671">
        <f>SUM(K184,K185,K196,K208,K209)</f>
        <v>607343</v>
      </c>
      <c r="L210" s="1670">
        <f>SUM(L184,L185,L196,L208,L209)</f>
        <v>509207</v>
      </c>
    </row>
    <row r="211" spans="1:14" ht="13.5" thickTop="1" x14ac:dyDescent="0.2">
      <c r="A211" s="2185" t="s">
        <v>996</v>
      </c>
      <c r="B211" s="2186"/>
      <c r="C211" s="618"/>
      <c r="D211" s="618"/>
      <c r="E211" s="618"/>
      <c r="F211" s="618"/>
      <c r="G211" s="618"/>
      <c r="H211" s="618"/>
      <c r="I211" s="616"/>
      <c r="J211" s="616"/>
      <c r="K211" s="1684">
        <f>'Revenues 9-14'!F268-'Expenditures 15-22'!K210</f>
        <v>-52848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75382</v>
      </c>
      <c r="E215" s="616"/>
      <c r="F215" s="616"/>
      <c r="G215" s="616"/>
      <c r="H215" s="616"/>
      <c r="I215" s="616"/>
      <c r="J215" s="616"/>
      <c r="K215" s="1671">
        <f>D215</f>
        <v>75382</v>
      </c>
      <c r="L215" s="466">
        <v>72277</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73569</v>
      </c>
      <c r="E217" s="616"/>
      <c r="F217" s="616"/>
      <c r="G217" s="616"/>
      <c r="H217" s="616"/>
      <c r="I217" s="616"/>
      <c r="J217" s="616"/>
      <c r="K217" s="1671">
        <f t="shared" si="19"/>
        <v>73569</v>
      </c>
      <c r="L217" s="466">
        <v>81626</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29766</v>
      </c>
      <c r="E219" s="616"/>
      <c r="F219" s="616"/>
      <c r="G219" s="616"/>
      <c r="H219" s="616"/>
      <c r="I219" s="616"/>
      <c r="J219" s="616"/>
      <c r="K219" s="1671">
        <f t="shared" si="19"/>
        <v>29766</v>
      </c>
      <c r="L219" s="466">
        <v>32460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3458</v>
      </c>
      <c r="E222" s="616"/>
      <c r="F222" s="616"/>
      <c r="G222" s="616"/>
      <c r="H222" s="616"/>
      <c r="I222" s="616"/>
      <c r="J222" s="616"/>
      <c r="K222" s="1671">
        <f t="shared" si="19"/>
        <v>3458</v>
      </c>
      <c r="L222" s="466">
        <v>2667</v>
      </c>
    </row>
    <row r="223" spans="1:14" x14ac:dyDescent="0.2">
      <c r="A223" s="1504" t="s">
        <v>963</v>
      </c>
      <c r="B223" s="614">
        <v>1500</v>
      </c>
      <c r="C223" s="616"/>
      <c r="D223" s="466">
        <v>10439</v>
      </c>
      <c r="E223" s="616"/>
      <c r="F223" s="616"/>
      <c r="G223" s="616"/>
      <c r="H223" s="616"/>
      <c r="I223" s="616"/>
      <c r="J223" s="616"/>
      <c r="K223" s="1671">
        <f t="shared" si="19"/>
        <v>10439</v>
      </c>
      <c r="L223" s="466">
        <v>11104</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192614</v>
      </c>
      <c r="E229" s="616"/>
      <c r="F229" s="616"/>
      <c r="G229" s="616"/>
      <c r="H229" s="616"/>
      <c r="I229" s="616"/>
      <c r="J229" s="616"/>
      <c r="K229" s="1670">
        <f>SUM(K215:K228)</f>
        <v>192614</v>
      </c>
      <c r="L229" s="1670">
        <f>SUM(L215:L228)</f>
        <v>200134</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1635</v>
      </c>
      <c r="E232" s="616"/>
      <c r="F232" s="616"/>
      <c r="G232" s="616"/>
      <c r="H232" s="616"/>
      <c r="I232" s="616"/>
      <c r="J232" s="616"/>
      <c r="K232" s="1671">
        <f t="shared" ref="K232:K237" si="20">D232</f>
        <v>1635</v>
      </c>
      <c r="L232" s="466">
        <v>1688</v>
      </c>
    </row>
    <row r="233" spans="1:12" x14ac:dyDescent="0.2">
      <c r="A233" s="1504" t="s">
        <v>1090</v>
      </c>
      <c r="B233" s="614">
        <v>2120</v>
      </c>
      <c r="C233" s="616"/>
      <c r="D233" s="466">
        <v>737</v>
      </c>
      <c r="E233" s="616"/>
      <c r="F233" s="616"/>
      <c r="G233" s="616"/>
      <c r="H233" s="616"/>
      <c r="I233" s="616"/>
      <c r="J233" s="616"/>
      <c r="K233" s="1671">
        <f t="shared" si="20"/>
        <v>737</v>
      </c>
      <c r="L233" s="466">
        <v>721</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v>1068</v>
      </c>
      <c r="E235" s="616"/>
      <c r="F235" s="616"/>
      <c r="G235" s="616"/>
      <c r="H235" s="616"/>
      <c r="I235" s="616"/>
      <c r="J235" s="616"/>
      <c r="K235" s="1671">
        <f t="shared" si="20"/>
        <v>1068</v>
      </c>
      <c r="L235" s="466">
        <v>1089</v>
      </c>
    </row>
    <row r="236" spans="1:12" x14ac:dyDescent="0.2">
      <c r="A236" s="1504" t="s">
        <v>200</v>
      </c>
      <c r="B236" s="614">
        <v>2150</v>
      </c>
      <c r="C236" s="616"/>
      <c r="D236" s="466">
        <v>2233</v>
      </c>
      <c r="E236" s="616"/>
      <c r="F236" s="616"/>
      <c r="G236" s="616"/>
      <c r="H236" s="616"/>
      <c r="I236" s="616"/>
      <c r="J236" s="616"/>
      <c r="K236" s="1671">
        <f t="shared" si="20"/>
        <v>2233</v>
      </c>
      <c r="L236" s="466">
        <v>1990</v>
      </c>
    </row>
    <row r="237" spans="1:12" x14ac:dyDescent="0.2">
      <c r="A237" s="1504" t="s">
        <v>165</v>
      </c>
      <c r="B237" s="614">
        <v>2190</v>
      </c>
      <c r="C237" s="616"/>
      <c r="D237" s="466">
        <v>1391</v>
      </c>
      <c r="E237" s="616"/>
      <c r="F237" s="616"/>
      <c r="G237" s="616"/>
      <c r="H237" s="616"/>
      <c r="I237" s="616"/>
      <c r="J237" s="616"/>
      <c r="K237" s="1671">
        <f t="shared" si="20"/>
        <v>1391</v>
      </c>
      <c r="L237" s="466"/>
    </row>
    <row r="238" spans="1:12" ht="12.75" customHeight="1" thickBot="1" x14ac:dyDescent="0.25">
      <c r="A238" s="1668" t="s">
        <v>560</v>
      </c>
      <c r="B238" s="1675" t="s">
        <v>716</v>
      </c>
      <c r="C238" s="616"/>
      <c r="D238" s="1670">
        <f>SUM(D232:D237)</f>
        <v>7064</v>
      </c>
      <c r="E238" s="616"/>
      <c r="F238" s="616"/>
      <c r="G238" s="616"/>
      <c r="H238" s="616"/>
      <c r="I238" s="616"/>
      <c r="J238" s="616"/>
      <c r="K238" s="1670">
        <f>SUM(K232:K237)</f>
        <v>7064</v>
      </c>
      <c r="L238" s="1670">
        <f>SUM(L232:L237)</f>
        <v>5488</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15707</v>
      </c>
      <c r="E240" s="616"/>
      <c r="F240" s="616"/>
      <c r="G240" s="616"/>
      <c r="H240" s="616"/>
      <c r="I240" s="616"/>
      <c r="J240" s="616"/>
      <c r="K240" s="1672">
        <f>D240</f>
        <v>15707</v>
      </c>
      <c r="L240" s="481">
        <v>16815</v>
      </c>
    </row>
    <row r="241" spans="1:12" x14ac:dyDescent="0.2">
      <c r="A241" s="1504" t="s">
        <v>815</v>
      </c>
      <c r="B241" s="614">
        <v>2220</v>
      </c>
      <c r="C241" s="616"/>
      <c r="D241" s="466">
        <v>17909</v>
      </c>
      <c r="E241" s="616"/>
      <c r="F241" s="616"/>
      <c r="G241" s="616"/>
      <c r="H241" s="616"/>
      <c r="I241" s="616"/>
      <c r="J241" s="616"/>
      <c r="K241" s="1672">
        <f>D241</f>
        <v>17909</v>
      </c>
      <c r="L241" s="466">
        <v>13984</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33616</v>
      </c>
      <c r="E243" s="616"/>
      <c r="F243" s="616"/>
      <c r="G243" s="616"/>
      <c r="H243" s="616"/>
      <c r="I243" s="616"/>
      <c r="J243" s="616"/>
      <c r="K243" s="1670">
        <f>SUM(K240:K242)</f>
        <v>33616</v>
      </c>
      <c r="L243" s="1670">
        <f>SUM(L240:L242)</f>
        <v>30799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15</v>
      </c>
      <c r="E245" s="616"/>
      <c r="F245" s="616"/>
      <c r="G245" s="616"/>
      <c r="H245" s="616"/>
      <c r="I245" s="616"/>
      <c r="J245" s="616"/>
      <c r="K245" s="1672">
        <f>D245</f>
        <v>15</v>
      </c>
      <c r="L245" s="481">
        <v>4000</v>
      </c>
    </row>
    <row r="246" spans="1:12" x14ac:dyDescent="0.2">
      <c r="A246" s="1504" t="s">
        <v>818</v>
      </c>
      <c r="B246" s="614">
        <v>2320</v>
      </c>
      <c r="C246" s="616"/>
      <c r="D246" s="466">
        <v>9935</v>
      </c>
      <c r="E246" s="616"/>
      <c r="F246" s="616"/>
      <c r="G246" s="616"/>
      <c r="H246" s="616"/>
      <c r="I246" s="616"/>
      <c r="J246" s="616"/>
      <c r="K246" s="1672">
        <f t="shared" ref="K246:K256" si="21">D246</f>
        <v>9935</v>
      </c>
      <c r="L246" s="466">
        <v>10535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9950</v>
      </c>
      <c r="E257" s="616"/>
      <c r="F257" s="616"/>
      <c r="G257" s="616"/>
      <c r="H257" s="616"/>
      <c r="I257" s="616"/>
      <c r="J257" s="616"/>
      <c r="K257" s="1670">
        <f>SUM(K245:K256)</f>
        <v>9950</v>
      </c>
      <c r="L257" s="1670">
        <f>SUM(L245:L256)</f>
        <v>14535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33288</v>
      </c>
      <c r="E259" s="616"/>
      <c r="F259" s="616"/>
      <c r="G259" s="616"/>
      <c r="H259" s="616"/>
      <c r="I259" s="616"/>
      <c r="J259" s="616"/>
      <c r="K259" s="1672">
        <f>D259</f>
        <v>33288</v>
      </c>
      <c r="L259" s="481">
        <v>34395</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33288</v>
      </c>
      <c r="E261" s="616"/>
      <c r="F261" s="616"/>
      <c r="G261" s="616"/>
      <c r="H261" s="616"/>
      <c r="I261" s="616"/>
      <c r="J261" s="616"/>
      <c r="K261" s="1670">
        <f>SUM(K259:K260)</f>
        <v>33288</v>
      </c>
      <c r="L261" s="1670">
        <f>SUM(L259:L260)</f>
        <v>34395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6111</v>
      </c>
      <c r="E264" s="616"/>
      <c r="F264" s="616"/>
      <c r="G264" s="616"/>
      <c r="H264" s="616"/>
      <c r="I264" s="616"/>
      <c r="J264" s="616"/>
      <c r="K264" s="1672">
        <f t="shared" ref="K264:K269" si="22">D264</f>
        <v>6111</v>
      </c>
      <c r="L264" s="466">
        <v>6790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62830</v>
      </c>
      <c r="E266" s="616"/>
      <c r="F266" s="616"/>
      <c r="G266" s="616"/>
      <c r="H266" s="616"/>
      <c r="I266" s="616"/>
      <c r="J266" s="616"/>
      <c r="K266" s="1672">
        <f t="shared" si="22"/>
        <v>62830</v>
      </c>
      <c r="L266" s="466">
        <v>70416</v>
      </c>
    </row>
    <row r="267" spans="1:14" x14ac:dyDescent="0.2">
      <c r="A267" s="1504" t="s">
        <v>953</v>
      </c>
      <c r="B267" s="614">
        <v>2550</v>
      </c>
      <c r="C267" s="616"/>
      <c r="D267" s="466">
        <v>54033</v>
      </c>
      <c r="E267" s="616"/>
      <c r="F267" s="616"/>
      <c r="G267" s="616"/>
      <c r="H267" s="616"/>
      <c r="I267" s="616"/>
      <c r="J267" s="616"/>
      <c r="K267" s="1672">
        <f t="shared" si="22"/>
        <v>54033</v>
      </c>
      <c r="L267" s="466">
        <v>54000</v>
      </c>
    </row>
    <row r="268" spans="1:14" x14ac:dyDescent="0.2">
      <c r="A268" s="1504" t="s">
        <v>100</v>
      </c>
      <c r="B268" s="614">
        <v>2560</v>
      </c>
      <c r="C268" s="616"/>
      <c r="D268" s="466">
        <v>28836</v>
      </c>
      <c r="E268" s="616"/>
      <c r="F268" s="616"/>
      <c r="G268" s="616"/>
      <c r="H268" s="616"/>
      <c r="I268" s="616"/>
      <c r="J268" s="616"/>
      <c r="K268" s="1672">
        <f t="shared" si="22"/>
        <v>28836</v>
      </c>
      <c r="L268" s="466">
        <v>30097</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151810</v>
      </c>
      <c r="E270" s="616"/>
      <c r="F270" s="616"/>
      <c r="G270" s="616"/>
      <c r="H270" s="616"/>
      <c r="I270" s="616"/>
      <c r="J270" s="616"/>
      <c r="K270" s="1670">
        <f>SUM(K263:K269)</f>
        <v>151810</v>
      </c>
      <c r="L270" s="1670">
        <f>SUM(L263:L269)</f>
        <v>161303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235728</v>
      </c>
      <c r="E279" s="616"/>
      <c r="F279" s="616"/>
      <c r="G279" s="616"/>
      <c r="H279" s="616"/>
      <c r="I279" s="616"/>
      <c r="J279" s="616"/>
      <c r="K279" s="1677">
        <f>SUM(K238,K243,K257,K261,K270,K277,K278)</f>
        <v>235728</v>
      </c>
      <c r="L279" s="1677">
        <f>SUM(L238,L243,L257,L261,L270,L277,L278)</f>
        <v>246520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428342</v>
      </c>
      <c r="E295" s="616"/>
      <c r="F295" s="616"/>
      <c r="G295" s="616"/>
      <c r="H295" s="1670">
        <f>H293</f>
        <v>0</v>
      </c>
      <c r="I295" s="616"/>
      <c r="J295" s="616"/>
      <c r="K295" s="1670">
        <f>SUM(K229,K279,K280,K285,K293,K294)</f>
        <v>428342</v>
      </c>
      <c r="L295" s="1670">
        <f>SUM(L229,L279,L280,L285,L293,L294)</f>
        <v>446654</v>
      </c>
    </row>
    <row r="296" spans="1:14" ht="13.5" thickTop="1" x14ac:dyDescent="0.2">
      <c r="A296" s="2185" t="s">
        <v>996</v>
      </c>
      <c r="B296" s="2186"/>
      <c r="C296" s="616"/>
      <c r="D296" s="618"/>
      <c r="E296" s="616"/>
      <c r="F296" s="616"/>
      <c r="G296" s="616"/>
      <c r="H296" s="687"/>
      <c r="I296" s="616"/>
      <c r="J296" s="616"/>
      <c r="K296" s="1684">
        <f>'Revenues 9-14'!G268-'Expenditures 15-22'!K295</f>
        <v>1401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v>44778</v>
      </c>
      <c r="F320" s="467"/>
      <c r="G320" s="467"/>
      <c r="H320" s="467"/>
      <c r="I320" s="467"/>
      <c r="J320" s="467"/>
      <c r="K320" s="1671">
        <f t="shared" ref="K320:K327" si="24">SUM(C320:J320)</f>
        <v>44778</v>
      </c>
      <c r="L320" s="467">
        <v>240000</v>
      </c>
      <c r="M320" s="665"/>
      <c r="N320" s="665"/>
    </row>
    <row r="321" spans="1:14" s="674" customFormat="1" x14ac:dyDescent="0.2">
      <c r="A321" s="1519" t="s">
        <v>300</v>
      </c>
      <c r="B321" s="697" t="s">
        <v>283</v>
      </c>
      <c r="C321" s="467"/>
      <c r="D321" s="467"/>
      <c r="E321" s="467">
        <v>19990</v>
      </c>
      <c r="F321" s="467"/>
      <c r="G321" s="467"/>
      <c r="H321" s="467"/>
      <c r="I321" s="467"/>
      <c r="J321" s="467"/>
      <c r="K321" s="1671">
        <f t="shared" si="24"/>
        <v>19990</v>
      </c>
      <c r="L321" s="467"/>
      <c r="M321" s="665"/>
      <c r="N321" s="665"/>
    </row>
    <row r="322" spans="1:14" s="674" customFormat="1" x14ac:dyDescent="0.2">
      <c r="A322" s="1519" t="s">
        <v>238</v>
      </c>
      <c r="B322" s="697" t="s">
        <v>284</v>
      </c>
      <c r="C322" s="467"/>
      <c r="D322" s="467"/>
      <c r="E322" s="467">
        <v>120207</v>
      </c>
      <c r="F322" s="467"/>
      <c r="G322" s="467"/>
      <c r="H322" s="467"/>
      <c r="I322" s="467"/>
      <c r="J322" s="467"/>
      <c r="K322" s="1671">
        <f t="shared" si="24"/>
        <v>120207</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40554</v>
      </c>
      <c r="F325" s="467"/>
      <c r="G325" s="467"/>
      <c r="H325" s="467"/>
      <c r="I325" s="467"/>
      <c r="J325" s="467"/>
      <c r="K325" s="1671">
        <f t="shared" si="24"/>
        <v>40554</v>
      </c>
      <c r="L325" s="467">
        <v>50000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44144</v>
      </c>
      <c r="F327" s="467"/>
      <c r="G327" s="467"/>
      <c r="H327" s="467"/>
      <c r="I327" s="467"/>
      <c r="J327" s="467"/>
      <c r="K327" s="1671">
        <f t="shared" si="24"/>
        <v>44144</v>
      </c>
      <c r="L327" s="467">
        <v>15000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269673</v>
      </c>
      <c r="F330" s="1670">
        <f t="shared" si="25"/>
        <v>0</v>
      </c>
      <c r="G330" s="1670">
        <f t="shared" si="25"/>
        <v>0</v>
      </c>
      <c r="H330" s="1670">
        <f t="shared" si="25"/>
        <v>0</v>
      </c>
      <c r="I330" s="1670">
        <f t="shared" si="25"/>
        <v>0</v>
      </c>
      <c r="J330" s="1670">
        <f t="shared" si="25"/>
        <v>0</v>
      </c>
      <c r="K330" s="1670">
        <f>SUM(K319:K329)</f>
        <v>269673</v>
      </c>
      <c r="L330" s="1670">
        <f>SUM(L319:L329)</f>
        <v>305000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269673</v>
      </c>
      <c r="F342" s="1670">
        <f>SUM(F330)</f>
        <v>0</v>
      </c>
      <c r="G342" s="1670">
        <f>SUM(G330)</f>
        <v>0</v>
      </c>
      <c r="H342" s="1670">
        <f>SUM(H330,H334,H340)</f>
        <v>0</v>
      </c>
      <c r="I342" s="1670">
        <f>SUM(I330)</f>
        <v>0</v>
      </c>
      <c r="J342" s="1670">
        <f>SUM(J330)</f>
        <v>0</v>
      </c>
      <c r="K342" s="1670">
        <f>SUM(K330,K334,K340)</f>
        <v>269673</v>
      </c>
      <c r="L342" s="1677">
        <f>SUM(L330,L334,L340,L341)</f>
        <v>305000</v>
      </c>
    </row>
    <row r="343" spans="1:14" ht="12.75" customHeight="1" thickTop="1" x14ac:dyDescent="0.2">
      <c r="A343" s="2171" t="s">
        <v>996</v>
      </c>
      <c r="B343" s="2172"/>
      <c r="C343" s="616"/>
      <c r="D343" s="616"/>
      <c r="E343" s="616"/>
      <c r="F343" s="616"/>
      <c r="G343" s="616"/>
      <c r="H343" s="616"/>
      <c r="I343" s="616"/>
      <c r="J343" s="616"/>
      <c r="K343" s="1684">
        <f>'Revenues 9-14'!J268-'Expenditures 15-22'!K342</f>
        <v>-42956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210000</v>
      </c>
    </row>
    <row r="349" spans="1:14" x14ac:dyDescent="0.2">
      <c r="A349" s="1504" t="s">
        <v>197</v>
      </c>
      <c r="B349" s="614">
        <v>2540</v>
      </c>
      <c r="C349" s="466"/>
      <c r="D349" s="466"/>
      <c r="E349" s="466"/>
      <c r="F349" s="466">
        <v>1427</v>
      </c>
      <c r="G349" s="466"/>
      <c r="H349" s="466"/>
      <c r="I349" s="467"/>
      <c r="J349" s="467"/>
      <c r="K349" s="1671">
        <f>SUM(C349:J349)</f>
        <v>1427</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1427</v>
      </c>
      <c r="G350" s="1670">
        <f t="shared" si="26"/>
        <v>0</v>
      </c>
      <c r="H350" s="1670">
        <f t="shared" si="26"/>
        <v>0</v>
      </c>
      <c r="I350" s="1670">
        <f t="shared" si="26"/>
        <v>0</v>
      </c>
      <c r="J350" s="1670">
        <f t="shared" si="26"/>
        <v>0</v>
      </c>
      <c r="K350" s="1670">
        <f t="shared" si="26"/>
        <v>1427</v>
      </c>
      <c r="L350" s="1670">
        <f t="shared" si="26"/>
        <v>210000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1427</v>
      </c>
      <c r="G352" s="1670">
        <f t="shared" si="27"/>
        <v>0</v>
      </c>
      <c r="H352" s="1670">
        <f t="shared" si="27"/>
        <v>0</v>
      </c>
      <c r="I352" s="1670">
        <f t="shared" si="27"/>
        <v>0</v>
      </c>
      <c r="J352" s="1670">
        <f t="shared" si="27"/>
        <v>0</v>
      </c>
      <c r="K352" s="1670">
        <f t="shared" si="27"/>
        <v>1427</v>
      </c>
      <c r="L352" s="1670">
        <f t="shared" si="27"/>
        <v>210000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1427</v>
      </c>
      <c r="G367" s="1670">
        <f t="shared" si="28"/>
        <v>0</v>
      </c>
      <c r="H367" s="1670">
        <f t="shared" si="28"/>
        <v>0</v>
      </c>
      <c r="I367" s="1670">
        <f t="shared" si="28"/>
        <v>0</v>
      </c>
      <c r="J367" s="1670">
        <f t="shared" si="28"/>
        <v>0</v>
      </c>
      <c r="K367" s="1670">
        <f t="shared" si="28"/>
        <v>1427</v>
      </c>
      <c r="L367" s="1670">
        <f t="shared" si="28"/>
        <v>210000</v>
      </c>
    </row>
    <row r="368" spans="1:14" ht="13.5" thickTop="1" x14ac:dyDescent="0.2">
      <c r="A368" s="2185" t="s">
        <v>996</v>
      </c>
      <c r="B368" s="2186"/>
      <c r="C368" s="654"/>
      <c r="D368" s="654"/>
      <c r="E368" s="626"/>
      <c r="F368" s="626"/>
      <c r="G368" s="626"/>
      <c r="H368" s="626"/>
      <c r="I368" s="626"/>
      <c r="J368" s="623"/>
      <c r="K368" s="1671">
        <f>'Revenues 9-14'!K268-'Expenditures 15-22'!K367</f>
        <v>40224</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1799</v>
      </c>
      <c r="B2" s="1528" t="s">
        <v>1946</v>
      </c>
      <c r="C2" s="714" t="s">
        <v>1947</v>
      </c>
      <c r="D2" s="714" t="s">
        <v>1948</v>
      </c>
      <c r="E2" s="714" t="s">
        <v>1949</v>
      </c>
      <c r="F2" s="714" t="s">
        <v>1950</v>
      </c>
    </row>
    <row r="3" spans="1:6" ht="12" customHeight="1" x14ac:dyDescent="0.2">
      <c r="A3" s="2188"/>
      <c r="B3" s="1525"/>
      <c r="C3" s="1526"/>
      <c r="D3" s="1527" t="s">
        <v>256</v>
      </c>
      <c r="E3" s="1526"/>
      <c r="F3" s="1527" t="s">
        <v>257</v>
      </c>
    </row>
    <row r="4" spans="1:6" ht="13.7" customHeight="1" x14ac:dyDescent="0.2">
      <c r="A4" s="715" t="s">
        <v>1155</v>
      </c>
      <c r="B4" s="1749">
        <f>'Revenues 9-14'!C5</f>
        <v>2244927</v>
      </c>
      <c r="C4" s="1524"/>
      <c r="D4" s="1752">
        <f>B4-C4</f>
        <v>2244927</v>
      </c>
      <c r="E4" s="1524">
        <v>2356935</v>
      </c>
      <c r="F4" s="1752">
        <f>E4-C4</f>
        <v>2356935</v>
      </c>
    </row>
    <row r="5" spans="1:6" ht="13.7" customHeight="1" x14ac:dyDescent="0.2">
      <c r="A5" s="715" t="s">
        <v>870</v>
      </c>
      <c r="B5" s="1750">
        <f>'Revenues 9-14'!D5</f>
        <v>379198</v>
      </c>
      <c r="C5" s="585"/>
      <c r="D5" s="1753">
        <f t="shared" ref="D5:D18" si="0">B5-C5</f>
        <v>379198</v>
      </c>
      <c r="E5" s="585">
        <v>399710</v>
      </c>
      <c r="F5" s="1753">
        <f>E5-C5</f>
        <v>399710</v>
      </c>
    </row>
    <row r="6" spans="1:6" ht="13.7" customHeight="1" x14ac:dyDescent="0.2">
      <c r="A6" s="715" t="s">
        <v>411</v>
      </c>
      <c r="B6" s="1750">
        <f>'Revenues 9-14'!E5</f>
        <v>307837</v>
      </c>
      <c r="C6" s="585"/>
      <c r="D6" s="1753">
        <f t="shared" si="0"/>
        <v>307837</v>
      </c>
      <c r="E6" s="585">
        <v>314308</v>
      </c>
      <c r="F6" s="1753">
        <f t="shared" ref="F6:F18" si="1">E6-C6</f>
        <v>314308</v>
      </c>
    </row>
    <row r="7" spans="1:6" ht="13.7" customHeight="1" x14ac:dyDescent="0.2">
      <c r="A7" s="715" t="s">
        <v>155</v>
      </c>
      <c r="B7" s="1750">
        <f>'Revenues 9-14'!F5</f>
        <v>151678</v>
      </c>
      <c r="C7" s="585"/>
      <c r="D7" s="1753">
        <f t="shared" si="0"/>
        <v>151678</v>
      </c>
      <c r="E7" s="585">
        <v>159884</v>
      </c>
      <c r="F7" s="1753">
        <f t="shared" si="1"/>
        <v>159884</v>
      </c>
    </row>
    <row r="8" spans="1:6" ht="13.7" customHeight="1" x14ac:dyDescent="0.2">
      <c r="A8" s="715" t="s">
        <v>1179</v>
      </c>
      <c r="B8" s="1750">
        <f>'Revenues 9-14'!G5</f>
        <v>207697</v>
      </c>
      <c r="C8" s="585"/>
      <c r="D8" s="1753">
        <f t="shared" si="0"/>
        <v>207697</v>
      </c>
      <c r="E8" s="585">
        <v>210000</v>
      </c>
      <c r="F8" s="1753">
        <f t="shared" si="1"/>
        <v>210000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37919</v>
      </c>
      <c r="C10" s="585"/>
      <c r="D10" s="1753">
        <f t="shared" si="0"/>
        <v>37919</v>
      </c>
      <c r="E10" s="585">
        <v>39971</v>
      </c>
      <c r="F10" s="1753">
        <f t="shared" si="1"/>
        <v>39971</v>
      </c>
    </row>
    <row r="11" spans="1:6" x14ac:dyDescent="0.2">
      <c r="A11" s="715" t="s">
        <v>409</v>
      </c>
      <c r="B11" s="1750">
        <f>'Revenues 9-14'!J5</f>
        <v>224683</v>
      </c>
      <c r="C11" s="585"/>
      <c r="D11" s="1753">
        <f t="shared" si="0"/>
        <v>224683</v>
      </c>
      <c r="E11" s="585">
        <v>235006</v>
      </c>
      <c r="F11" s="1753">
        <f t="shared" si="1"/>
        <v>235006</v>
      </c>
    </row>
    <row r="12" spans="1:6" ht="13.7" customHeight="1" x14ac:dyDescent="0.2">
      <c r="A12" s="715" t="s">
        <v>157</v>
      </c>
      <c r="B12" s="1750">
        <f>'Revenues 9-14'!K5</f>
        <v>37919</v>
      </c>
      <c r="C12" s="585"/>
      <c r="D12" s="1753">
        <f t="shared" si="0"/>
        <v>37919</v>
      </c>
      <c r="E12" s="585">
        <v>39971</v>
      </c>
      <c r="F12" s="1753">
        <f t="shared" si="1"/>
        <v>39971</v>
      </c>
    </row>
    <row r="13" spans="1:6" ht="13.7" customHeight="1" x14ac:dyDescent="0.2">
      <c r="A13" s="715" t="s">
        <v>936</v>
      </c>
      <c r="B13" s="1750">
        <f>SUM('Revenues 9-14'!C6:D6)</f>
        <v>37948</v>
      </c>
      <c r="C13" s="585"/>
      <c r="D13" s="1753">
        <f t="shared" si="0"/>
        <v>37948</v>
      </c>
      <c r="E13" s="585">
        <v>39971</v>
      </c>
      <c r="F13" s="1753">
        <f t="shared" si="1"/>
        <v>39971</v>
      </c>
    </row>
    <row r="14" spans="1:6" ht="13.7" customHeight="1" x14ac:dyDescent="0.2">
      <c r="A14" s="715" t="s">
        <v>410</v>
      </c>
      <c r="B14" s="1750">
        <f>SUM('Revenues 9-14'!C7:D7,'Revenues 9-14'!F7:H7)</f>
        <v>30359</v>
      </c>
      <c r="C14" s="585"/>
      <c r="D14" s="1753">
        <f t="shared" si="0"/>
        <v>30359</v>
      </c>
      <c r="E14" s="585">
        <v>31977</v>
      </c>
      <c r="F14" s="1753">
        <f t="shared" si="1"/>
        <v>31977</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207697</v>
      </c>
      <c r="C16" s="585"/>
      <c r="D16" s="1753">
        <f t="shared" si="0"/>
        <v>207697</v>
      </c>
      <c r="E16" s="585">
        <v>210000</v>
      </c>
      <c r="F16" s="1753">
        <f t="shared" si="1"/>
        <v>210000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3867862</v>
      </c>
      <c r="C19" s="1751">
        <f>SUM(C4:C18)</f>
        <v>0</v>
      </c>
      <c r="D19" s="1751">
        <f>SUM(D4:D18)</f>
        <v>3867862</v>
      </c>
      <c r="E19" s="1751">
        <f>SUM(E4:E18)</f>
        <v>4037733</v>
      </c>
      <c r="F19" s="1751">
        <f>SUM(F4:F18)</f>
        <v>4037733</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I33" sqref="I33:I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1799</v>
      </c>
      <c r="B2" s="2203"/>
      <c r="C2" s="1884" t="s">
        <v>1951</v>
      </c>
      <c r="D2" s="723" t="s">
        <v>1952</v>
      </c>
      <c r="E2" s="723" t="s">
        <v>1953</v>
      </c>
      <c r="F2" s="1884" t="s">
        <v>1954</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2081</v>
      </c>
      <c r="B31" s="733">
        <v>42429</v>
      </c>
      <c r="C31" s="734">
        <v>900000</v>
      </c>
      <c r="D31" s="735">
        <v>1</v>
      </c>
      <c r="E31" s="734">
        <v>305000</v>
      </c>
      <c r="F31" s="734"/>
      <c r="G31" s="734"/>
      <c r="H31" s="734">
        <v>305000</v>
      </c>
      <c r="I31" s="1756">
        <f>((E31+F31)-H31)+G31</f>
        <v>0</v>
      </c>
      <c r="J31" s="734"/>
      <c r="K31" s="736"/>
    </row>
    <row r="32" spans="1:11" ht="12" customHeight="1" x14ac:dyDescent="0.2">
      <c r="A32" s="732" t="s">
        <v>2082</v>
      </c>
      <c r="B32" s="733">
        <v>43536</v>
      </c>
      <c r="C32" s="734">
        <v>900000</v>
      </c>
      <c r="D32" s="735">
        <v>1</v>
      </c>
      <c r="E32" s="734"/>
      <c r="F32" s="734">
        <v>900000</v>
      </c>
      <c r="G32" s="734"/>
      <c r="H32" s="734"/>
      <c r="I32" s="1756">
        <f>((E32+F32)-H32)+G32</f>
        <v>900000</v>
      </c>
      <c r="J32" s="734">
        <v>889533</v>
      </c>
      <c r="K32" s="736"/>
    </row>
    <row r="33" spans="1:11" ht="12" customHeight="1" x14ac:dyDescent="0.2">
      <c r="A33" s="732" t="s">
        <v>2083</v>
      </c>
      <c r="B33" s="733">
        <v>42985</v>
      </c>
      <c r="C33" s="734">
        <v>139800</v>
      </c>
      <c r="D33" s="735">
        <v>7</v>
      </c>
      <c r="E33" s="734">
        <v>109413</v>
      </c>
      <c r="F33" s="734"/>
      <c r="G33" s="734"/>
      <c r="H33" s="734">
        <v>25634</v>
      </c>
      <c r="I33" s="1756">
        <f t="shared" ref="I33:I48" si="1">((E33+F33)-H33)+G33</f>
        <v>83779</v>
      </c>
      <c r="J33" s="734">
        <v>83779</v>
      </c>
      <c r="K33" s="736"/>
    </row>
    <row r="34" spans="1:11" ht="12" customHeight="1" x14ac:dyDescent="0.2">
      <c r="A34" s="732" t="s">
        <v>2083</v>
      </c>
      <c r="B34" s="733">
        <v>43490</v>
      </c>
      <c r="C34" s="734">
        <v>60997</v>
      </c>
      <c r="D34" s="735">
        <v>7</v>
      </c>
      <c r="E34" s="734"/>
      <c r="F34" s="734">
        <v>60997</v>
      </c>
      <c r="G34" s="734"/>
      <c r="H34" s="734">
        <v>13535</v>
      </c>
      <c r="I34" s="1756">
        <f t="shared" si="1"/>
        <v>47462</v>
      </c>
      <c r="J34" s="734">
        <v>47462</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2000797</v>
      </c>
      <c r="D49" s="745"/>
      <c r="E49" s="1756">
        <f t="shared" ref="E49:J49" si="2">SUM(E31:E48)</f>
        <v>414413</v>
      </c>
      <c r="F49" s="1756">
        <f t="shared" si="2"/>
        <v>960997</v>
      </c>
      <c r="G49" s="1756">
        <f t="shared" si="2"/>
        <v>0</v>
      </c>
      <c r="H49" s="1756">
        <f t="shared" si="2"/>
        <v>344169</v>
      </c>
      <c r="I49" s="1756">
        <f t="shared" si="2"/>
        <v>1031241</v>
      </c>
      <c r="J49" s="1756">
        <f t="shared" si="2"/>
        <v>1020774</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t="s">
        <v>2084</v>
      </c>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1809</v>
      </c>
      <c r="K2" s="762" t="s">
        <v>138</v>
      </c>
    </row>
    <row r="3" spans="1:11" x14ac:dyDescent="0.2">
      <c r="A3" s="2224" t="s">
        <v>1959</v>
      </c>
      <c r="B3" s="2225"/>
      <c r="C3" s="2225"/>
      <c r="D3" s="2225"/>
      <c r="E3" s="2226"/>
      <c r="F3" s="763"/>
      <c r="G3" s="764"/>
      <c r="H3" s="764"/>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30359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3738</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13673</v>
      </c>
    </row>
    <row r="10" spans="1:11" x14ac:dyDescent="0.2">
      <c r="A10" s="2245" t="s">
        <v>1810</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30359</v>
      </c>
      <c r="I12" s="1758">
        <f>SUM(I5:I11)</f>
        <v>0</v>
      </c>
      <c r="J12" s="1758">
        <f>SUM(J5:J11)</f>
        <v>0</v>
      </c>
      <c r="K12" s="1758">
        <f>SUM(K5:K11)</f>
        <v>17411</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30359</v>
      </c>
      <c r="I14" s="771"/>
      <c r="J14" s="773"/>
      <c r="K14" s="765">
        <v>17411</v>
      </c>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1806</v>
      </c>
      <c r="B19" s="2253"/>
      <c r="C19" s="2253"/>
      <c r="D19" s="2253"/>
      <c r="E19" s="2254"/>
      <c r="F19" s="789" t="s">
        <v>933</v>
      </c>
      <c r="G19" s="782"/>
      <c r="H19" s="782"/>
      <c r="I19" s="782"/>
      <c r="J19" s="765"/>
      <c r="K19" s="795"/>
    </row>
    <row r="20" spans="1:11" x14ac:dyDescent="0.2">
      <c r="A20" s="2232" t="s">
        <v>1811</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1812</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30359</v>
      </c>
      <c r="I23" s="1758">
        <f>SUM(I14:I16,I21,I22)</f>
        <v>0</v>
      </c>
      <c r="J23" s="1758">
        <f>SUM(J14:J16,J21,J22)</f>
        <v>0</v>
      </c>
      <c r="K23" s="1758">
        <f>SUM(K14:K16,K21,K22)</f>
        <v>17411</v>
      </c>
    </row>
    <row r="24" spans="1:11" ht="14.25" thickTop="1" thickBot="1" x14ac:dyDescent="0.25">
      <c r="A24" s="2239" t="s">
        <v>1960</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1905</v>
      </c>
      <c r="B1" s="2258"/>
      <c r="C1" s="2259"/>
      <c r="D1" s="826"/>
      <c r="E1" s="827"/>
      <c r="F1" s="827"/>
      <c r="G1" s="828"/>
      <c r="H1" s="829"/>
      <c r="I1" s="830"/>
      <c r="J1" s="2255"/>
      <c r="K1" s="2256"/>
      <c r="L1" s="2256"/>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218431</v>
      </c>
      <c r="D5" s="841"/>
      <c r="E5" s="841"/>
      <c r="F5" s="1760">
        <f>(C5+D5)-E5</f>
        <v>218431</v>
      </c>
      <c r="G5" s="837"/>
      <c r="H5" s="842"/>
      <c r="I5" s="842"/>
      <c r="J5" s="842"/>
      <c r="K5" s="793"/>
      <c r="L5" s="1769">
        <f>F5-K5</f>
        <v>218431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6854157</v>
      </c>
      <c r="D8" s="844"/>
      <c r="E8" s="844"/>
      <c r="F8" s="1760">
        <f>(C8+D8)-E8</f>
        <v>6854157</v>
      </c>
      <c r="G8" s="843">
        <v>50</v>
      </c>
      <c r="H8" s="765">
        <v>3117317</v>
      </c>
      <c r="I8" s="765">
        <v>137083</v>
      </c>
      <c r="J8" s="765"/>
      <c r="K8" s="1769">
        <f>(H8+I8)-J8</f>
        <v>3254400</v>
      </c>
      <c r="L8" s="1769">
        <f>F8-K8</f>
        <v>3599757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2725535</v>
      </c>
      <c r="D10" s="846">
        <v>79792</v>
      </c>
      <c r="E10" s="846"/>
      <c r="F10" s="1764">
        <f>(C10+D10)-E10</f>
        <v>2805327</v>
      </c>
      <c r="G10" s="843">
        <v>20</v>
      </c>
      <c r="H10" s="847">
        <v>1494670</v>
      </c>
      <c r="I10" s="847">
        <v>137502</v>
      </c>
      <c r="J10" s="847"/>
      <c r="K10" s="1769">
        <f>(H10+I10)-J10</f>
        <v>1632172</v>
      </c>
      <c r="L10" s="1769">
        <f>F10-K10</f>
        <v>1173155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4509022</v>
      </c>
      <c r="D12" s="844">
        <v>257359</v>
      </c>
      <c r="E12" s="844"/>
      <c r="F12" s="1760">
        <f>(C12+D12)-E12</f>
        <v>4766381</v>
      </c>
      <c r="G12" s="843">
        <v>10</v>
      </c>
      <c r="H12" s="765">
        <v>4141985</v>
      </c>
      <c r="I12" s="765">
        <v>146560</v>
      </c>
      <c r="J12" s="765"/>
      <c r="K12" s="1769">
        <f>(H12+I12)-J12</f>
        <v>4288545</v>
      </c>
      <c r="L12" s="1769">
        <f>F12-K12</f>
        <v>477836</v>
      </c>
    </row>
    <row r="13" spans="1:14" ht="14.25" thickTop="1" thickBot="1" x14ac:dyDescent="0.25">
      <c r="A13" s="848" t="s">
        <v>1122</v>
      </c>
      <c r="B13" s="840">
        <v>252</v>
      </c>
      <c r="C13" s="844">
        <v>1506939</v>
      </c>
      <c r="D13" s="844">
        <v>60997</v>
      </c>
      <c r="E13" s="844"/>
      <c r="F13" s="1760">
        <f>(C13+D13)-E13</f>
        <v>1567936</v>
      </c>
      <c r="G13" s="843">
        <v>5</v>
      </c>
      <c r="H13" s="765">
        <v>1244549</v>
      </c>
      <c r="I13" s="765">
        <v>76255</v>
      </c>
      <c r="J13" s="765">
        <v>8458</v>
      </c>
      <c r="K13" s="1769">
        <f>(H13+I13)-J13</f>
        <v>1312346</v>
      </c>
      <c r="L13" s="1769">
        <f>F13-K13</f>
        <v>255590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15814084</v>
      </c>
      <c r="D16" s="1760">
        <f>SUM(D3,D5:D6,D8:D10,D12:D15)</f>
        <v>398148</v>
      </c>
      <c r="E16" s="1760">
        <f>SUM(E3,E5:E6,E8:E10,E12:E15)</f>
        <v>0</v>
      </c>
      <c r="F16" s="1760">
        <f>SUM(F3,F5:F6,F8:F10,F12:F15)</f>
        <v>16212232</v>
      </c>
      <c r="G16" s="843"/>
      <c r="H16" s="1760">
        <f>SUM(H3,H6,H8:H10,H12:H14,)</f>
        <v>9998521</v>
      </c>
      <c r="I16" s="1760">
        <f>SUM(I3,I6,I8:I10,I12:I14,)</f>
        <v>497400</v>
      </c>
      <c r="J16" s="1760">
        <f>SUM(J3,J6,J8:J10,J12:J14,)</f>
        <v>8458</v>
      </c>
      <c r="K16" s="1760">
        <f>(H16+I16)-J16</f>
        <v>10487463</v>
      </c>
      <c r="L16" s="1760">
        <f>F16-K16</f>
        <v>5724769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497400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1970</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12091369</v>
      </c>
      <c r="G8" s="865"/>
    </row>
    <row r="9" spans="1:7" x14ac:dyDescent="0.2">
      <c r="A9" s="869" t="s">
        <v>460</v>
      </c>
      <c r="B9" s="870" t="s">
        <v>1873</v>
      </c>
      <c r="C9" s="871"/>
      <c r="D9" s="869" t="s">
        <v>501</v>
      </c>
      <c r="E9" s="868"/>
      <c r="F9" s="1909">
        <f>'Expenditures 15-22'!K151</f>
        <v>386234</v>
      </c>
      <c r="G9" s="872"/>
    </row>
    <row r="10" spans="1:7" x14ac:dyDescent="0.2">
      <c r="A10" s="869" t="s">
        <v>499</v>
      </c>
      <c r="B10" s="870" t="s">
        <v>1874</v>
      </c>
      <c r="C10" s="871"/>
      <c r="D10" s="869" t="s">
        <v>501</v>
      </c>
      <c r="E10" s="868"/>
      <c r="F10" s="1909">
        <f>'Expenditures 15-22'!K174</f>
        <v>310338</v>
      </c>
      <c r="G10" s="872"/>
    </row>
    <row r="11" spans="1:7" x14ac:dyDescent="0.2">
      <c r="A11" s="869" t="s">
        <v>461</v>
      </c>
      <c r="B11" s="870" t="s">
        <v>1875</v>
      </c>
      <c r="C11" s="871"/>
      <c r="D11" s="869" t="s">
        <v>501</v>
      </c>
      <c r="E11" s="868"/>
      <c r="F11" s="1909">
        <f>'Expenditures 15-22'!K210</f>
        <v>607343</v>
      </c>
      <c r="G11" s="872"/>
    </row>
    <row r="12" spans="1:7" x14ac:dyDescent="0.2">
      <c r="A12" s="869" t="s">
        <v>462</v>
      </c>
      <c r="B12" s="870" t="s">
        <v>1876</v>
      </c>
      <c r="C12" s="871"/>
      <c r="D12" s="869" t="s">
        <v>501</v>
      </c>
      <c r="E12" s="868"/>
      <c r="F12" s="1909">
        <f>'Expenditures 15-22'!K295</f>
        <v>428342</v>
      </c>
      <c r="G12" s="872"/>
    </row>
    <row r="13" spans="1:7" x14ac:dyDescent="0.2">
      <c r="A13" s="869" t="s">
        <v>106</v>
      </c>
      <c r="B13" s="870" t="s">
        <v>1877</v>
      </c>
      <c r="C13" s="871"/>
      <c r="D13" s="869" t="s">
        <v>501</v>
      </c>
      <c r="E13" s="868"/>
      <c r="F13" s="1909">
        <f>'Expenditures 15-22'!K342</f>
        <v>269673</v>
      </c>
      <c r="G13" s="873"/>
    </row>
    <row r="14" spans="1:7" ht="12" customHeight="1" thickBot="1" x14ac:dyDescent="0.25">
      <c r="A14" s="1770"/>
      <c r="B14" s="1771"/>
      <c r="C14" s="1772"/>
      <c r="D14" s="1773" t="s">
        <v>501</v>
      </c>
      <c r="E14" s="1774" t="s">
        <v>958</v>
      </c>
      <c r="F14" s="1775">
        <f>SUM(F8:F13)</f>
        <v>14093299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103154</v>
      </c>
      <c r="G53" s="865"/>
    </row>
    <row r="54" spans="1:7" x14ac:dyDescent="0.2">
      <c r="A54" s="869" t="s">
        <v>459</v>
      </c>
      <c r="B54" s="869" t="s">
        <v>1476</v>
      </c>
      <c r="C54" s="889" t="s">
        <v>982</v>
      </c>
      <c r="D54" s="885" t="s">
        <v>1095</v>
      </c>
      <c r="E54" s="868"/>
      <c r="F54" s="1913">
        <f>'Expenditures 15-22'!G114</f>
        <v>222484</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114667</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305000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39169</v>
      </c>
      <c r="G64" s="865"/>
    </row>
    <row r="65" spans="1:8" x14ac:dyDescent="0.2">
      <c r="A65" s="869" t="s">
        <v>461</v>
      </c>
      <c r="B65" s="869" t="s">
        <v>1886</v>
      </c>
      <c r="C65" s="886" t="s">
        <v>982</v>
      </c>
      <c r="D65" s="885" t="s">
        <v>1095</v>
      </c>
      <c r="E65" s="868"/>
      <c r="F65" s="1913">
        <f>'Expenditures 15-22'!G210</f>
        <v>60997</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845471</v>
      </c>
      <c r="G76" s="865"/>
    </row>
    <row r="77" spans="1:8" s="893" customFormat="1" ht="12" customHeight="1" thickTop="1" thickBot="1" x14ac:dyDescent="0.25">
      <c r="A77" s="1779"/>
      <c r="B77" s="1776"/>
      <c r="C77" s="1772"/>
      <c r="D77" s="1777" t="s">
        <v>1896</v>
      </c>
      <c r="E77" s="1774"/>
      <c r="F77" s="1780">
        <f>(F14-F76)</f>
        <v>13247828</v>
      </c>
      <c r="G77" s="869"/>
    </row>
    <row r="78" spans="1:8" s="893" customFormat="1" ht="12" customHeight="1" thickTop="1" x14ac:dyDescent="0.2">
      <c r="A78" s="1781"/>
      <c r="B78" s="1776"/>
      <c r="C78" s="1772"/>
      <c r="D78" s="1777" t="s">
        <v>2057</v>
      </c>
      <c r="E78" s="1774"/>
      <c r="F78" s="898">
        <v>1066.2</v>
      </c>
      <c r="G78" s="899"/>
      <c r="H78" s="869"/>
    </row>
    <row r="79" spans="1:8" s="893" customFormat="1" ht="12" customHeight="1" thickBot="1" x14ac:dyDescent="0.25">
      <c r="A79" s="1782"/>
      <c r="B79" s="1776"/>
      <c r="C79" s="1772"/>
      <c r="D79" s="1777" t="s">
        <v>1897</v>
      </c>
      <c r="E79" s="1774" t="s">
        <v>958</v>
      </c>
      <c r="F79" s="1783">
        <f>IF(F78&gt;0,F77/F78," Complete Line 78")</f>
        <v>12425.274807728381</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15154</v>
      </c>
      <c r="G94" s="912"/>
    </row>
    <row r="95" spans="1:7" x14ac:dyDescent="0.2">
      <c r="A95" s="908" t="s">
        <v>140</v>
      </c>
      <c r="B95" s="908" t="s">
        <v>175</v>
      </c>
      <c r="C95" s="910">
        <v>1700</v>
      </c>
      <c r="D95" s="918" t="str">
        <f>'Revenues 9-14'!A82</f>
        <v>Total District/School Activity Income</v>
      </c>
      <c r="E95" s="906"/>
      <c r="F95" s="1789">
        <f>SUM('Revenues 9-14'!C82,'Revenues 9-14'!D82)</f>
        <v>19977</v>
      </c>
      <c r="G95" s="912"/>
    </row>
    <row r="96" spans="1:7" x14ac:dyDescent="0.2">
      <c r="A96" s="908" t="s">
        <v>459</v>
      </c>
      <c r="B96" s="908" t="s">
        <v>176</v>
      </c>
      <c r="C96" s="910">
        <f>'Revenues 9-14'!B84</f>
        <v>1811</v>
      </c>
      <c r="D96" s="911" t="str">
        <f>'Revenues 9-14'!A84</f>
        <v>Rentals - Regular Textbooks</v>
      </c>
      <c r="E96" s="906"/>
      <c r="F96" s="1789">
        <f>'Revenues 9-14'!C84</f>
        <v>27351</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4441</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429108</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5843</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10761</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13673</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248409</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196518</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43979</v>
      </c>
      <c r="G124" s="930"/>
    </row>
    <row r="125" spans="1:7" x14ac:dyDescent="0.2">
      <c r="A125" s="927" t="s">
        <v>664</v>
      </c>
      <c r="B125" s="927" t="s">
        <v>2018</v>
      </c>
      <c r="C125" s="932">
        <v>4200</v>
      </c>
      <c r="D125" s="929" t="str">
        <f>'Revenues 9-14'!A198</f>
        <v>Total Food Service</v>
      </c>
      <c r="E125" s="906"/>
      <c r="F125" s="1789">
        <f>SUM('Revenues 9-14'!C198,'Revenues 9-14'!G198)</f>
        <v>520368</v>
      </c>
      <c r="G125" s="930"/>
    </row>
    <row r="126" spans="1:7" x14ac:dyDescent="0.2">
      <c r="A126" s="927" t="s">
        <v>668</v>
      </c>
      <c r="B126" s="927" t="s">
        <v>2019</v>
      </c>
      <c r="C126" s="932">
        <v>4300</v>
      </c>
      <c r="D126" s="933" t="str">
        <f>'Revenues 9-14'!A204</f>
        <v>Total Title I</v>
      </c>
      <c r="E126" s="906"/>
      <c r="F126" s="1789">
        <f>SUM('Revenues 9-14'!C204,'Revenues 9-14'!D204,'Revenues 9-14'!F204,'Revenues 9-14'!G204)</f>
        <v>377500</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18443</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25177</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8208</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48592</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2013502</v>
      </c>
    </row>
    <row r="175" spans="1:7" ht="12" customHeight="1" x14ac:dyDescent="0.2">
      <c r="A175" s="1770"/>
      <c r="B175" s="1784"/>
      <c r="C175" s="1785"/>
      <c r="D175" s="1786" t="s">
        <v>2052</v>
      </c>
      <c r="E175" s="1787"/>
      <c r="F175" s="1789">
        <f>'PCTC-OEPP 27-28'!F77-F174</f>
        <v>11234326</v>
      </c>
    </row>
    <row r="176" spans="1:7" ht="12" customHeight="1" x14ac:dyDescent="0.2">
      <c r="A176" s="1770"/>
      <c r="B176" s="1784"/>
      <c r="C176" s="1785"/>
      <c r="D176" s="1786" t="s">
        <v>1814</v>
      </c>
      <c r="E176" s="1787"/>
      <c r="F176" s="1789">
        <f>'Cap Outlay Deprec 26'!I18</f>
        <v>497400</v>
      </c>
    </row>
    <row r="177" spans="1:7" ht="12" customHeight="1" x14ac:dyDescent="0.2">
      <c r="A177" s="1770"/>
      <c r="B177" s="1784"/>
      <c r="C177" s="1785"/>
      <c r="D177" s="1786" t="s">
        <v>2053</v>
      </c>
      <c r="E177" s="1787"/>
      <c r="F177" s="1789">
        <f>F175+F176</f>
        <v>11731726</v>
      </c>
    </row>
    <row r="178" spans="1:7" ht="12" customHeight="1" x14ac:dyDescent="0.2">
      <c r="A178" s="1770"/>
      <c r="B178" s="1790"/>
      <c r="C178" s="1785"/>
      <c r="D178" s="1786" t="str">
        <f>D78</f>
        <v>9 Month ADA from District Average Daily Attendance/Prior General State Aid Inquiry 2018-2019</v>
      </c>
      <c r="E178" s="1787"/>
      <c r="F178" s="1791">
        <f>'PCTC-OEPP 27-28'!F78</f>
        <v>1066.2</v>
      </c>
      <c r="G178" s="930"/>
    </row>
    <row r="179" spans="1:7" ht="12" customHeight="1" thickBot="1" x14ac:dyDescent="0.25">
      <c r="A179" s="1770"/>
      <c r="B179" s="1790"/>
      <c r="C179" s="1785"/>
      <c r="D179" s="1786" t="s">
        <v>2054</v>
      </c>
      <c r="E179" s="1787" t="s">
        <v>1545</v>
      </c>
      <c r="F179" s="1792">
        <f>F177/F178</f>
        <v>11003.307071843932</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1815</v>
      </c>
      <c r="B4" s="2275"/>
      <c r="C4" s="2275"/>
      <c r="D4" s="2275"/>
      <c r="E4" s="2275"/>
      <c r="F4" s="2275"/>
      <c r="G4" s="2276"/>
    </row>
    <row r="5" spans="1:7" x14ac:dyDescent="0.25">
      <c r="A5" s="2277"/>
      <c r="B5" s="2278"/>
      <c r="C5" s="2278"/>
      <c r="D5" s="2278"/>
      <c r="E5" s="2278"/>
      <c r="F5" s="2278"/>
      <c r="G5" s="2279"/>
    </row>
    <row r="6" spans="1:7" ht="18.75" x14ac:dyDescent="0.25">
      <c r="A6" s="1938" t="s">
        <v>2061</v>
      </c>
      <c r="B6" s="1939"/>
      <c r="C6" s="1939"/>
      <c r="D6" s="1939"/>
      <c r="E6" s="1939"/>
      <c r="F6" s="1939"/>
      <c r="G6" s="1940"/>
    </row>
    <row r="7" spans="1:7" ht="18.75" x14ac:dyDescent="0.25">
      <c r="A7" s="1534" t="s">
        <v>1816</v>
      </c>
      <c r="B7" s="1535"/>
      <c r="C7" s="1535"/>
      <c r="D7" s="1535"/>
      <c r="E7" s="1535"/>
      <c r="F7" s="1535"/>
      <c r="G7" s="1536"/>
    </row>
    <row r="8" spans="1:7" ht="30.75" customHeight="1" x14ac:dyDescent="0.25">
      <c r="A8" s="2280" t="s">
        <v>1928</v>
      </c>
      <c r="B8" s="2281"/>
      <c r="C8" s="2281"/>
      <c r="D8" s="2281"/>
      <c r="E8" s="2281"/>
      <c r="F8" s="2281"/>
      <c r="G8" s="2282"/>
    </row>
    <row r="9" spans="1:7" ht="15.75" customHeight="1" x14ac:dyDescent="0.25">
      <c r="A9" s="2283" t="s">
        <v>1903</v>
      </c>
      <c r="B9" s="2284"/>
      <c r="C9" s="2284"/>
      <c r="D9" s="2284"/>
      <c r="E9" s="2284"/>
      <c r="F9" s="2284"/>
      <c r="G9" s="2285"/>
    </row>
    <row r="10" spans="1:7" ht="35.25" customHeight="1" x14ac:dyDescent="0.25">
      <c r="A10" s="2280" t="s">
        <v>2060</v>
      </c>
      <c r="B10" s="2281"/>
      <c r="C10" s="2281"/>
      <c r="D10" s="2281"/>
      <c r="E10" s="2281"/>
      <c r="F10" s="2281"/>
      <c r="G10" s="2282"/>
    </row>
    <row r="11" spans="1:7" ht="15" customHeight="1" x14ac:dyDescent="0.25">
      <c r="A11" s="1537" t="s">
        <v>1817</v>
      </c>
      <c r="B11" s="1538"/>
      <c r="C11" s="1538"/>
      <c r="D11" s="1538"/>
      <c r="E11" s="1538"/>
      <c r="F11" s="1538"/>
      <c r="G11" s="1539"/>
    </row>
    <row r="12" spans="1:7" ht="17.25" customHeight="1" x14ac:dyDescent="0.25">
      <c r="A12" s="2280" t="s">
        <v>1930</v>
      </c>
      <c r="B12" s="2281"/>
      <c r="C12" s="2281"/>
      <c r="D12" s="2281"/>
      <c r="E12" s="2281"/>
      <c r="F12" s="2281"/>
      <c r="G12" s="2282"/>
    </row>
    <row r="13" spans="1:7" ht="15" customHeight="1" x14ac:dyDescent="0.25">
      <c r="A13" s="1537" t="s">
        <v>1822</v>
      </c>
      <c r="B13" s="1538"/>
      <c r="C13" s="1538"/>
      <c r="D13" s="1538"/>
      <c r="E13" s="1538"/>
      <c r="F13" s="1538"/>
      <c r="G13" s="1539"/>
    </row>
    <row r="14" spans="1:7" ht="32.25" customHeight="1" x14ac:dyDescent="0.25">
      <c r="A14" s="2271" t="s">
        <v>1971</v>
      </c>
      <c r="B14" s="2272"/>
      <c r="C14" s="2272"/>
      <c r="D14" s="2272"/>
      <c r="E14" s="2272"/>
      <c r="F14" s="2272"/>
      <c r="G14" s="2273"/>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2079</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5"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272253</v>
      </c>
      <c r="F10" s="974"/>
      <c r="G10" s="975"/>
      <c r="H10" s="162"/>
      <c r="I10" s="162"/>
    </row>
    <row r="11" spans="1:9" s="668" customFormat="1" ht="22.5" customHeight="1" x14ac:dyDescent="0.2">
      <c r="A11" s="2291" t="s">
        <v>1972</v>
      </c>
      <c r="B11" s="2292"/>
      <c r="C11" s="2292"/>
      <c r="D11" s="2293"/>
      <c r="E11" s="977">
        <v>58848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8093037</v>
      </c>
      <c r="F19" s="1799"/>
      <c r="G19" s="1801">
        <f>'Expenditures 15-22'!K33-SUM('Expenditures 15-22'!G33,'Expenditures 15-22'!I33)+'Expenditures 15-22'!D229</f>
        <v>8093037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661588</v>
      </c>
      <c r="F21" s="1802"/>
      <c r="G21" s="1805">
        <f>'Expenditures 15-22'!K42-SUM('Expenditures 15-22'!G42,'Expenditures 15-22'!I42)+'Expenditures 15-22'!K120-SUM('Expenditures 15-22'!G120,'Expenditures 15-22'!I120)+'Expenditures 15-22'!K180-SUM('Expenditures 15-22'!G180,'Expenditures 15-22'!I180)+'Expenditures 15-22'!D238</f>
        <v>661588</v>
      </c>
      <c r="H21" s="987"/>
      <c r="I21" s="162"/>
    </row>
    <row r="22" spans="1:9" s="668" customFormat="1" ht="12" customHeight="1" x14ac:dyDescent="0.2">
      <c r="A22" s="994" t="s">
        <v>564</v>
      </c>
      <c r="B22" s="995"/>
      <c r="C22" s="993">
        <v>2200</v>
      </c>
      <c r="D22" s="1802"/>
      <c r="E22" s="1804">
        <f>'Expenditures 15-22'!K47-SUM('Expenditures 15-22'!G47,'Expenditures 15-22'!I47)+'Expenditures 15-22'!D243</f>
        <v>592707</v>
      </c>
      <c r="F22" s="1802"/>
      <c r="G22" s="1805">
        <f>'Expenditures 15-22'!K47-SUM('Expenditures 15-22'!G47,'Expenditures 15-22'!I47)+'Expenditures 15-22'!D243</f>
        <v>592707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562516</v>
      </c>
      <c r="F23" s="1802"/>
      <c r="G23" s="1804">
        <f>'Expenditures 15-22'!K53-SUM('Expenditures 15-22'!G53,'Expenditures 15-22'!I53)+'Expenditures 15-22'!D257+'Expenditures 15-22'!K330-SUM('Expenditures 15-22'!G330,'Expenditures 15-22'!I330)</f>
        <v>562516</v>
      </c>
      <c r="H23" s="987"/>
      <c r="I23" s="162"/>
    </row>
    <row r="24" spans="1:9" s="668" customFormat="1" ht="12" customHeight="1" x14ac:dyDescent="0.2">
      <c r="A24" s="994" t="s">
        <v>566</v>
      </c>
      <c r="B24" s="995"/>
      <c r="C24" s="993">
        <v>2400</v>
      </c>
      <c r="D24" s="1802"/>
      <c r="E24" s="1804">
        <f>'Expenditures 15-22'!K57-SUM('Expenditures 15-22'!G57,'Expenditures 15-22'!I57)+'Expenditures 15-22'!D261</f>
        <v>990729</v>
      </c>
      <c r="F24" s="1802"/>
      <c r="G24" s="1805">
        <f>'Expenditures 15-22'!K57-SUM('Expenditures 15-22'!G57,'Expenditures 15-22'!I57)+'Expenditures 15-22'!D261</f>
        <v>990729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173863</v>
      </c>
      <c r="E27" s="1804">
        <f>E8</f>
        <v>0</v>
      </c>
      <c r="F27" s="1804">
        <f>'Expenditures 15-22'!K60-SUM('Expenditures 15-22'!G60,'Expenditures 15-22'!I60)+'Expenditures 15-22'!D264-E8</f>
        <v>173863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1083277</v>
      </c>
      <c r="F28" s="1806">
        <f>'Expenditures 15-22'!K61-SUM('Expenditures 15-22'!G61,'Expenditures 15-22'!I61)+'Expenditures 15-22'!K124-SUM('Expenditures 15-22'!G124,'Expenditures 15-22'!I124)+'Expenditures 15-22'!D266-E9</f>
        <v>1083277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569152</v>
      </c>
      <c r="F29" s="1802"/>
      <c r="G29" s="1805">
        <f>'Expenditures 15-22'!K62-SUM('Expenditures 15-22'!G62,'Expenditures 15-22'!I62)+'Expenditures 15-22'!K125-SUM('Expenditures 15-22'!G125,'Expenditures 15-22'!I125)+'Expenditures 15-22'!K182-SUM('Expenditures 15-22'!G182,'Expenditures 15-22'!I182)+'Expenditures 15-22'!D267</f>
        <v>569152</v>
      </c>
      <c r="H29" s="985"/>
    </row>
    <row r="30" spans="1:9" ht="12" customHeight="1" x14ac:dyDescent="0.2">
      <c r="A30" s="994" t="s">
        <v>100</v>
      </c>
      <c r="B30" s="997"/>
      <c r="C30" s="993">
        <v>2560</v>
      </c>
      <c r="D30" s="1802"/>
      <c r="E30" s="1804">
        <f>'Expenditures 15-22'!K63-SUM('Expenditures 15-22'!G63,'Expenditures 15-22'!I63)+'Expenditures 15-22'!D268-E10</f>
        <v>238615</v>
      </c>
      <c r="F30" s="1802"/>
      <c r="G30" s="1804">
        <f>'Expenditures 15-22'!K63-SUM('Expenditures 15-22'!G63,'Expenditures 15-22'!I63)+'Expenditures 15-22'!D268-E10</f>
        <v>238615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173863</v>
      </c>
      <c r="E41" s="1806">
        <f>SUM(E19:E40)</f>
        <v>12791621</v>
      </c>
      <c r="F41" s="1806">
        <f>SUM(F19:F39)</f>
        <v>1257140</v>
      </c>
      <c r="G41" s="1806">
        <f>SUM(G19:G40)</f>
        <v>11708344</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173863</v>
      </c>
      <c r="F43" s="1807" t="s">
        <v>473</v>
      </c>
      <c r="G43" s="1808">
        <f>F41</f>
        <v>1257140</v>
      </c>
    </row>
    <row r="44" spans="1:7" ht="12" customHeight="1" x14ac:dyDescent="0.2">
      <c r="A44" s="987"/>
      <c r="B44" s="162"/>
      <c r="C44" s="1001"/>
      <c r="D44" s="1807" t="s">
        <v>474</v>
      </c>
      <c r="E44" s="1808">
        <f>E41</f>
        <v>12791621</v>
      </c>
      <c r="F44" s="1807" t="s">
        <v>474</v>
      </c>
      <c r="G44" s="1808">
        <f>G41</f>
        <v>11708344</v>
      </c>
    </row>
    <row r="45" spans="1:7" ht="12" customHeight="1" x14ac:dyDescent="0.2">
      <c r="A45" s="987"/>
      <c r="B45" s="162"/>
      <c r="C45" s="162"/>
      <c r="D45" s="1809" t="s">
        <v>1006</v>
      </c>
      <c r="E45" s="1810">
        <f>(E43/E44)</f>
        <v>1.3591944289156159E-2</v>
      </c>
      <c r="F45" s="1809" t="s">
        <v>1006</v>
      </c>
      <c r="G45" s="1810">
        <f>(G43/G44)</f>
        <v>0.10737129008167166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Hoopeston Area CUSD 11</v>
      </c>
      <c r="D6" s="2301"/>
      <c r="E6" s="2301"/>
      <c r="F6" s="1852"/>
    </row>
    <row r="7" spans="1:10" ht="11.25" customHeight="1" thickBot="1" x14ac:dyDescent="0.3">
      <c r="A7" s="1850"/>
      <c r="B7" s="1851"/>
      <c r="C7" s="2302">
        <f>COVER!A13</f>
        <v>54092011026</v>
      </c>
      <c r="D7" s="2302"/>
      <c r="E7" s="2302"/>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2070</v>
      </c>
      <c r="D26" s="1865" t="s">
        <v>2070</v>
      </c>
      <c r="E26" s="1868" t="s">
        <v>2070</v>
      </c>
      <c r="F26" s="1867" t="s">
        <v>2080</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Hoopeston Area CUSD 11</v>
      </c>
      <c r="J6" s="2322"/>
      <c r="Q6" s="1664"/>
    </row>
    <row r="7" spans="1:17" x14ac:dyDescent="0.2">
      <c r="A7" s="2323" t="s">
        <v>869</v>
      </c>
      <c r="B7" s="2324"/>
      <c r="C7" s="2324"/>
      <c r="D7" s="2324"/>
      <c r="E7" s="2325"/>
      <c r="F7" s="1017"/>
      <c r="G7" s="1009"/>
      <c r="H7" s="1016" t="s">
        <v>372</v>
      </c>
      <c r="I7" s="2326">
        <f>COVER!A13</f>
        <v>54092011026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213211</v>
      </c>
      <c r="F12" s="1039"/>
      <c r="G12" s="1811">
        <f t="shared" ref="G12:G18" si="0">SUM(E12:F12)</f>
        <v>213211</v>
      </c>
      <c r="H12" s="1040">
        <v>223871</v>
      </c>
      <c r="I12" s="1039"/>
      <c r="J12" s="1811">
        <f t="shared" ref="J12:J18" si="1">SUM(H12:I12)</f>
        <v>223871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213211</v>
      </c>
      <c r="F19" s="1813">
        <f t="shared" si="2"/>
        <v>0</v>
      </c>
      <c r="G19" s="1813">
        <f t="shared" si="2"/>
        <v>213211</v>
      </c>
      <c r="H19" s="1813">
        <f t="shared" si="2"/>
        <v>223871</v>
      </c>
      <c r="I19" s="1813">
        <f t="shared" si="2"/>
        <v>0</v>
      </c>
      <c r="J19" s="1813">
        <f t="shared" si="2"/>
        <v>223871</v>
      </c>
    </row>
    <row r="20" spans="1:10" ht="13.5" thickTop="1" x14ac:dyDescent="0.2">
      <c r="A20" s="1035">
        <v>9</v>
      </c>
      <c r="B20" s="2333" t="s">
        <v>1976</v>
      </c>
      <c r="C20" s="2333"/>
      <c r="D20" s="2334"/>
      <c r="E20" s="1046"/>
      <c r="F20" s="1046"/>
      <c r="G20" s="1046"/>
      <c r="H20" s="1046"/>
      <c r="I20" s="1046"/>
      <c r="J20" s="1814">
        <f>IF(AND(G19&gt;0,J19&gt;0),(((J19-G19)/G19)),"Enter Budget Data")</f>
        <v>4.9997420395758191E-2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1978</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topLeftCell="A18"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2085</v>
      </c>
    </row>
    <row r="6" spans="1:2" x14ac:dyDescent="0.2">
      <c r="A6" s="1068"/>
      <c r="B6" s="1943" t="s">
        <v>2086</v>
      </c>
    </row>
    <row r="7" spans="1:2" x14ac:dyDescent="0.2">
      <c r="A7" s="1068"/>
      <c r="B7" s="329" t="s">
        <v>2087</v>
      </c>
    </row>
    <row r="8" spans="1:2" x14ac:dyDescent="0.2">
      <c r="A8" s="1068"/>
      <c r="B8" s="329" t="s">
        <v>2088</v>
      </c>
    </row>
    <row r="9" spans="1:2" x14ac:dyDescent="0.2">
      <c r="A9" s="1069"/>
    </row>
    <row r="10" spans="1:2" x14ac:dyDescent="0.2">
      <c r="A10" s="1069">
        <v>2</v>
      </c>
      <c r="B10" s="1942" t="s">
        <v>2089</v>
      </c>
    </row>
    <row r="11" spans="1:2" x14ac:dyDescent="0.2">
      <c r="A11" s="1069"/>
      <c r="B11" s="1943" t="s">
        <v>2090</v>
      </c>
    </row>
    <row r="12" spans="1:2" x14ac:dyDescent="0.2">
      <c r="A12" s="1069"/>
      <c r="B12" s="329" t="s">
        <v>2091</v>
      </c>
    </row>
    <row r="13" spans="1:2" x14ac:dyDescent="0.2">
      <c r="A13" s="1069"/>
    </row>
    <row r="14" spans="1:2" x14ac:dyDescent="0.2">
      <c r="A14" s="1069">
        <v>3</v>
      </c>
      <c r="B14" s="1942" t="s">
        <v>2095</v>
      </c>
    </row>
    <row r="15" spans="1:2" x14ac:dyDescent="0.2">
      <c r="A15" s="1069"/>
      <c r="B15" s="1943" t="s">
        <v>2096</v>
      </c>
    </row>
    <row r="16" spans="1:2" x14ac:dyDescent="0.2">
      <c r="A16" s="1069"/>
      <c r="B16" s="329" t="s">
        <v>2097</v>
      </c>
    </row>
    <row r="17" spans="1:2" x14ac:dyDescent="0.2">
      <c r="A17" s="1069"/>
    </row>
    <row r="18" spans="1:2" x14ac:dyDescent="0.2">
      <c r="A18" s="1069">
        <v>4</v>
      </c>
      <c r="B18" s="1942" t="s">
        <v>2092</v>
      </c>
    </row>
    <row r="19" spans="1:2" x14ac:dyDescent="0.2">
      <c r="A19" s="1069"/>
      <c r="B19" s="1943" t="s">
        <v>2093</v>
      </c>
    </row>
    <row r="20" spans="1:2" x14ac:dyDescent="0.2">
      <c r="A20" s="1069"/>
      <c r="B20" s="329" t="s">
        <v>2094</v>
      </c>
    </row>
    <row r="21" spans="1:2" x14ac:dyDescent="0.2">
      <c r="A21" s="1069"/>
    </row>
    <row r="22" spans="1:2" x14ac:dyDescent="0.2">
      <c r="A22" s="1069">
        <v>5</v>
      </c>
      <c r="B22" s="1942" t="s">
        <v>2098</v>
      </c>
    </row>
    <row r="23" spans="1:2" x14ac:dyDescent="0.2">
      <c r="A23" s="1069"/>
      <c r="B23" s="1943" t="s">
        <v>2093</v>
      </c>
    </row>
    <row r="24" spans="1:2" x14ac:dyDescent="0.2">
      <c r="A24" s="1069"/>
      <c r="B24" s="329" t="s">
        <v>2099</v>
      </c>
    </row>
    <row r="25" spans="1:2" x14ac:dyDescent="0.2">
      <c r="A25" s="1069"/>
    </row>
    <row r="26" spans="1:2" x14ac:dyDescent="0.2">
      <c r="A26" s="1069">
        <v>6</v>
      </c>
      <c r="B26" s="1942" t="s">
        <v>2100</v>
      </c>
    </row>
    <row r="27" spans="1:2" x14ac:dyDescent="0.2">
      <c r="A27" s="1069"/>
      <c r="B27" s="1943" t="s">
        <v>2093</v>
      </c>
    </row>
    <row r="28" spans="1:2" x14ac:dyDescent="0.2">
      <c r="A28" s="1069"/>
      <c r="B28" s="329" t="s">
        <v>2101</v>
      </c>
    </row>
    <row r="29" spans="1:2" x14ac:dyDescent="0.2">
      <c r="A29" s="1069"/>
      <c r="B29" s="329" t="s">
        <v>2102</v>
      </c>
    </row>
    <row r="30" spans="1:2" x14ac:dyDescent="0.2">
      <c r="A30" s="1069"/>
      <c r="B30" s="1943" t="s">
        <v>2103</v>
      </c>
    </row>
    <row r="31" spans="1:2" x14ac:dyDescent="0.2">
      <c r="A31" s="1069"/>
      <c r="B31" s="329" t="s">
        <v>2104</v>
      </c>
    </row>
    <row r="32" spans="1:2" x14ac:dyDescent="0.2">
      <c r="A32" s="1069"/>
    </row>
    <row r="33" spans="1:2" x14ac:dyDescent="0.2">
      <c r="A33" s="1069">
        <v>7</v>
      </c>
      <c r="B33" s="1942" t="s">
        <v>2105</v>
      </c>
    </row>
    <row r="34" spans="1:2" x14ac:dyDescent="0.2">
      <c r="A34" s="1069"/>
      <c r="B34" s="1943" t="s">
        <v>2093</v>
      </c>
    </row>
    <row r="35" spans="1:2" x14ac:dyDescent="0.2">
      <c r="A35" s="1069"/>
      <c r="B35" s="329" t="s">
        <v>2106</v>
      </c>
    </row>
    <row r="36" spans="1:2" x14ac:dyDescent="0.2">
      <c r="A36" s="1069"/>
    </row>
    <row r="37" spans="1:2" x14ac:dyDescent="0.2">
      <c r="A37" s="1069">
        <v>8</v>
      </c>
      <c r="B37" s="1942" t="s">
        <v>2107</v>
      </c>
    </row>
    <row r="38" spans="1:2" x14ac:dyDescent="0.2">
      <c r="A38" s="1069"/>
      <c r="B38" s="1943" t="s">
        <v>2093</v>
      </c>
    </row>
    <row r="39" spans="1:2" x14ac:dyDescent="0.2">
      <c r="A39" s="1069"/>
      <c r="B39" s="329" t="s">
        <v>2108</v>
      </c>
    </row>
    <row r="40" spans="1:2" x14ac:dyDescent="0.2">
      <c r="A40" s="1069"/>
      <c r="B40" s="329" t="s">
        <v>2109</v>
      </c>
    </row>
    <row r="41" spans="1:2" x14ac:dyDescent="0.2">
      <c r="A41" s="1069"/>
      <c r="B41" s="329" t="s">
        <v>2110</v>
      </c>
    </row>
    <row r="42" spans="1:2" x14ac:dyDescent="0.2">
      <c r="A42" s="1069"/>
    </row>
    <row r="43" spans="1:2" x14ac:dyDescent="0.2">
      <c r="A43" s="1069">
        <v>9</v>
      </c>
      <c r="B43" s="1942" t="s">
        <v>2111</v>
      </c>
    </row>
    <row r="44" spans="1:2" x14ac:dyDescent="0.2">
      <c r="A44" s="1069"/>
      <c r="B44" s="329" t="s">
        <v>2112</v>
      </c>
    </row>
    <row r="45" spans="1:2" x14ac:dyDescent="0.2">
      <c r="A45" s="1069"/>
    </row>
    <row r="46" spans="1:2" x14ac:dyDescent="0.2">
      <c r="A46" s="1069">
        <v>10</v>
      </c>
      <c r="B46" s="1942" t="s">
        <v>2113</v>
      </c>
    </row>
    <row r="47" spans="1:2" x14ac:dyDescent="0.2">
      <c r="A47" s="1069"/>
      <c r="B47" s="1943" t="s">
        <v>2114</v>
      </c>
    </row>
    <row r="48" spans="1:2" x14ac:dyDescent="0.2">
      <c r="A48" s="1069"/>
      <c r="B48" s="329" t="s">
        <v>2115</v>
      </c>
    </row>
    <row r="49" spans="1:2" x14ac:dyDescent="0.2">
      <c r="A49" s="1069"/>
      <c r="B49" s="1943" t="s">
        <v>2116</v>
      </c>
    </row>
    <row r="50" spans="1:2" x14ac:dyDescent="0.2">
      <c r="A50" s="1069"/>
      <c r="B50" s="329" t="s">
        <v>2117</v>
      </c>
    </row>
    <row r="51" spans="1:2" x14ac:dyDescent="0.2">
      <c r="A51" s="1069"/>
      <c r="B51" s="1943" t="s">
        <v>2118</v>
      </c>
    </row>
    <row r="52" spans="1:2" x14ac:dyDescent="0.2">
      <c r="A52" s="1069"/>
      <c r="B52" s="329" t="s">
        <v>2119</v>
      </c>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8" t="str">
        <f>COVER!A17</f>
        <v>Hoopeston Area CUSD 11</v>
      </c>
    </row>
    <row r="62" spans="1:2" x14ac:dyDescent="0.2">
      <c r="B62" s="1070">
        <f>COVER!A13</f>
        <v>54092011026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552450</xdr:colOff>
                <xdr:row>3</xdr:row>
                <xdr:rowOff>19050</xdr:rowOff>
              </from>
              <to>
                <xdr:col>1</xdr:col>
                <xdr:colOff>1466850</xdr:colOff>
                <xdr:row>7</xdr:row>
                <xdr:rowOff>57150</xdr:rowOff>
              </to>
            </anchor>
          </objectPr>
        </oleObject>
      </mc:Choice>
      <mc:Fallback>
        <oleObject progId="Acrobat Document" dvAspect="DVASPECT_ICON" shapeId="5120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1982</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1983</v>
      </c>
      <c r="B4" s="2361"/>
      <c r="C4" s="2361"/>
      <c r="D4" s="2361"/>
      <c r="E4" s="2361"/>
      <c r="F4" s="2362"/>
      <c r="G4" s="1074"/>
      <c r="H4" s="1074"/>
    </row>
    <row r="5" spans="1:8" ht="14.25" customHeight="1" x14ac:dyDescent="0.2">
      <c r="A5" s="2363" t="s">
        <v>1979</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12262519</v>
      </c>
      <c r="C8" s="1815">
        <f>'Acct Summary 7-8'!D8</f>
        <v>464354</v>
      </c>
      <c r="D8" s="1815">
        <f>'Acct Summary 7-8'!F8</f>
        <v>554495</v>
      </c>
      <c r="E8" s="1815">
        <f>'Acct Summary 7-8'!I8</f>
        <v>69716</v>
      </c>
      <c r="F8" s="1815">
        <f>SUM(B8:E8)</f>
        <v>13351084</v>
      </c>
    </row>
    <row r="9" spans="1:8" s="1079" customFormat="1" ht="14.25" customHeight="1" thickBot="1" x14ac:dyDescent="0.25">
      <c r="A9" s="1078" t="s">
        <v>1369</v>
      </c>
      <c r="B9" s="1816">
        <f>'Acct Summary 7-8'!C17</f>
        <v>12091369</v>
      </c>
      <c r="C9" s="1816">
        <f>'Acct Summary 7-8'!D17</f>
        <v>386234</v>
      </c>
      <c r="D9" s="1816">
        <f>'Acct Summary 7-8'!F17</f>
        <v>607343</v>
      </c>
      <c r="E9" s="1815"/>
      <c r="F9" s="1815">
        <f>SUM(B9:E9)</f>
        <v>13084946</v>
      </c>
    </row>
    <row r="10" spans="1:8" s="1079" customFormat="1" ht="14.25" thickTop="1" thickBot="1" x14ac:dyDescent="0.25">
      <c r="A10" s="1080" t="s">
        <v>1370</v>
      </c>
      <c r="B10" s="1817">
        <f>(B8-B9)</f>
        <v>171150</v>
      </c>
      <c r="C10" s="1817">
        <f>(C8-C9)</f>
        <v>78120</v>
      </c>
      <c r="D10" s="1817">
        <f>(D8-D9)</f>
        <v>-52848</v>
      </c>
      <c r="E10" s="1816">
        <f>(E8-E9)</f>
        <v>69716</v>
      </c>
      <c r="F10" s="1818">
        <f>SUM(F8-F9)</f>
        <v>266138</v>
      </c>
    </row>
    <row r="11" spans="1:8" s="1079" customFormat="1" ht="14.25" thickTop="1" thickBot="1" x14ac:dyDescent="0.25">
      <c r="A11" s="1081" t="s">
        <v>1980</v>
      </c>
      <c r="B11" s="1819">
        <f>'Acct Summary 7-8'!C81</f>
        <v>6997080</v>
      </c>
      <c r="C11" s="1819">
        <f>'Acct Summary 7-8'!D81</f>
        <v>258003</v>
      </c>
      <c r="D11" s="1819">
        <f>'Acct Summary 7-8'!F81</f>
        <v>87573</v>
      </c>
      <c r="E11" s="1819">
        <f>'Acct Summary 7-8'!I81</f>
        <v>2252346</v>
      </c>
      <c r="F11" s="1820">
        <f>SUM(B11:E11)</f>
        <v>9595002</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ERROR!</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54092011026</v>
      </c>
    </row>
    <row r="3" spans="1:2" x14ac:dyDescent="0.2">
      <c r="A3" t="s">
        <v>956</v>
      </c>
      <c r="B3" s="138" t="str">
        <f>COVER!A15</f>
        <v>VERMILION</v>
      </c>
    </row>
    <row r="4" spans="1:2" x14ac:dyDescent="0.2">
      <c r="A4" t="s">
        <v>1007</v>
      </c>
      <c r="B4" s="138" t="str">
        <f>COVER!A17</f>
        <v>Hoopeston Area CUSD 11</v>
      </c>
    </row>
    <row r="5" spans="1:2" x14ac:dyDescent="0.2">
      <c r="A5" t="s">
        <v>704</v>
      </c>
      <c r="B5" s="138" t="str">
        <f>COVER!A38</f>
        <v>Robert Richardson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6997080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6984333</v>
      </c>
      <c r="D92" s="2" t="str">
        <f t="shared" si="0"/>
        <v>Error?</v>
      </c>
    </row>
    <row r="93" spans="1:4" x14ac:dyDescent="0.2">
      <c r="A93" s="5">
        <v>32</v>
      </c>
      <c r="B93" s="138">
        <f>'Assets-Liab 5-6'!C41</f>
        <v>6997080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258003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258003</v>
      </c>
      <c r="D123" s="2" t="str">
        <f t="shared" si="0"/>
        <v>Error?</v>
      </c>
    </row>
    <row r="124" spans="1:4" x14ac:dyDescent="0.2">
      <c r="A124" s="5">
        <v>63</v>
      </c>
      <c r="B124" s="138">
        <f>'Assets-Liab 5-6'!D41</f>
        <v>258003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10467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10467</v>
      </c>
      <c r="D140" s="2" t="str">
        <f t="shared" si="1"/>
        <v>Error?</v>
      </c>
    </row>
    <row r="141" spans="1:4" x14ac:dyDescent="0.2">
      <c r="A141" s="5">
        <v>80</v>
      </c>
      <c r="B141" s="138">
        <f>'Assets-Liab 5-6'!E41</f>
        <v>10467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87573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87573</v>
      </c>
      <c r="D170" s="2" t="str">
        <f t="shared" si="1"/>
        <v>Error?</v>
      </c>
    </row>
    <row r="171" spans="1:4" x14ac:dyDescent="0.2">
      <c r="A171" s="5">
        <v>110</v>
      </c>
      <c r="B171" s="138">
        <f>'Assets-Liab 5-6'!F41</f>
        <v>87573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638143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638143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218431</v>
      </c>
      <c r="D273" s="2" t="str">
        <f t="shared" si="3"/>
        <v>Error?</v>
      </c>
    </row>
    <row r="274" spans="1:4" x14ac:dyDescent="0.2">
      <c r="A274" s="5">
        <v>213</v>
      </c>
      <c r="B274" s="138">
        <f>'Assets-Liab 5-6'!M17</f>
        <v>6854157</v>
      </c>
      <c r="D274" s="2" t="str">
        <f t="shared" si="3"/>
        <v>Error?</v>
      </c>
    </row>
    <row r="275" spans="1:4" x14ac:dyDescent="0.2">
      <c r="A275" s="5">
        <v>214</v>
      </c>
      <c r="B275" s="138">
        <f>'Assets-Liab 5-6'!M18</f>
        <v>2805327</v>
      </c>
      <c r="D275" s="2" t="str">
        <f t="shared" si="3"/>
        <v>Error?</v>
      </c>
    </row>
    <row r="276" spans="1:4" x14ac:dyDescent="0.2">
      <c r="A276" s="5">
        <v>215</v>
      </c>
      <c r="B276" s="138">
        <f>'Assets-Liab 5-6'!M19</f>
        <v>6334317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16212232</v>
      </c>
      <c r="C279" s="2" t="s">
        <v>573</v>
      </c>
      <c r="D279" s="2" t="str">
        <f t="shared" si="3"/>
        <v>Error?</v>
      </c>
    </row>
    <row r="280" spans="1:4" x14ac:dyDescent="0.2">
      <c r="A280" s="5">
        <v>219</v>
      </c>
      <c r="B280" s="138">
        <f>'Assets-Liab 5-6'!M40</f>
        <v>16212232</v>
      </c>
      <c r="D280" s="2" t="str">
        <f t="shared" si="3"/>
        <v>Error?</v>
      </c>
    </row>
    <row r="281" spans="1:4" x14ac:dyDescent="0.2">
      <c r="A281" s="5">
        <v>220</v>
      </c>
      <c r="B281" s="138">
        <f>'Assets-Liab 5-6'!M41</f>
        <v>16212232</v>
      </c>
      <c r="C281" s="2" t="s">
        <v>573</v>
      </c>
      <c r="D281" s="2" t="str">
        <f t="shared" si="3"/>
        <v>Error?</v>
      </c>
    </row>
    <row r="282" spans="1:4" x14ac:dyDescent="0.2">
      <c r="A282" s="5">
        <v>221</v>
      </c>
      <c r="B282" s="138">
        <f>'Assets-Liab 5-6'!N21</f>
        <v>10467</v>
      </c>
      <c r="D282" s="2" t="str">
        <f t="shared" si="3"/>
        <v>Error?</v>
      </c>
    </row>
    <row r="283" spans="1:4" x14ac:dyDescent="0.2">
      <c r="A283" s="5">
        <v>222</v>
      </c>
      <c r="B283" s="138">
        <f>'Assets-Liab 5-6'!N22</f>
        <v>1020774</v>
      </c>
      <c r="D283" s="2" t="str">
        <f t="shared" si="3"/>
        <v>Error?</v>
      </c>
    </row>
    <row r="284" spans="1:4" x14ac:dyDescent="0.2">
      <c r="A284" s="5">
        <v>223</v>
      </c>
      <c r="B284" s="138">
        <f>'Assets-Liab 5-6'!N23</f>
        <v>1031241</v>
      </c>
      <c r="C284" s="2" t="s">
        <v>573</v>
      </c>
      <c r="D284" s="2" t="str">
        <f t="shared" si="3"/>
        <v>Error?</v>
      </c>
    </row>
    <row r="285" spans="1:4" x14ac:dyDescent="0.2">
      <c r="A285" s="5">
        <v>224</v>
      </c>
      <c r="B285" s="138">
        <f>'Assets-Liab 5-6'!N36</f>
        <v>1031241</v>
      </c>
      <c r="D285" s="2" t="str">
        <f t="shared" si="3"/>
        <v>Error?</v>
      </c>
    </row>
    <row r="286" spans="1:4" x14ac:dyDescent="0.2">
      <c r="A286" s="10">
        <v>225</v>
      </c>
      <c r="D286" s="2" t="str">
        <f t="shared" si="3"/>
        <v>OK</v>
      </c>
    </row>
    <row r="287" spans="1:4" x14ac:dyDescent="0.2">
      <c r="A287" s="5">
        <v>226</v>
      </c>
      <c r="B287" s="138">
        <f>'Assets-Liab 5-6'!N37</f>
        <v>1031241</v>
      </c>
      <c r="C287" s="2" t="s">
        <v>573</v>
      </c>
      <c r="D287" s="2" t="str">
        <f t="shared" si="3"/>
        <v>Error?</v>
      </c>
    </row>
    <row r="288" spans="1:4" x14ac:dyDescent="0.2">
      <c r="A288" s="5">
        <v>227</v>
      </c>
      <c r="B288" s="138">
        <f>'Assets-Liab 5-6'!N41</f>
        <v>1031241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900000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3441507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251310</v>
      </c>
      <c r="D717" s="2" t="str">
        <f t="shared" si="10"/>
        <v>Error?</v>
      </c>
    </row>
    <row r="718" spans="1:4" x14ac:dyDescent="0.2">
      <c r="A718" s="5">
        <v>657</v>
      </c>
      <c r="B718" s="138">
        <f>'Expenditures 15-22'!C14</f>
        <v>236091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5575926</v>
      </c>
      <c r="C720" s="2" t="s">
        <v>573</v>
      </c>
      <c r="D720" s="2" t="str">
        <f t="shared" si="10"/>
        <v>Error?</v>
      </c>
    </row>
    <row r="721" spans="1:4" x14ac:dyDescent="0.2">
      <c r="A721" s="5">
        <v>660</v>
      </c>
      <c r="B721" s="138">
        <f>'Expenditures 15-22'!C36</f>
        <v>115513</v>
      </c>
      <c r="D721" s="2" t="str">
        <f t="shared" si="10"/>
        <v>Error?</v>
      </c>
    </row>
    <row r="722" spans="1:4" x14ac:dyDescent="0.2">
      <c r="A722" s="5">
        <v>661</v>
      </c>
      <c r="B722" s="138">
        <f>'Expenditures 15-22'!C37</f>
        <v>60748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78141</v>
      </c>
      <c r="D724" s="2" t="str">
        <f t="shared" si="10"/>
        <v>Error?</v>
      </c>
    </row>
    <row r="725" spans="1:4" x14ac:dyDescent="0.2">
      <c r="A725" s="5">
        <v>664</v>
      </c>
      <c r="B725" s="138">
        <f>'Expenditures 15-22'!C40</f>
        <v>135381</v>
      </c>
      <c r="D725" s="2" t="str">
        <f t="shared" si="10"/>
        <v>Error?</v>
      </c>
    </row>
    <row r="726" spans="1:4" x14ac:dyDescent="0.2">
      <c r="A726" s="5">
        <v>665</v>
      </c>
      <c r="B726" s="138">
        <f>'Expenditures 15-22'!C41</f>
        <v>18581</v>
      </c>
      <c r="D726" s="2" t="str">
        <f t="shared" si="10"/>
        <v>Error?</v>
      </c>
    </row>
    <row r="727" spans="1:4" x14ac:dyDescent="0.2">
      <c r="A727" s="5">
        <v>666</v>
      </c>
      <c r="B727" s="138">
        <f>'Expenditures 15-22'!C42</f>
        <v>408364</v>
      </c>
      <c r="C727" s="2" t="s">
        <v>573</v>
      </c>
      <c r="D727" s="2" t="str">
        <f t="shared" si="10"/>
        <v>Error?</v>
      </c>
    </row>
    <row r="728" spans="1:4" x14ac:dyDescent="0.2">
      <c r="A728" s="5">
        <v>667</v>
      </c>
      <c r="B728" s="138">
        <f>'Expenditures 15-22'!C44</f>
        <v>92366</v>
      </c>
      <c r="D728" s="2" t="str">
        <f t="shared" si="10"/>
        <v>Error?</v>
      </c>
    </row>
    <row r="729" spans="1:4" x14ac:dyDescent="0.2">
      <c r="A729" s="5">
        <v>668</v>
      </c>
      <c r="B729" s="138">
        <f>'Expenditures 15-22'!C45</f>
        <v>141965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234331</v>
      </c>
      <c r="C731" s="2" t="s">
        <v>573</v>
      </c>
      <c r="D731" s="2" t="str">
        <f t="shared" si="10"/>
        <v>Error?</v>
      </c>
    </row>
    <row r="732" spans="1:4" x14ac:dyDescent="0.2">
      <c r="A732" s="5">
        <v>671</v>
      </c>
      <c r="B732" s="138">
        <f>'Expenditures 15-22'!C49</f>
        <v>1000</v>
      </c>
      <c r="D732" s="2" t="str">
        <f t="shared" si="10"/>
        <v>Error?</v>
      </c>
    </row>
    <row r="733" spans="1:4" x14ac:dyDescent="0.2">
      <c r="A733" s="5">
        <v>672</v>
      </c>
      <c r="B733" s="138">
        <f>'Expenditures 15-22'!C50</f>
        <v>170971</v>
      </c>
      <c r="D733" s="2" t="str">
        <f t="shared" si="10"/>
        <v>Error?</v>
      </c>
    </row>
    <row r="734" spans="1:4" x14ac:dyDescent="0.2">
      <c r="A734" s="5">
        <v>673</v>
      </c>
      <c r="B734" s="138">
        <f>'Expenditures 15-22'!C53</f>
        <v>171971</v>
      </c>
      <c r="C734" s="2" t="s">
        <v>573</v>
      </c>
      <c r="D734" s="2" t="str">
        <f t="shared" si="10"/>
        <v>Error?</v>
      </c>
    </row>
    <row r="735" spans="1:4" x14ac:dyDescent="0.2">
      <c r="A735" s="5">
        <v>674</v>
      </c>
      <c r="B735" s="138">
        <f>'Expenditures 15-22'!C55</f>
        <v>823544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823544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30377</v>
      </c>
      <c r="D739" s="2" t="str">
        <f t="shared" si="10"/>
        <v>Error?</v>
      </c>
    </row>
    <row r="740" spans="1:4" x14ac:dyDescent="0.2">
      <c r="A740" s="5">
        <v>679</v>
      </c>
      <c r="B740" s="138">
        <f>'Expenditures 15-22'!C61</f>
        <v>323192</v>
      </c>
      <c r="D740" s="2" t="str">
        <f t="shared" si="10"/>
        <v>Error?</v>
      </c>
    </row>
    <row r="741" spans="1:4" x14ac:dyDescent="0.2">
      <c r="A741" s="5">
        <v>680</v>
      </c>
      <c r="B741" s="138">
        <f>'Expenditures 15-22'!C62</f>
        <v>9336</v>
      </c>
      <c r="D741" s="2" t="str">
        <f t="shared" si="10"/>
        <v>Error?</v>
      </c>
    </row>
    <row r="742" spans="1:4" x14ac:dyDescent="0.2">
      <c r="A742" s="5">
        <v>681</v>
      </c>
      <c r="B742" s="138">
        <f>'Expenditures 15-22'!C63</f>
        <v>155968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518873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2157083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7733009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518891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37780</v>
      </c>
      <c r="D775" s="2" t="str">
        <f t="shared" si="11"/>
        <v>Error?</v>
      </c>
    </row>
    <row r="776" spans="1:4" x14ac:dyDescent="0.2">
      <c r="A776" s="5">
        <v>715</v>
      </c>
      <c r="B776" s="138">
        <f>'Expenditures 15-22'!D14</f>
        <v>27508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876991</v>
      </c>
      <c r="C778" s="2" t="s">
        <v>573</v>
      </c>
      <c r="D778" s="2" t="str">
        <f t="shared" si="11"/>
        <v>Error?</v>
      </c>
    </row>
    <row r="779" spans="1:4" x14ac:dyDescent="0.2">
      <c r="A779" s="5">
        <v>718</v>
      </c>
      <c r="B779" s="138">
        <f>'Expenditures 15-22'!D36</f>
        <v>11534</v>
      </c>
      <c r="D779" s="2" t="str">
        <f t="shared" si="11"/>
        <v>Error?</v>
      </c>
    </row>
    <row r="780" spans="1:4" x14ac:dyDescent="0.2">
      <c r="A780" s="5">
        <v>719</v>
      </c>
      <c r="B780" s="138">
        <f>'Expenditures 15-22'!D37</f>
        <v>9492</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10083</v>
      </c>
      <c r="D782" s="2" t="str">
        <f t="shared" si="11"/>
        <v>Error?</v>
      </c>
    </row>
    <row r="783" spans="1:4" x14ac:dyDescent="0.2">
      <c r="A783" s="5">
        <v>722</v>
      </c>
      <c r="B783" s="138">
        <f>'Expenditures 15-22'!D40</f>
        <v>11224</v>
      </c>
      <c r="D783" s="2" t="str">
        <f t="shared" si="11"/>
        <v>Error?</v>
      </c>
    </row>
    <row r="784" spans="1:4" x14ac:dyDescent="0.2">
      <c r="A784" s="5">
        <v>723</v>
      </c>
      <c r="B784" s="138">
        <f>'Expenditures 15-22'!D41</f>
        <v>1191</v>
      </c>
      <c r="D784" s="2" t="str">
        <f t="shared" si="11"/>
        <v>Error?</v>
      </c>
    </row>
    <row r="785" spans="1:4" x14ac:dyDescent="0.2">
      <c r="A785" s="5">
        <v>724</v>
      </c>
      <c r="B785" s="138">
        <f>'Expenditures 15-22'!D42</f>
        <v>43524</v>
      </c>
      <c r="C785" s="2" t="s">
        <v>573</v>
      </c>
      <c r="D785" s="2" t="str">
        <f t="shared" si="11"/>
        <v>Error?</v>
      </c>
    </row>
    <row r="786" spans="1:4" x14ac:dyDescent="0.2">
      <c r="A786" s="5">
        <v>725</v>
      </c>
      <c r="B786" s="138">
        <f>'Expenditures 15-22'!D44</f>
        <v>2519</v>
      </c>
      <c r="D786" s="2" t="str">
        <f t="shared" si="11"/>
        <v>Error?</v>
      </c>
    </row>
    <row r="787" spans="1:4" x14ac:dyDescent="0.2">
      <c r="A787" s="5">
        <v>726</v>
      </c>
      <c r="B787" s="138">
        <f>'Expenditures 15-22'!D45</f>
        <v>33871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36390</v>
      </c>
      <c r="C789" s="2" t="s">
        <v>573</v>
      </c>
      <c r="D789" s="2" t="str">
        <f t="shared" si="11"/>
        <v>Error?</v>
      </c>
    </row>
    <row r="790" spans="1:4" x14ac:dyDescent="0.2">
      <c r="A790" s="5">
        <v>729</v>
      </c>
      <c r="B790" s="138">
        <f>'Expenditures 15-22'!D49</f>
        <v>11915</v>
      </c>
      <c r="D790" s="2" t="str">
        <f t="shared" si="11"/>
        <v>Error?</v>
      </c>
    </row>
    <row r="791" spans="1:4" x14ac:dyDescent="0.2">
      <c r="A791" s="5">
        <v>730</v>
      </c>
      <c r="B791" s="138">
        <f>'Expenditures 15-22'!D50</f>
        <v>17438</v>
      </c>
      <c r="D791" s="2" t="str">
        <f t="shared" si="11"/>
        <v>Error?</v>
      </c>
    </row>
    <row r="792" spans="1:4" x14ac:dyDescent="0.2">
      <c r="A792" s="5">
        <v>731</v>
      </c>
      <c r="B792" s="138">
        <f>'Expenditures 15-22'!D53</f>
        <v>29353</v>
      </c>
      <c r="C792" s="2" t="s">
        <v>573</v>
      </c>
      <c r="D792" s="2" t="str">
        <f t="shared" si="11"/>
        <v>Error?</v>
      </c>
    </row>
    <row r="793" spans="1:4" x14ac:dyDescent="0.2">
      <c r="A793" s="5">
        <v>732</v>
      </c>
      <c r="B793" s="138">
        <f>'Expenditures 15-22'!D55</f>
        <v>115529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115529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4751</v>
      </c>
      <c r="D797" s="2" t="str">
        <f t="shared" si="11"/>
        <v>Error?</v>
      </c>
    </row>
    <row r="798" spans="1:4" x14ac:dyDescent="0.2">
      <c r="A798" s="5">
        <v>737</v>
      </c>
      <c r="B798" s="138">
        <f>'Expenditures 15-22'!D61</f>
        <v>71434</v>
      </c>
      <c r="D798" s="2" t="str">
        <f t="shared" si="11"/>
        <v>Error?</v>
      </c>
    </row>
    <row r="799" spans="1:4" x14ac:dyDescent="0.2">
      <c r="A799" s="5">
        <v>738</v>
      </c>
      <c r="B799" s="138">
        <f>'Expenditures 15-22'!D62</f>
        <v>3359</v>
      </c>
      <c r="D799" s="2" t="str">
        <f t="shared" si="11"/>
        <v>Error?</v>
      </c>
    </row>
    <row r="800" spans="1:4" x14ac:dyDescent="0.2">
      <c r="A800" s="5">
        <v>739</v>
      </c>
      <c r="B800" s="138">
        <f>'Expenditures 15-22'!D63</f>
        <v>47200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126744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351540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1228531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30531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72267</v>
      </c>
      <c r="D833" s="2" t="str">
        <f t="shared" si="12"/>
        <v>Error?</v>
      </c>
    </row>
    <row r="834" spans="1:4" x14ac:dyDescent="0.2">
      <c r="A834" s="5">
        <v>773</v>
      </c>
      <c r="B834" s="138">
        <f>'Expenditures 15-22'!E14</f>
        <v>35030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884647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13669</v>
      </c>
      <c r="D841" s="2" t="str">
        <f t="shared" si="12"/>
        <v>Error?</v>
      </c>
    </row>
    <row r="842" spans="1:4" x14ac:dyDescent="0.2">
      <c r="A842" s="5">
        <v>781</v>
      </c>
      <c r="B842" s="138">
        <f>'Expenditures 15-22'!E41</f>
        <v>59523</v>
      </c>
      <c r="D842" s="2" t="str">
        <f t="shared" si="12"/>
        <v>Error?</v>
      </c>
    </row>
    <row r="843" spans="1:4" x14ac:dyDescent="0.2">
      <c r="A843" s="5">
        <v>782</v>
      </c>
      <c r="B843" s="138">
        <f>'Expenditures 15-22'!E42</f>
        <v>73192</v>
      </c>
      <c r="C843" s="2" t="s">
        <v>573</v>
      </c>
      <c r="D843" s="2" t="str">
        <f t="shared" si="12"/>
        <v>Error?</v>
      </c>
    </row>
    <row r="844" spans="1:4" x14ac:dyDescent="0.2">
      <c r="A844" s="5">
        <v>783</v>
      </c>
      <c r="B844" s="138">
        <f>'Expenditures 15-22'!E44</f>
        <v>114706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114706</v>
      </c>
      <c r="C847" s="2" t="s">
        <v>573</v>
      </c>
      <c r="D847" s="2" t="str">
        <f t="shared" si="12"/>
        <v>Error?</v>
      </c>
    </row>
    <row r="848" spans="1:4" x14ac:dyDescent="0.2">
      <c r="A848" s="5">
        <v>787</v>
      </c>
      <c r="B848" s="138">
        <f>'Expenditures 15-22'!E49</f>
        <v>30289</v>
      </c>
      <c r="D848" s="2" t="str">
        <f t="shared" si="12"/>
        <v>Error?</v>
      </c>
    </row>
    <row r="849" spans="1:4" x14ac:dyDescent="0.2">
      <c r="A849" s="5">
        <v>788</v>
      </c>
      <c r="B849" s="138">
        <f>'Expenditures 15-22'!E50</f>
        <v>15924</v>
      </c>
      <c r="D849" s="2" t="str">
        <f t="shared" si="12"/>
        <v>Error?</v>
      </c>
    </row>
    <row r="850" spans="1:4" x14ac:dyDescent="0.2">
      <c r="A850" s="5">
        <v>789</v>
      </c>
      <c r="B850" s="138">
        <f>'Expenditures 15-22'!E53</f>
        <v>46213</v>
      </c>
      <c r="C850" s="2" t="s">
        <v>573</v>
      </c>
      <c r="D850" s="2" t="str">
        <f t="shared" si="12"/>
        <v>Error?</v>
      </c>
    </row>
    <row r="851" spans="1:4" x14ac:dyDescent="0.2">
      <c r="A851" s="5">
        <v>790</v>
      </c>
      <c r="B851" s="138">
        <f>'Expenditures 15-22'!E55</f>
        <v>525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8280</v>
      </c>
      <c r="D855" s="2" t="str">
        <f t="shared" si="12"/>
        <v>Error?</v>
      </c>
    </row>
    <row r="856" spans="1:4" x14ac:dyDescent="0.2">
      <c r="A856" s="5">
        <v>795</v>
      </c>
      <c r="B856" s="138">
        <f>'Expenditures 15-22'!E61</f>
        <v>122013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24391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154684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389320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1377121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110797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10013</v>
      </c>
      <c r="D891" s="2" t="str">
        <f t="shared" si="12"/>
        <v>Error?</v>
      </c>
    </row>
    <row r="892" spans="1:4" x14ac:dyDescent="0.2">
      <c r="A892" s="5">
        <v>831</v>
      </c>
      <c r="B892" s="138">
        <f>'Expenditures 15-22'!F14</f>
        <v>43371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517146</v>
      </c>
      <c r="C894" s="2" t="s">
        <v>573</v>
      </c>
      <c r="D894" s="2" t="str">
        <f t="shared" si="12"/>
        <v>Error?</v>
      </c>
    </row>
    <row r="895" spans="1:4" x14ac:dyDescent="0.2">
      <c r="A895" s="5">
        <v>834</v>
      </c>
      <c r="B895" s="138">
        <f>'Expenditures 15-22'!F36</f>
        <v>226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450</v>
      </c>
      <c r="D898" s="2" t="str">
        <f t="shared" si="13"/>
        <v>Error?</v>
      </c>
    </row>
    <row r="899" spans="1:4" x14ac:dyDescent="0.2">
      <c r="A899" s="5">
        <v>838</v>
      </c>
      <c r="B899" s="138">
        <f>'Expenditures 15-22'!F40</f>
        <v>372</v>
      </c>
      <c r="D899" s="2" t="str">
        <f t="shared" si="13"/>
        <v>Error?</v>
      </c>
    </row>
    <row r="900" spans="1:4" x14ac:dyDescent="0.2">
      <c r="A900" s="5">
        <v>839</v>
      </c>
      <c r="B900" s="138">
        <f>'Expenditures 15-22'!F41</f>
        <v>128396</v>
      </c>
      <c r="D900" s="2" t="str">
        <f t="shared" si="13"/>
        <v>Error?</v>
      </c>
    </row>
    <row r="901" spans="1:4" x14ac:dyDescent="0.2">
      <c r="A901" s="5">
        <v>840</v>
      </c>
      <c r="B901" s="138">
        <f>'Expenditures 15-22'!F42</f>
        <v>129444</v>
      </c>
      <c r="C901" s="2" t="s">
        <v>573</v>
      </c>
      <c r="D901" s="2" t="str">
        <f t="shared" si="13"/>
        <v>Error?</v>
      </c>
    </row>
    <row r="902" spans="1:4" x14ac:dyDescent="0.2">
      <c r="A902" s="5">
        <v>841</v>
      </c>
      <c r="B902" s="138">
        <f>'Expenditures 15-22'!F44</f>
        <v>123840</v>
      </c>
      <c r="D902" s="2" t="str">
        <f t="shared" si="13"/>
        <v>Error?</v>
      </c>
    </row>
    <row r="903" spans="1:4" x14ac:dyDescent="0.2">
      <c r="A903" s="5">
        <v>842</v>
      </c>
      <c r="B903" s="138">
        <f>'Expenditures 15-22'!F45</f>
        <v>45642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169482</v>
      </c>
      <c r="C905" s="2" t="s">
        <v>573</v>
      </c>
      <c r="D905" s="2" t="str">
        <f t="shared" si="13"/>
        <v>Error?</v>
      </c>
    </row>
    <row r="906" spans="1:4" x14ac:dyDescent="0.2">
      <c r="A906" s="5">
        <v>845</v>
      </c>
      <c r="B906" s="138">
        <f>'Expenditures 15-22'!F49</f>
        <v>10411</v>
      </c>
      <c r="D906" s="2" t="str">
        <f t="shared" si="13"/>
        <v>Error?</v>
      </c>
    </row>
    <row r="907" spans="1:4" x14ac:dyDescent="0.2">
      <c r="A907" s="5">
        <v>846</v>
      </c>
      <c r="B907" s="138">
        <f>'Expenditures 15-22'!F50</f>
        <v>6638</v>
      </c>
      <c r="D907" s="2" t="str">
        <f t="shared" si="13"/>
        <v>Error?</v>
      </c>
    </row>
    <row r="908" spans="1:4" x14ac:dyDescent="0.2">
      <c r="A908" s="5">
        <v>847</v>
      </c>
      <c r="B908" s="138">
        <f>'Expenditures 15-22'!F53</f>
        <v>17049</v>
      </c>
      <c r="C908" s="2" t="s">
        <v>573</v>
      </c>
      <c r="D908" s="2" t="str">
        <f t="shared" si="13"/>
        <v>Error?</v>
      </c>
    </row>
    <row r="909" spans="1:4" x14ac:dyDescent="0.2">
      <c r="A909" s="5">
        <v>848</v>
      </c>
      <c r="B909" s="138">
        <f>'Expenditures 15-22'!F55</f>
        <v>8444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8444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1063</v>
      </c>
      <c r="D913" s="2" t="str">
        <f t="shared" si="13"/>
        <v>Error?</v>
      </c>
    </row>
    <row r="914" spans="1:4" x14ac:dyDescent="0.2">
      <c r="A914" s="5">
        <v>853</v>
      </c>
      <c r="B914" s="138">
        <f>'Expenditures 15-22'!F61</f>
        <v>232241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247862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481166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805585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1322731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171500</v>
      </c>
      <c r="D949" s="2" t="str">
        <f t="shared" si="13"/>
        <v>Error?</v>
      </c>
    </row>
    <row r="950" spans="1:4" x14ac:dyDescent="0.2">
      <c r="A950" s="5">
        <v>889</v>
      </c>
      <c r="B950" s="138">
        <f>'Expenditures 15-22'!G14</f>
        <v>2000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173500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46434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48984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48984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222484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36121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6907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45713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663</v>
      </c>
      <c r="D1018" s="2" t="str">
        <f t="shared" si="14"/>
        <v>Error?</v>
      </c>
    </row>
    <row r="1019" spans="1:4" x14ac:dyDescent="0.2">
      <c r="A1019" s="5">
        <v>958</v>
      </c>
      <c r="B1019" s="138">
        <f>'Expenditures 15-22'!H45</f>
        <v>3519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4182</v>
      </c>
      <c r="C1021" s="2" t="s">
        <v>573</v>
      </c>
      <c r="D1021" s="2" t="str">
        <f t="shared" si="14"/>
        <v>Error?</v>
      </c>
    </row>
    <row r="1022" spans="1:4" x14ac:dyDescent="0.2">
      <c r="A1022" s="5">
        <v>961</v>
      </c>
      <c r="B1022" s="138">
        <f>'Expenditures 15-22'!H49</f>
        <v>16067</v>
      </c>
      <c r="D1022" s="2" t="str">
        <f t="shared" si="14"/>
        <v>Error?</v>
      </c>
    </row>
    <row r="1023" spans="1:4" x14ac:dyDescent="0.2">
      <c r="A1023" s="5">
        <v>962</v>
      </c>
      <c r="B1023" s="138">
        <f>'Expenditures 15-22'!H50</f>
        <v>2240</v>
      </c>
      <c r="D1023" s="2" t="str">
        <f t="shared" ref="D1023:D1086" si="15">IF(ISBLANK(B1023),"OK",IF(A1023-B1023=0,"OK","Error?"))</f>
        <v>Error?</v>
      </c>
    </row>
    <row r="1024" spans="1:4" x14ac:dyDescent="0.2">
      <c r="A1024" s="5">
        <v>963</v>
      </c>
      <c r="B1024" s="138">
        <f>'Expenditures 15-22'!H53</f>
        <v>18307</v>
      </c>
      <c r="C1024" s="2" t="s">
        <v>573</v>
      </c>
      <c r="D1024" s="2" t="str">
        <f t="shared" si="15"/>
        <v>Error?</v>
      </c>
    </row>
    <row r="1025" spans="1:4" x14ac:dyDescent="0.2">
      <c r="A1025" s="5">
        <v>964</v>
      </c>
      <c r="B1025" s="138">
        <f>'Expenditures 15-22'!H55</f>
        <v>9399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9399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123281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6611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129892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161780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207493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4137847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542870</v>
      </c>
      <c r="C1105" s="2" t="s">
        <v>573</v>
      </c>
      <c r="D1105" s="2" t="str">
        <f t="shared" si="16"/>
        <v>Error?</v>
      </c>
    </row>
    <row r="1106" spans="1:4" x14ac:dyDescent="0.2">
      <c r="A1106" s="5">
        <v>1045</v>
      </c>
      <c r="B1106" s="138">
        <f>'Expenditures 15-22'!K14</f>
        <v>350907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8073923</v>
      </c>
      <c r="C1108" s="2" t="s">
        <v>573</v>
      </c>
      <c r="D1108" s="2" t="str">
        <f t="shared" si="16"/>
        <v>Error?</v>
      </c>
    </row>
    <row r="1109" spans="1:4" x14ac:dyDescent="0.2">
      <c r="A1109" s="5">
        <v>1048</v>
      </c>
      <c r="B1109" s="138">
        <f>'Expenditures 15-22'!K36</f>
        <v>127273</v>
      </c>
      <c r="C1109" s="2" t="s">
        <v>573</v>
      </c>
      <c r="D1109" s="2" t="str">
        <f t="shared" si="16"/>
        <v>Error?</v>
      </c>
    </row>
    <row r="1110" spans="1:4" x14ac:dyDescent="0.2">
      <c r="A1110" s="5">
        <v>1049</v>
      </c>
      <c r="B1110" s="138">
        <f>'Expenditures 15-22'!K37</f>
        <v>70240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88674</v>
      </c>
      <c r="C1112" s="2" t="s">
        <v>573</v>
      </c>
      <c r="D1112" s="2" t="str">
        <f t="shared" si="16"/>
        <v>Error?</v>
      </c>
    </row>
    <row r="1113" spans="1:4" x14ac:dyDescent="0.2">
      <c r="A1113" s="5">
        <v>1052</v>
      </c>
      <c r="B1113" s="138">
        <f>'Expenditures 15-22'!K40</f>
        <v>160646</v>
      </c>
      <c r="C1113" s="2" t="s">
        <v>573</v>
      </c>
      <c r="D1113" s="2" t="str">
        <f t="shared" si="16"/>
        <v>Error?</v>
      </c>
    </row>
    <row r="1114" spans="1:4" x14ac:dyDescent="0.2">
      <c r="A1114" s="5">
        <v>1053</v>
      </c>
      <c r="B1114" s="138">
        <f>'Expenditures 15-22'!K41</f>
        <v>207691</v>
      </c>
      <c r="C1114" s="2" t="s">
        <v>573</v>
      </c>
      <c r="D1114" s="2" t="str">
        <f t="shared" si="16"/>
        <v>Error?</v>
      </c>
    </row>
    <row r="1115" spans="1:4" x14ac:dyDescent="0.2">
      <c r="A1115" s="5">
        <v>1054</v>
      </c>
      <c r="B1115" s="138">
        <f>'Expenditures 15-22'!K42</f>
        <v>654524</v>
      </c>
      <c r="C1115" s="2" t="s">
        <v>573</v>
      </c>
      <c r="D1115" s="2" t="str">
        <f t="shared" si="16"/>
        <v>Error?</v>
      </c>
    </row>
    <row r="1116" spans="1:4" x14ac:dyDescent="0.2">
      <c r="A1116" s="5">
        <v>1055</v>
      </c>
      <c r="B1116" s="138">
        <f>'Expenditures 15-22'!K44</f>
        <v>334094</v>
      </c>
      <c r="C1116" s="2" t="s">
        <v>573</v>
      </c>
      <c r="D1116" s="2" t="str">
        <f t="shared" si="16"/>
        <v>Error?</v>
      </c>
    </row>
    <row r="1117" spans="1:4" x14ac:dyDescent="0.2">
      <c r="A1117" s="5">
        <v>1056</v>
      </c>
      <c r="B1117" s="138">
        <f>'Expenditures 15-22'!K45</f>
        <v>224997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559091</v>
      </c>
      <c r="C1119" s="2" t="s">
        <v>573</v>
      </c>
      <c r="D1119" s="2" t="str">
        <f t="shared" si="16"/>
        <v>Error?</v>
      </c>
    </row>
    <row r="1120" spans="1:4" x14ac:dyDescent="0.2">
      <c r="A1120" s="5">
        <v>1059</v>
      </c>
      <c r="B1120" s="138">
        <f>'Expenditures 15-22'!K49</f>
        <v>69682</v>
      </c>
      <c r="C1120" s="2" t="s">
        <v>573</v>
      </c>
      <c r="D1120" s="2" t="str">
        <f t="shared" si="16"/>
        <v>Error?</v>
      </c>
    </row>
    <row r="1121" spans="1:4" x14ac:dyDescent="0.2">
      <c r="A1121" s="5">
        <v>1060</v>
      </c>
      <c r="B1121" s="138">
        <f>'Expenditures 15-22'!K50</f>
        <v>213211</v>
      </c>
      <c r="C1121" s="2" t="s">
        <v>573</v>
      </c>
      <c r="D1121" s="2" t="str">
        <f t="shared" si="16"/>
        <v>Error?</v>
      </c>
    </row>
    <row r="1122" spans="1:4" x14ac:dyDescent="0.2">
      <c r="A1122" s="5">
        <v>1061</v>
      </c>
      <c r="B1122" s="138">
        <f>'Expenditures 15-22'!K53</f>
        <v>282893</v>
      </c>
      <c r="C1122" s="2" t="s">
        <v>573</v>
      </c>
      <c r="D1122" s="2" t="str">
        <f t="shared" si="16"/>
        <v>Error?</v>
      </c>
    </row>
    <row r="1123" spans="1:4" x14ac:dyDescent="0.2">
      <c r="A1123" s="5">
        <v>1062</v>
      </c>
      <c r="B1123" s="138">
        <f>'Expenditures 15-22'!K55</f>
        <v>957441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957441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167752</v>
      </c>
      <c r="C1127" s="2" t="s">
        <v>573</v>
      </c>
      <c r="D1127" s="2" t="str">
        <f t="shared" si="16"/>
        <v>Error?</v>
      </c>
    </row>
    <row r="1128" spans="1:4" x14ac:dyDescent="0.2">
      <c r="A1128" s="5">
        <v>1067</v>
      </c>
      <c r="B1128" s="138">
        <f>'Expenditures 15-22'!K61</f>
        <v>795314</v>
      </c>
      <c r="C1128" s="2" t="s">
        <v>573</v>
      </c>
      <c r="D1128" s="2" t="str">
        <f t="shared" si="16"/>
        <v>Error?</v>
      </c>
    </row>
    <row r="1129" spans="1:4" x14ac:dyDescent="0.2">
      <c r="A1129" s="5">
        <v>1068</v>
      </c>
      <c r="B1129" s="138">
        <f>'Expenditures 15-22'!K62</f>
        <v>12695</v>
      </c>
      <c r="C1129" s="2" t="s">
        <v>573</v>
      </c>
      <c r="D1129" s="2" t="str">
        <f t="shared" si="16"/>
        <v>Error?</v>
      </c>
    </row>
    <row r="1130" spans="1:4" x14ac:dyDescent="0.2">
      <c r="A1130" s="5">
        <v>1069</v>
      </c>
      <c r="B1130" s="138">
        <f>'Expenditures 15-22'!K63</f>
        <v>484582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1460343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3914292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103154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12091369</v>
      </c>
      <c r="C1152" s="2" t="s">
        <v>573</v>
      </c>
      <c r="D1152" s="2" t="str">
        <f t="shared" si="17"/>
        <v>Error?</v>
      </c>
    </row>
    <row r="1153" spans="1:4" x14ac:dyDescent="0.2">
      <c r="A1153" s="5">
        <v>1092</v>
      </c>
      <c r="B1153" s="138">
        <f>'Expenditures 15-22'!K115</f>
        <v>171150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217180</v>
      </c>
      <c r="D1237" s="2" t="str">
        <f t="shared" si="18"/>
        <v>Error?</v>
      </c>
    </row>
    <row r="1238" spans="1:4" x14ac:dyDescent="0.2">
      <c r="A1238" s="10">
        <v>1177</v>
      </c>
      <c r="D1238" s="2" t="str">
        <f t="shared" si="18"/>
        <v>OK</v>
      </c>
    </row>
    <row r="1239" spans="1:4" x14ac:dyDescent="0.2">
      <c r="A1239" s="5">
        <v>1178</v>
      </c>
      <c r="B1239" s="138">
        <f>'Expenditures 15-22'!E127</f>
        <v>217180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217180</v>
      </c>
      <c r="C1241" s="2" t="s">
        <v>573</v>
      </c>
      <c r="D1241" s="2" t="str">
        <f t="shared" si="18"/>
        <v>Error?</v>
      </c>
    </row>
    <row r="1242" spans="1:4" x14ac:dyDescent="0.2">
      <c r="A1242" s="5">
        <v>1181</v>
      </c>
      <c r="B1242" s="138">
        <f>'Expenditures 15-22'!E151</f>
        <v>217180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54387</v>
      </c>
      <c r="D1245" s="2" t="str">
        <f t="shared" si="18"/>
        <v>Error?</v>
      </c>
    </row>
    <row r="1246" spans="1:4" x14ac:dyDescent="0.2">
      <c r="A1246" s="10">
        <v>1185</v>
      </c>
      <c r="D1246" s="2" t="str">
        <f t="shared" si="18"/>
        <v>OK</v>
      </c>
    </row>
    <row r="1247" spans="1:4" x14ac:dyDescent="0.2">
      <c r="A1247" s="5">
        <v>1186</v>
      </c>
      <c r="B1247" s="138">
        <f>'Expenditures 15-22'!F127</f>
        <v>54387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54387</v>
      </c>
      <c r="C1249" s="2" t="s">
        <v>573</v>
      </c>
      <c r="D1249" s="2" t="str">
        <f t="shared" si="18"/>
        <v>Error?</v>
      </c>
    </row>
    <row r="1250" spans="1:4" x14ac:dyDescent="0.2">
      <c r="A1250" s="5">
        <v>1189</v>
      </c>
      <c r="B1250" s="138">
        <f>'Expenditures 15-22'!F151</f>
        <v>54387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114667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114667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114667</v>
      </c>
      <c r="C1258" s="2" t="s">
        <v>573</v>
      </c>
      <c r="D1258" s="2" t="str">
        <f t="shared" si="18"/>
        <v>Error?</v>
      </c>
    </row>
    <row r="1259" spans="1:4" x14ac:dyDescent="0.2">
      <c r="A1259" s="5">
        <v>1198</v>
      </c>
      <c r="B1259" s="138">
        <f>'Expenditures 15-22'!G151</f>
        <v>114667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386234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386234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386234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386234</v>
      </c>
      <c r="C1288" s="2" t="s">
        <v>573</v>
      </c>
      <c r="D1288" s="2" t="str">
        <f t="shared" si="19"/>
        <v>Error?</v>
      </c>
    </row>
    <row r="1289" spans="1:4" x14ac:dyDescent="0.2">
      <c r="A1289" s="5">
        <v>1228</v>
      </c>
      <c r="B1289" s="138">
        <f>'Expenditures 15-22'!K152</f>
        <v>78120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305000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310338</v>
      </c>
      <c r="C1317" s="2" t="s">
        <v>573</v>
      </c>
      <c r="D1317" s="2" t="str">
        <f t="shared" si="19"/>
        <v>Error?</v>
      </c>
    </row>
    <row r="1318" spans="1:4" x14ac:dyDescent="0.2">
      <c r="A1318" s="5">
        <v>1257</v>
      </c>
      <c r="B1318" s="138">
        <f>'Expenditures 15-22'!H174</f>
        <v>310338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5338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305000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310338</v>
      </c>
      <c r="C1331" s="2" t="s">
        <v>573</v>
      </c>
      <c r="D1331" s="2" t="str">
        <f t="shared" si="19"/>
        <v>Error?</v>
      </c>
    </row>
    <row r="1332" spans="1:4" x14ac:dyDescent="0.2">
      <c r="A1332" s="5">
        <v>1271</v>
      </c>
      <c r="B1332" s="138">
        <f>'Expenditures 15-22'!K174</f>
        <v>310338</v>
      </c>
      <c r="C1332" s="2" t="s">
        <v>573</v>
      </c>
      <c r="D1332" s="2" t="str">
        <f t="shared" si="19"/>
        <v>Error?</v>
      </c>
    </row>
    <row r="1333" spans="1:4" x14ac:dyDescent="0.2">
      <c r="A1333" s="5">
        <v>1272</v>
      </c>
      <c r="B1333" s="138">
        <f>'Expenditures 15-22'!K175</f>
        <v>-2501</v>
      </c>
      <c r="C1333" s="2" t="s">
        <v>573</v>
      </c>
      <c r="D1333" s="2" t="str">
        <f t="shared" si="19"/>
        <v>Error?</v>
      </c>
    </row>
    <row r="1334" spans="1:4" x14ac:dyDescent="0.2">
      <c r="A1334" s="10">
        <v>1273</v>
      </c>
      <c r="D1334" s="2" t="str">
        <f t="shared" si="19"/>
        <v>OK</v>
      </c>
    </row>
    <row r="1335" spans="1:4" x14ac:dyDescent="0.2">
      <c r="A1335" s="5">
        <v>1274</v>
      </c>
      <c r="B1335" s="138">
        <f>'Expenditures 15-22'!C182</f>
        <v>257466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257466</v>
      </c>
      <c r="C1339" s="2" t="s">
        <v>573</v>
      </c>
      <c r="D1339" s="2" t="str">
        <f t="shared" si="19"/>
        <v>Error?</v>
      </c>
    </row>
    <row r="1340" spans="1:4" x14ac:dyDescent="0.2">
      <c r="A1340" s="5">
        <v>1279</v>
      </c>
      <c r="B1340" s="138">
        <f>'Expenditures 15-22'!C210</f>
        <v>257466</v>
      </c>
      <c r="C1340" s="2" t="s">
        <v>573</v>
      </c>
      <c r="D1340" s="2" t="str">
        <f t="shared" si="19"/>
        <v>Error?</v>
      </c>
    </row>
    <row r="1341" spans="1:4" x14ac:dyDescent="0.2">
      <c r="A1341" s="5">
        <v>1280</v>
      </c>
      <c r="B1341" s="138">
        <f>'Expenditures 15-22'!D182</f>
        <v>127991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127991</v>
      </c>
      <c r="C1345" s="2" t="s">
        <v>573</v>
      </c>
      <c r="D1345" s="2" t="str">
        <f t="shared" si="20"/>
        <v>Error?</v>
      </c>
    </row>
    <row r="1346" spans="1:4" x14ac:dyDescent="0.2">
      <c r="A1346" s="5">
        <v>1285</v>
      </c>
      <c r="B1346" s="138">
        <f>'Expenditures 15-22'!D210</f>
        <v>127991</v>
      </c>
      <c r="C1346" s="2" t="s">
        <v>573</v>
      </c>
      <c r="D1346" s="2" t="str">
        <f t="shared" si="20"/>
        <v>Error?</v>
      </c>
    </row>
    <row r="1347" spans="1:4" x14ac:dyDescent="0.2">
      <c r="A1347" s="5">
        <v>1286</v>
      </c>
      <c r="B1347" s="138">
        <f>'Expenditures 15-22'!E182</f>
        <v>36611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36611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36611</v>
      </c>
      <c r="C1353" s="2" t="s">
        <v>573</v>
      </c>
      <c r="D1353" s="2" t="str">
        <f t="shared" si="20"/>
        <v>Error?</v>
      </c>
    </row>
    <row r="1354" spans="1:4" x14ac:dyDescent="0.2">
      <c r="A1354" s="5">
        <v>1293</v>
      </c>
      <c r="B1354" s="138">
        <f>'Expenditures 15-22'!F182</f>
        <v>78297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78297</v>
      </c>
      <c r="C1358" s="2" t="s">
        <v>573</v>
      </c>
      <c r="D1358" s="2" t="str">
        <f t="shared" si="20"/>
        <v>Error?</v>
      </c>
    </row>
    <row r="1359" spans="1:4" x14ac:dyDescent="0.2">
      <c r="A1359" s="5">
        <v>1298</v>
      </c>
      <c r="B1359" s="138">
        <f>'Expenditures 15-22'!F210</f>
        <v>78297</v>
      </c>
      <c r="C1359" s="2" t="s">
        <v>573</v>
      </c>
      <c r="D1359" s="2" t="str">
        <f t="shared" si="20"/>
        <v>Error?</v>
      </c>
    </row>
    <row r="1360" spans="1:4" x14ac:dyDescent="0.2">
      <c r="A1360" s="5">
        <v>1299</v>
      </c>
      <c r="B1360" s="138">
        <f>'Expenditures 15-22'!G182</f>
        <v>60997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60997</v>
      </c>
      <c r="C1364" s="2" t="s">
        <v>573</v>
      </c>
      <c r="D1364" s="2" t="str">
        <f t="shared" si="20"/>
        <v>Error?</v>
      </c>
    </row>
    <row r="1365" spans="1:4" x14ac:dyDescent="0.2">
      <c r="A1365" s="5">
        <v>1304</v>
      </c>
      <c r="B1365" s="138">
        <f>'Expenditures 15-22'!G210</f>
        <v>60997</v>
      </c>
      <c r="C1365" s="2" t="s">
        <v>573</v>
      </c>
      <c r="D1365" s="2" t="str">
        <f t="shared" si="20"/>
        <v>Error?</v>
      </c>
    </row>
    <row r="1366" spans="1:4" x14ac:dyDescent="0.2">
      <c r="A1366" s="5">
        <v>1305</v>
      </c>
      <c r="B1366" s="138">
        <f>'Expenditures 15-22'!H182</f>
        <v>2059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2059</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43922</v>
      </c>
      <c r="C1375" s="2" t="s">
        <v>573</v>
      </c>
      <c r="D1375" s="2" t="str">
        <f t="shared" si="20"/>
        <v>Error?</v>
      </c>
    </row>
    <row r="1376" spans="1:4" x14ac:dyDescent="0.2">
      <c r="A1376" s="5">
        <v>1315</v>
      </c>
      <c r="B1376" s="138">
        <f>'Expenditures 15-22'!H210</f>
        <v>45981</v>
      </c>
      <c r="C1376" s="2" t="s">
        <v>573</v>
      </c>
      <c r="D1376" s="2" t="str">
        <f t="shared" si="20"/>
        <v>Error?</v>
      </c>
    </row>
    <row r="1377" spans="1:4" x14ac:dyDescent="0.2">
      <c r="A1377" s="5">
        <v>1316</v>
      </c>
      <c r="B1377" s="138">
        <f>'Expenditures 15-22'!K182</f>
        <v>563421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563421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43922</v>
      </c>
      <c r="C1387" s="2" t="s">
        <v>573</v>
      </c>
      <c r="D1387" s="2" t="str">
        <f t="shared" si="20"/>
        <v>Error?</v>
      </c>
    </row>
    <row r="1388" spans="1:4" x14ac:dyDescent="0.2">
      <c r="A1388" s="5">
        <v>1327</v>
      </c>
      <c r="B1388" s="138">
        <f>'Expenditures 15-22'!K210</f>
        <v>607343</v>
      </c>
      <c r="C1388" s="2" t="s">
        <v>573</v>
      </c>
      <c r="D1388" s="2" t="str">
        <f t="shared" si="20"/>
        <v>Error?</v>
      </c>
    </row>
    <row r="1389" spans="1:4" x14ac:dyDescent="0.2">
      <c r="A1389" s="5">
        <v>1328</v>
      </c>
      <c r="B1389" s="138">
        <f>'Expenditures 15-22'!K211</f>
        <v>-52848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3458</v>
      </c>
      <c r="D1407" s="2" t="str">
        <f t="shared" ref="D1407:D1470" si="21">IF(ISBLANK(B1407),"OK",IF(A1407-B1407=0,"OK","Error?"))</f>
        <v>Error?</v>
      </c>
    </row>
    <row r="1408" spans="1:4" x14ac:dyDescent="0.2">
      <c r="A1408" s="5">
        <v>1347</v>
      </c>
      <c r="B1408" s="138">
        <f>'Expenditures 15-22'!D223</f>
        <v>10439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192614</v>
      </c>
      <c r="C1410" s="2" t="s">
        <v>573</v>
      </c>
      <c r="D1410" s="2" t="str">
        <f t="shared" si="21"/>
        <v>Error?</v>
      </c>
    </row>
    <row r="1411" spans="1:4" x14ac:dyDescent="0.2">
      <c r="A1411" s="5">
        <v>1350</v>
      </c>
      <c r="B1411" s="138">
        <f>'Expenditures 15-22'!D232</f>
        <v>1635</v>
      </c>
      <c r="D1411" s="2" t="str">
        <f t="shared" si="21"/>
        <v>Error?</v>
      </c>
    </row>
    <row r="1412" spans="1:4" x14ac:dyDescent="0.2">
      <c r="A1412" s="5">
        <v>1351</v>
      </c>
      <c r="B1412" s="138">
        <f>'Expenditures 15-22'!D233</f>
        <v>737</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1068</v>
      </c>
      <c r="D1414" s="2" t="str">
        <f t="shared" si="21"/>
        <v>Error?</v>
      </c>
    </row>
    <row r="1415" spans="1:4" x14ac:dyDescent="0.2">
      <c r="A1415" s="5">
        <v>1354</v>
      </c>
      <c r="B1415" s="138">
        <f>'Expenditures 15-22'!D236</f>
        <v>2233</v>
      </c>
      <c r="D1415" s="2" t="str">
        <f t="shared" si="21"/>
        <v>Error?</v>
      </c>
    </row>
    <row r="1416" spans="1:4" x14ac:dyDescent="0.2">
      <c r="A1416" s="5">
        <v>1355</v>
      </c>
      <c r="B1416" s="138">
        <f>'Expenditures 15-22'!D237</f>
        <v>1391</v>
      </c>
      <c r="D1416" s="2" t="str">
        <f t="shared" si="21"/>
        <v>Error?</v>
      </c>
    </row>
    <row r="1417" spans="1:4" x14ac:dyDescent="0.2">
      <c r="A1417" s="5">
        <v>1356</v>
      </c>
      <c r="B1417" s="138">
        <f>'Expenditures 15-22'!D238</f>
        <v>7064</v>
      </c>
      <c r="C1417" s="2" t="s">
        <v>573</v>
      </c>
      <c r="D1417" s="2" t="str">
        <f t="shared" si="21"/>
        <v>Error?</v>
      </c>
    </row>
    <row r="1418" spans="1:4" x14ac:dyDescent="0.2">
      <c r="A1418" s="5">
        <v>1357</v>
      </c>
      <c r="B1418" s="138">
        <f>'Expenditures 15-22'!D240</f>
        <v>15707</v>
      </c>
      <c r="D1418" s="2" t="str">
        <f t="shared" si="21"/>
        <v>Error?</v>
      </c>
    </row>
    <row r="1419" spans="1:4" x14ac:dyDescent="0.2">
      <c r="A1419" s="5">
        <v>1358</v>
      </c>
      <c r="B1419" s="138">
        <f>'Expenditures 15-22'!D241</f>
        <v>17909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33616</v>
      </c>
      <c r="C1421" s="2" t="s">
        <v>573</v>
      </c>
      <c r="D1421" s="2" t="str">
        <f t="shared" si="21"/>
        <v>Error?</v>
      </c>
    </row>
    <row r="1422" spans="1:4" x14ac:dyDescent="0.2">
      <c r="A1422" s="5">
        <v>1361</v>
      </c>
      <c r="B1422" s="138">
        <f>'Expenditures 15-22'!D245</f>
        <v>15</v>
      </c>
      <c r="D1422" s="2" t="str">
        <f t="shared" si="21"/>
        <v>Error?</v>
      </c>
    </row>
    <row r="1423" spans="1:4" x14ac:dyDescent="0.2">
      <c r="A1423" s="5">
        <v>1362</v>
      </c>
      <c r="B1423" s="138">
        <f>'Expenditures 15-22'!D246</f>
        <v>9935</v>
      </c>
      <c r="D1423" s="2" t="str">
        <f t="shared" si="21"/>
        <v>Error?</v>
      </c>
    </row>
    <row r="1424" spans="1:4" x14ac:dyDescent="0.2">
      <c r="A1424" s="5">
        <v>1363</v>
      </c>
      <c r="B1424" s="138">
        <f>'Expenditures 15-22'!D257</f>
        <v>9950</v>
      </c>
      <c r="C1424" s="2" t="s">
        <v>573</v>
      </c>
      <c r="D1424" s="2" t="str">
        <f t="shared" si="21"/>
        <v>Error?</v>
      </c>
    </row>
    <row r="1425" spans="1:4" x14ac:dyDescent="0.2">
      <c r="A1425" s="5">
        <v>1364</v>
      </c>
      <c r="B1425" s="138">
        <f>'Expenditures 15-22'!D259</f>
        <v>33288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33288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6111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62830</v>
      </c>
      <c r="D1431" s="2" t="str">
        <f t="shared" si="21"/>
        <v>Error?</v>
      </c>
    </row>
    <row r="1432" spans="1:4" x14ac:dyDescent="0.2">
      <c r="A1432" s="5">
        <v>1371</v>
      </c>
      <c r="B1432" s="138">
        <f>'Expenditures 15-22'!D267</f>
        <v>54033</v>
      </c>
      <c r="D1432" s="2" t="str">
        <f t="shared" si="21"/>
        <v>Error?</v>
      </c>
    </row>
    <row r="1433" spans="1:4" x14ac:dyDescent="0.2">
      <c r="A1433" s="5">
        <v>1372</v>
      </c>
      <c r="B1433" s="138">
        <f>'Expenditures 15-22'!D268</f>
        <v>28836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151810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235728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428342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3458</v>
      </c>
      <c r="C1471" s="2" t="s">
        <v>573</v>
      </c>
      <c r="D1471" s="2" t="str">
        <f t="shared" ref="D1471:D1534" si="22">IF(ISBLANK(B1471),"OK",IF(A1471-B1471=0,"OK","Error?"))</f>
        <v>Error?</v>
      </c>
    </row>
    <row r="1472" spans="1:4" x14ac:dyDescent="0.2">
      <c r="A1472" s="5">
        <v>1411</v>
      </c>
      <c r="B1472" s="138">
        <f>'Expenditures 15-22'!K223</f>
        <v>10439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192614</v>
      </c>
      <c r="C1474" s="2" t="s">
        <v>573</v>
      </c>
      <c r="D1474" s="2" t="str">
        <f t="shared" si="22"/>
        <v>Error?</v>
      </c>
    </row>
    <row r="1475" spans="1:4" x14ac:dyDescent="0.2">
      <c r="A1475" s="5">
        <v>1414</v>
      </c>
      <c r="B1475" s="138">
        <f>'Expenditures 15-22'!K232</f>
        <v>1635</v>
      </c>
      <c r="C1475" s="2" t="s">
        <v>573</v>
      </c>
      <c r="D1475" s="2" t="str">
        <f t="shared" si="22"/>
        <v>Error?</v>
      </c>
    </row>
    <row r="1476" spans="1:4" x14ac:dyDescent="0.2">
      <c r="A1476" s="5">
        <v>1415</v>
      </c>
      <c r="B1476" s="138">
        <f>'Expenditures 15-22'!K233</f>
        <v>737</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1068</v>
      </c>
      <c r="C1478" s="2" t="s">
        <v>573</v>
      </c>
      <c r="D1478" s="2" t="str">
        <f t="shared" si="22"/>
        <v>Error?</v>
      </c>
    </row>
    <row r="1479" spans="1:4" x14ac:dyDescent="0.2">
      <c r="A1479" s="5">
        <v>1418</v>
      </c>
      <c r="B1479" s="138">
        <f>'Expenditures 15-22'!K236</f>
        <v>2233</v>
      </c>
      <c r="C1479" s="2" t="s">
        <v>573</v>
      </c>
      <c r="D1479" s="2" t="str">
        <f t="shared" si="22"/>
        <v>Error?</v>
      </c>
    </row>
    <row r="1480" spans="1:4" x14ac:dyDescent="0.2">
      <c r="A1480" s="5">
        <v>1419</v>
      </c>
      <c r="B1480" s="138">
        <f>'Expenditures 15-22'!K237</f>
        <v>1391</v>
      </c>
      <c r="C1480" s="2" t="s">
        <v>573</v>
      </c>
      <c r="D1480" s="2" t="str">
        <f t="shared" si="22"/>
        <v>Error?</v>
      </c>
    </row>
    <row r="1481" spans="1:4" x14ac:dyDescent="0.2">
      <c r="A1481" s="5">
        <v>1420</v>
      </c>
      <c r="B1481" s="138">
        <f>'Expenditures 15-22'!K238</f>
        <v>7064</v>
      </c>
      <c r="C1481" s="2" t="s">
        <v>573</v>
      </c>
      <c r="D1481" s="2" t="str">
        <f t="shared" si="22"/>
        <v>Error?</v>
      </c>
    </row>
    <row r="1482" spans="1:4" x14ac:dyDescent="0.2">
      <c r="A1482" s="5">
        <v>1421</v>
      </c>
      <c r="B1482" s="138">
        <f>'Expenditures 15-22'!K240</f>
        <v>15707</v>
      </c>
      <c r="C1482" s="2" t="s">
        <v>573</v>
      </c>
      <c r="D1482" s="2" t="str">
        <f t="shared" si="22"/>
        <v>Error?</v>
      </c>
    </row>
    <row r="1483" spans="1:4" x14ac:dyDescent="0.2">
      <c r="A1483" s="5">
        <v>1422</v>
      </c>
      <c r="B1483" s="138">
        <f>'Expenditures 15-22'!K241</f>
        <v>17909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33616</v>
      </c>
      <c r="C1485" s="2" t="s">
        <v>573</v>
      </c>
      <c r="D1485" s="2" t="str">
        <f t="shared" si="22"/>
        <v>Error?</v>
      </c>
    </row>
    <row r="1486" spans="1:4" x14ac:dyDescent="0.2">
      <c r="A1486" s="5">
        <v>1425</v>
      </c>
      <c r="B1486" s="138">
        <f>'Expenditures 15-22'!K245</f>
        <v>15</v>
      </c>
      <c r="C1486" s="2" t="s">
        <v>573</v>
      </c>
      <c r="D1486" s="2" t="str">
        <f t="shared" si="22"/>
        <v>Error?</v>
      </c>
    </row>
    <row r="1487" spans="1:4" x14ac:dyDescent="0.2">
      <c r="A1487" s="5">
        <v>1426</v>
      </c>
      <c r="B1487" s="138">
        <f>'Expenditures 15-22'!K246</f>
        <v>9935</v>
      </c>
      <c r="C1487" s="2" t="s">
        <v>573</v>
      </c>
      <c r="D1487" s="2" t="str">
        <f t="shared" si="22"/>
        <v>Error?</v>
      </c>
    </row>
    <row r="1488" spans="1:4" x14ac:dyDescent="0.2">
      <c r="A1488" s="5">
        <v>1427</v>
      </c>
      <c r="B1488" s="138">
        <f>'Expenditures 15-22'!K257</f>
        <v>9950</v>
      </c>
      <c r="C1488" s="2" t="s">
        <v>573</v>
      </c>
      <c r="D1488" s="2" t="str">
        <f t="shared" si="22"/>
        <v>Error?</v>
      </c>
    </row>
    <row r="1489" spans="1:4" x14ac:dyDescent="0.2">
      <c r="A1489" s="5">
        <v>1428</v>
      </c>
      <c r="B1489" s="138">
        <f>'Expenditures 15-22'!K259</f>
        <v>33288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33288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6111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62830</v>
      </c>
      <c r="C1495" s="2" t="s">
        <v>573</v>
      </c>
      <c r="D1495" s="2" t="str">
        <f t="shared" si="22"/>
        <v>Error?</v>
      </c>
    </row>
    <row r="1496" spans="1:4" x14ac:dyDescent="0.2">
      <c r="A1496" s="5">
        <v>1435</v>
      </c>
      <c r="B1496" s="138">
        <f>'Expenditures 15-22'!K267</f>
        <v>54033</v>
      </c>
      <c r="C1496" s="2" t="s">
        <v>573</v>
      </c>
      <c r="D1496" s="2" t="str">
        <f t="shared" si="22"/>
        <v>Error?</v>
      </c>
    </row>
    <row r="1497" spans="1:4" x14ac:dyDescent="0.2">
      <c r="A1497" s="5">
        <v>1436</v>
      </c>
      <c r="B1497" s="138">
        <f>'Expenditures 15-22'!K268</f>
        <v>28836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151810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235728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428342</v>
      </c>
      <c r="C1517" s="2" t="s">
        <v>573</v>
      </c>
      <c r="D1517" s="2" t="str">
        <f t="shared" si="22"/>
        <v>Error?</v>
      </c>
    </row>
    <row r="1518" spans="1:4" x14ac:dyDescent="0.2">
      <c r="A1518" s="5">
        <v>1457</v>
      </c>
      <c r="B1518" s="138">
        <f>'Expenditures 15-22'!K296</f>
        <v>1401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5925930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6997080</v>
      </c>
      <c r="C1630" s="2" t="s">
        <v>573</v>
      </c>
      <c r="D1630" s="2" t="str">
        <f t="shared" si="24"/>
        <v>Error?</v>
      </c>
    </row>
    <row r="1631" spans="1:4" x14ac:dyDescent="0.2">
      <c r="A1631" s="5">
        <v>1570</v>
      </c>
      <c r="B1631" s="138">
        <f>'Acct Summary 7-8'!D79</f>
        <v>179883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258003</v>
      </c>
      <c r="C1644" s="2" t="s">
        <v>573</v>
      </c>
      <c r="D1644" s="2" t="str">
        <f t="shared" si="24"/>
        <v>Error?</v>
      </c>
    </row>
    <row r="1645" spans="1:4" x14ac:dyDescent="0.2">
      <c r="A1645" s="5">
        <v>1584</v>
      </c>
      <c r="B1645" s="138">
        <f>'Acct Summary 7-8'!E79</f>
        <v>12968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10467</v>
      </c>
      <c r="C1658" s="2" t="s">
        <v>573</v>
      </c>
      <c r="D1658" s="2" t="str">
        <f t="shared" si="24"/>
        <v>Error?</v>
      </c>
    </row>
    <row r="1659" spans="1:4" x14ac:dyDescent="0.2">
      <c r="A1659" s="5">
        <v>1598</v>
      </c>
      <c r="B1659" s="138">
        <f>'Acct Summary 7-8'!F79</f>
        <v>79424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87573</v>
      </c>
      <c r="C1672" s="2" t="s">
        <v>573</v>
      </c>
      <c r="D1672" s="2" t="str">
        <f t="shared" si="25"/>
        <v>Error?</v>
      </c>
    </row>
    <row r="1673" spans="1:4" x14ac:dyDescent="0.2">
      <c r="A1673" s="5">
        <v>1612</v>
      </c>
      <c r="B1673" s="138">
        <f>'Acct Summary 7-8'!G79</f>
        <v>636742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638143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2244927</v>
      </c>
      <c r="C1744" s="2" t="s">
        <v>573</v>
      </c>
      <c r="D1744" s="2" t="str">
        <f t="shared" si="26"/>
        <v>Error?</v>
      </c>
    </row>
    <row r="1745" spans="1:5" x14ac:dyDescent="0.2">
      <c r="A1745" s="5">
        <v>1684</v>
      </c>
      <c r="B1745" s="138">
        <f>'Tax Sched 23'!B5</f>
        <v>379198</v>
      </c>
      <c r="C1745" s="2" t="s">
        <v>573</v>
      </c>
      <c r="D1745" s="2" t="str">
        <f t="shared" si="26"/>
        <v>Error?</v>
      </c>
    </row>
    <row r="1746" spans="1:5" x14ac:dyDescent="0.2">
      <c r="A1746" s="5">
        <v>1685</v>
      </c>
      <c r="B1746" s="138">
        <f>'Tax Sched 23'!B6</f>
        <v>307837</v>
      </c>
      <c r="C1746" s="2" t="s">
        <v>573</v>
      </c>
      <c r="D1746" s="2" t="str">
        <f t="shared" si="26"/>
        <v>Error?</v>
      </c>
    </row>
    <row r="1747" spans="1:5" x14ac:dyDescent="0.2">
      <c r="A1747" s="5">
        <v>1686</v>
      </c>
      <c r="B1747" s="138">
        <f>'Tax Sched 23'!B7</f>
        <v>151678</v>
      </c>
      <c r="C1747" s="2" t="s">
        <v>573</v>
      </c>
      <c r="D1747" s="2" t="str">
        <f t="shared" si="26"/>
        <v>Error?</v>
      </c>
    </row>
    <row r="1748" spans="1:5" x14ac:dyDescent="0.2">
      <c r="A1748" s="5">
        <v>1687</v>
      </c>
      <c r="B1748" s="138">
        <f>'Tax Sched 23'!B8</f>
        <v>207697</v>
      </c>
      <c r="C1748" s="2" t="s">
        <v>573</v>
      </c>
      <c r="D1748" s="2" t="str">
        <f t="shared" si="26"/>
        <v>Error?</v>
      </c>
    </row>
    <row r="1749" spans="1:5" x14ac:dyDescent="0.2">
      <c r="A1749" s="5">
        <v>1688</v>
      </c>
      <c r="B1749" s="138">
        <f>'Tax Sched 23'!B10</f>
        <v>37919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224683</v>
      </c>
      <c r="C1752" s="2" t="s">
        <v>573</v>
      </c>
      <c r="D1752" s="2" t="str">
        <f t="shared" si="26"/>
        <v>Error?</v>
      </c>
    </row>
    <row r="1753" spans="1:5" x14ac:dyDescent="0.2">
      <c r="A1753" s="5">
        <v>1692</v>
      </c>
      <c r="B1753" s="138">
        <f>'Tax Sched 23'!B12</f>
        <v>37919</v>
      </c>
      <c r="C1753" s="2" t="s">
        <v>573</v>
      </c>
      <c r="D1753" s="2" t="str">
        <f t="shared" si="26"/>
        <v>Error?</v>
      </c>
    </row>
    <row r="1754" spans="1:5" x14ac:dyDescent="0.2">
      <c r="A1754" s="5">
        <v>1693</v>
      </c>
      <c r="B1754" s="138">
        <f>'Tax Sched 23'!B14</f>
        <v>30359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3867862</v>
      </c>
      <c r="C1759" s="2" t="s">
        <v>573</v>
      </c>
      <c r="D1759" s="2" t="str">
        <f t="shared" si="26"/>
        <v>Error?</v>
      </c>
    </row>
    <row r="1760" spans="1:5" x14ac:dyDescent="0.2">
      <c r="A1760" s="5">
        <v>1699</v>
      </c>
      <c r="B1760" s="138">
        <f>'Tax Sched 23'!D4</f>
        <v>2244927</v>
      </c>
      <c r="C1760" s="2" t="s">
        <v>573</v>
      </c>
      <c r="D1760" s="2" t="str">
        <f t="shared" si="26"/>
        <v>Error?</v>
      </c>
    </row>
    <row r="1761" spans="1:5" x14ac:dyDescent="0.2">
      <c r="A1761" s="5">
        <v>1700</v>
      </c>
      <c r="B1761" s="138">
        <f>'Tax Sched 23'!D5</f>
        <v>379198</v>
      </c>
      <c r="C1761" s="2" t="s">
        <v>573</v>
      </c>
      <c r="D1761" s="2" t="str">
        <f t="shared" si="26"/>
        <v>Error?</v>
      </c>
    </row>
    <row r="1762" spans="1:5" s="8" customFormat="1" x14ac:dyDescent="0.2">
      <c r="A1762" s="5">
        <v>1701</v>
      </c>
      <c r="B1762" s="138">
        <f>'Tax Sched 23'!D6</f>
        <v>307837</v>
      </c>
      <c r="C1762" s="2" t="s">
        <v>573</v>
      </c>
      <c r="D1762" s="2" t="str">
        <f t="shared" si="26"/>
        <v>Error?</v>
      </c>
      <c r="E1762" s="9"/>
    </row>
    <row r="1763" spans="1:5" x14ac:dyDescent="0.2">
      <c r="A1763" s="5">
        <v>1702</v>
      </c>
      <c r="B1763" s="138">
        <f>'Tax Sched 23'!D7</f>
        <v>151678</v>
      </c>
      <c r="C1763" s="2" t="s">
        <v>573</v>
      </c>
      <c r="D1763" s="2" t="str">
        <f t="shared" si="26"/>
        <v>Error?</v>
      </c>
    </row>
    <row r="1764" spans="1:5" x14ac:dyDescent="0.2">
      <c r="A1764" s="5">
        <v>1703</v>
      </c>
      <c r="B1764" s="138">
        <f>'Tax Sched 23'!D8</f>
        <v>207697</v>
      </c>
      <c r="C1764" s="2" t="s">
        <v>573</v>
      </c>
      <c r="D1764" s="2" t="str">
        <f t="shared" si="26"/>
        <v>Error?</v>
      </c>
    </row>
    <row r="1765" spans="1:5" x14ac:dyDescent="0.2">
      <c r="A1765" s="5">
        <v>1704</v>
      </c>
      <c r="B1765" s="138">
        <f>'Tax Sched 23'!D10</f>
        <v>37919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224683</v>
      </c>
      <c r="C1768" s="2" t="s">
        <v>573</v>
      </c>
      <c r="D1768" s="2" t="str">
        <f t="shared" si="26"/>
        <v>Error?</v>
      </c>
    </row>
    <row r="1769" spans="1:5" x14ac:dyDescent="0.2">
      <c r="A1769" s="5">
        <v>1708</v>
      </c>
      <c r="B1769" s="138">
        <f>'Tax Sched 23'!D12</f>
        <v>37919</v>
      </c>
      <c r="C1769" s="2" t="s">
        <v>573</v>
      </c>
      <c r="D1769" s="2" t="str">
        <f t="shared" si="26"/>
        <v>Error?</v>
      </c>
    </row>
    <row r="1770" spans="1:5" x14ac:dyDescent="0.2">
      <c r="A1770" s="5">
        <v>1709</v>
      </c>
      <c r="B1770" s="138">
        <f>'Tax Sched 23'!D14</f>
        <v>30359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3867862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2356935</v>
      </c>
      <c r="C1792" s="2" t="s">
        <v>573</v>
      </c>
      <c r="D1792" s="2" t="str">
        <f t="shared" si="27"/>
        <v>Error?</v>
      </c>
    </row>
    <row r="1793" spans="1:4" x14ac:dyDescent="0.2">
      <c r="A1793" s="5">
        <v>1732</v>
      </c>
      <c r="B1793" s="138">
        <f>'Tax Sched 23'!F5</f>
        <v>399710</v>
      </c>
      <c r="C1793" s="2" t="s">
        <v>573</v>
      </c>
      <c r="D1793" s="2" t="str">
        <f t="shared" si="27"/>
        <v>Error?</v>
      </c>
    </row>
    <row r="1794" spans="1:4" x14ac:dyDescent="0.2">
      <c r="A1794" s="5">
        <v>1733</v>
      </c>
      <c r="B1794" s="138">
        <f>'Tax Sched 23'!F6</f>
        <v>314308</v>
      </c>
      <c r="C1794" s="2" t="s">
        <v>573</v>
      </c>
      <c r="D1794" s="2" t="str">
        <f t="shared" si="27"/>
        <v>Error?</v>
      </c>
    </row>
    <row r="1795" spans="1:4" x14ac:dyDescent="0.2">
      <c r="A1795" s="5">
        <v>1734</v>
      </c>
      <c r="B1795" s="138">
        <f>'Tax Sched 23'!F7</f>
        <v>159884</v>
      </c>
      <c r="C1795" s="2" t="s">
        <v>573</v>
      </c>
      <c r="D1795" s="2" t="str">
        <f t="shared" si="27"/>
        <v>Error?</v>
      </c>
    </row>
    <row r="1796" spans="1:4" x14ac:dyDescent="0.2">
      <c r="A1796" s="5">
        <v>1735</v>
      </c>
      <c r="B1796" s="138">
        <f>'Tax Sched 23'!F8</f>
        <v>210000</v>
      </c>
      <c r="C1796" s="2" t="s">
        <v>573</v>
      </c>
      <c r="D1796" s="2" t="str">
        <f t="shared" si="27"/>
        <v>Error?</v>
      </c>
    </row>
    <row r="1797" spans="1:4" x14ac:dyDescent="0.2">
      <c r="A1797" s="5">
        <v>1736</v>
      </c>
      <c r="B1797" s="138">
        <f>'Tax Sched 23'!F10</f>
        <v>39971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235006</v>
      </c>
      <c r="C1800" s="2" t="s">
        <v>573</v>
      </c>
      <c r="D1800" s="2" t="str">
        <f t="shared" si="27"/>
        <v>Error?</v>
      </c>
    </row>
    <row r="1801" spans="1:4" x14ac:dyDescent="0.2">
      <c r="A1801" s="5">
        <v>1740</v>
      </c>
      <c r="B1801" s="138">
        <f>'Tax Sched 23'!F12</f>
        <v>39971</v>
      </c>
      <c r="C1801" s="2" t="s">
        <v>573</v>
      </c>
      <c r="D1801" s="2" t="str">
        <f t="shared" si="27"/>
        <v>Error?</v>
      </c>
    </row>
    <row r="1802" spans="1:4" x14ac:dyDescent="0.2">
      <c r="A1802" s="5">
        <v>1741</v>
      </c>
      <c r="B1802" s="138">
        <f>'Tax Sched 23'!F14</f>
        <v>31977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4037733</v>
      </c>
      <c r="C1807" s="2" t="s">
        <v>573</v>
      </c>
      <c r="D1807" s="2" t="str">
        <f t="shared" si="27"/>
        <v>Error?</v>
      </c>
    </row>
    <row r="1808" spans="1:4" x14ac:dyDescent="0.2">
      <c r="A1808" s="5">
        <v>1747</v>
      </c>
      <c r="B1808" s="138">
        <f>'Tax Sched 23'!E4</f>
        <v>2356935</v>
      </c>
      <c r="D1808" s="2" t="str">
        <f t="shared" si="27"/>
        <v>Error?</v>
      </c>
    </row>
    <row r="1809" spans="1:4" x14ac:dyDescent="0.2">
      <c r="A1809" s="5">
        <v>1748</v>
      </c>
      <c r="B1809" s="138">
        <f>'Tax Sched 23'!E5</f>
        <v>399710</v>
      </c>
      <c r="D1809" s="2" t="str">
        <f t="shared" si="27"/>
        <v>Error?</v>
      </c>
    </row>
    <row r="1810" spans="1:4" x14ac:dyDescent="0.2">
      <c r="A1810" s="5">
        <v>1749</v>
      </c>
      <c r="B1810" s="138">
        <f>'Tax Sched 23'!E6</f>
        <v>314308</v>
      </c>
      <c r="D1810" s="2" t="str">
        <f t="shared" si="27"/>
        <v>Error?</v>
      </c>
    </row>
    <row r="1811" spans="1:4" x14ac:dyDescent="0.2">
      <c r="A1811" s="5">
        <v>1750</v>
      </c>
      <c r="B1811" s="138">
        <f>'Tax Sched 23'!E7</f>
        <v>159884</v>
      </c>
      <c r="D1811" s="2" t="str">
        <f t="shared" si="27"/>
        <v>Error?</v>
      </c>
    </row>
    <row r="1812" spans="1:4" x14ac:dyDescent="0.2">
      <c r="A1812" s="5">
        <v>1751</v>
      </c>
      <c r="B1812" s="138">
        <f>'Tax Sched 23'!E8</f>
        <v>210000</v>
      </c>
      <c r="D1812" s="2" t="str">
        <f t="shared" si="27"/>
        <v>Error?</v>
      </c>
    </row>
    <row r="1813" spans="1:4" x14ac:dyDescent="0.2">
      <c r="A1813" s="5">
        <v>1752</v>
      </c>
      <c r="B1813" s="138">
        <f>'Tax Sched 23'!E10</f>
        <v>39971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235006</v>
      </c>
      <c r="D1816" s="2" t="str">
        <f t="shared" si="27"/>
        <v>Error?</v>
      </c>
    </row>
    <row r="1817" spans="1:4" x14ac:dyDescent="0.2">
      <c r="A1817" s="5">
        <v>1756</v>
      </c>
      <c r="B1817" s="138">
        <f>'Tax Sched 23'!E12</f>
        <v>39971</v>
      </c>
      <c r="D1817" s="2" t="str">
        <f t="shared" si="27"/>
        <v>Error?</v>
      </c>
    </row>
    <row r="1818" spans="1:4" x14ac:dyDescent="0.2">
      <c r="A1818" s="5">
        <v>1757</v>
      </c>
      <c r="B1818" s="138">
        <f>'Tax Sched 23'!E14</f>
        <v>31977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4037733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414413</v>
      </c>
      <c r="C1939" s="2" t="s">
        <v>573</v>
      </c>
      <c r="D1939" s="2" t="str">
        <f t="shared" si="29"/>
        <v>Error?</v>
      </c>
    </row>
    <row r="1940" spans="1:5" x14ac:dyDescent="0.2">
      <c r="A1940" s="5">
        <v>1879</v>
      </c>
      <c r="B1940" s="138">
        <f>'Short-Term Long-Term Debt 24'!F49</f>
        <v>960997</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30359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30359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30359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218431</v>
      </c>
      <c r="D2008" s="2" t="str">
        <f t="shared" si="30"/>
        <v>Error?</v>
      </c>
    </row>
    <row r="2009" spans="1:4" x14ac:dyDescent="0.2">
      <c r="A2009" s="5">
        <v>1948</v>
      </c>
      <c r="B2009" s="138">
        <f>'Cap Outlay Deprec 26'!C8</f>
        <v>6854157</v>
      </c>
      <c r="D2009" s="2" t="str">
        <f t="shared" si="30"/>
        <v>Error?</v>
      </c>
    </row>
    <row r="2010" spans="1:4" x14ac:dyDescent="0.2">
      <c r="A2010" s="5">
        <v>1949</v>
      </c>
      <c r="B2010" s="138">
        <f>'Cap Outlay Deprec 26'!C10</f>
        <v>2725535</v>
      </c>
      <c r="D2010" s="2" t="str">
        <f t="shared" si="30"/>
        <v>Error?</v>
      </c>
    </row>
    <row r="2011" spans="1:4" x14ac:dyDescent="0.2">
      <c r="A2011" s="5">
        <v>1950</v>
      </c>
      <c r="B2011" s="138">
        <f>'Cap Outlay Deprec 26'!C12</f>
        <v>4509022</v>
      </c>
      <c r="D2011" s="2" t="str">
        <f t="shared" si="30"/>
        <v>Error?</v>
      </c>
    </row>
    <row r="2012" spans="1:4" x14ac:dyDescent="0.2">
      <c r="A2012" s="5">
        <v>1951</v>
      </c>
      <c r="B2012" s="138">
        <f>'Cap Outlay Deprec 26'!C13</f>
        <v>1506939</v>
      </c>
      <c r="D2012" s="2" t="str">
        <f t="shared" si="30"/>
        <v>Error?</v>
      </c>
    </row>
    <row r="2013" spans="1:4" x14ac:dyDescent="0.2">
      <c r="A2013" s="5">
        <v>1952</v>
      </c>
      <c r="B2013" s="138">
        <f>'Cap Outlay Deprec 26'!C16</f>
        <v>15814084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79792</v>
      </c>
      <c r="D2016" s="2" t="str">
        <f t="shared" si="30"/>
        <v>Error?</v>
      </c>
    </row>
    <row r="2017" spans="1:4" x14ac:dyDescent="0.2">
      <c r="A2017" s="5">
        <v>1956</v>
      </c>
      <c r="B2017" s="138">
        <f>'Cap Outlay Deprec 26'!D12</f>
        <v>257359</v>
      </c>
      <c r="D2017" s="2" t="str">
        <f t="shared" si="30"/>
        <v>Error?</v>
      </c>
    </row>
    <row r="2018" spans="1:4" x14ac:dyDescent="0.2">
      <c r="A2018" s="5">
        <v>1957</v>
      </c>
      <c r="B2018" s="138">
        <f>'Cap Outlay Deprec 26'!D13</f>
        <v>60997</v>
      </c>
      <c r="D2018" s="2" t="str">
        <f t="shared" si="30"/>
        <v>Error?</v>
      </c>
    </row>
    <row r="2019" spans="1:4" x14ac:dyDescent="0.2">
      <c r="A2019" s="5">
        <v>1958</v>
      </c>
      <c r="B2019" s="138">
        <f>'Cap Outlay Deprec 26'!D16</f>
        <v>398148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218431</v>
      </c>
      <c r="C2026" s="2" t="s">
        <v>573</v>
      </c>
      <c r="D2026" s="2" t="str">
        <f t="shared" si="30"/>
        <v>Error?</v>
      </c>
    </row>
    <row r="2027" spans="1:4" x14ac:dyDescent="0.2">
      <c r="A2027" s="5">
        <v>1966</v>
      </c>
      <c r="B2027" s="138">
        <f>'Cap Outlay Deprec 26'!F8</f>
        <v>6854157</v>
      </c>
      <c r="C2027" s="2" t="s">
        <v>573</v>
      </c>
      <c r="D2027" s="2" t="str">
        <f t="shared" si="30"/>
        <v>Error?</v>
      </c>
    </row>
    <row r="2028" spans="1:4" x14ac:dyDescent="0.2">
      <c r="A2028" s="5">
        <v>1967</v>
      </c>
      <c r="B2028" s="138">
        <f>'Cap Outlay Deprec 26'!F10</f>
        <v>2805327</v>
      </c>
      <c r="C2028" s="2" t="s">
        <v>573</v>
      </c>
      <c r="D2028" s="2" t="str">
        <f t="shared" si="30"/>
        <v>Error?</v>
      </c>
    </row>
    <row r="2029" spans="1:4" x14ac:dyDescent="0.2">
      <c r="A2029" s="5">
        <v>1968</v>
      </c>
      <c r="B2029" s="138">
        <f>'Cap Outlay Deprec 26'!F12</f>
        <v>4766381</v>
      </c>
      <c r="C2029" s="2" t="s">
        <v>573</v>
      </c>
      <c r="D2029" s="2" t="str">
        <f t="shared" si="30"/>
        <v>Error?</v>
      </c>
    </row>
    <row r="2030" spans="1:4" x14ac:dyDescent="0.2">
      <c r="A2030" s="5">
        <v>1969</v>
      </c>
      <c r="B2030" s="138">
        <f>'Cap Outlay Deprec 26'!F13</f>
        <v>1567936</v>
      </c>
      <c r="C2030" s="2" t="s">
        <v>573</v>
      </c>
      <c r="D2030" s="2" t="str">
        <f t="shared" si="30"/>
        <v>Error?</v>
      </c>
    </row>
    <row r="2031" spans="1:4" x14ac:dyDescent="0.2">
      <c r="A2031" s="5">
        <v>1970</v>
      </c>
      <c r="B2031" s="138">
        <f>'Cap Outlay Deprec 26'!F16</f>
        <v>16212232</v>
      </c>
      <c r="C2031" s="2" t="s">
        <v>573</v>
      </c>
      <c r="D2031" s="2" t="str">
        <f t="shared" si="30"/>
        <v>Error?</v>
      </c>
    </row>
    <row r="2032" spans="1:4" x14ac:dyDescent="0.2">
      <c r="A2032" s="10">
        <v>1971</v>
      </c>
      <c r="D2032" s="2" t="str">
        <f t="shared" si="30"/>
        <v>OK</v>
      </c>
    </row>
    <row r="2033" spans="1:4" x14ac:dyDescent="0.2">
      <c r="A2033" s="5">
        <v>1972</v>
      </c>
      <c r="B2033" s="138">
        <f>'Cap Outlay Deprec 26'!H8</f>
        <v>3117317</v>
      </c>
      <c r="D2033" s="2" t="str">
        <f t="shared" si="30"/>
        <v>Error?</v>
      </c>
    </row>
    <row r="2034" spans="1:4" x14ac:dyDescent="0.2">
      <c r="A2034" s="5">
        <v>1973</v>
      </c>
      <c r="B2034" s="138">
        <f>'Cap Outlay Deprec 26'!H10</f>
        <v>1494670</v>
      </c>
      <c r="D2034" s="2" t="str">
        <f t="shared" si="30"/>
        <v>Error?</v>
      </c>
    </row>
    <row r="2035" spans="1:4" x14ac:dyDescent="0.2">
      <c r="A2035" s="5">
        <v>1974</v>
      </c>
      <c r="B2035" s="138">
        <f>'Cap Outlay Deprec 26'!H12</f>
        <v>4141985</v>
      </c>
      <c r="D2035" s="2" t="str">
        <f t="shared" si="30"/>
        <v>Error?</v>
      </c>
    </row>
    <row r="2036" spans="1:4" x14ac:dyDescent="0.2">
      <c r="A2036" s="5">
        <v>1975</v>
      </c>
      <c r="B2036" s="138">
        <f>'Cap Outlay Deprec 26'!H13</f>
        <v>1244549</v>
      </c>
      <c r="D2036" s="2" t="str">
        <f t="shared" si="30"/>
        <v>Error?</v>
      </c>
    </row>
    <row r="2037" spans="1:4" x14ac:dyDescent="0.2">
      <c r="A2037" s="5">
        <v>1976</v>
      </c>
      <c r="B2037" s="138">
        <f>'Cap Outlay Deprec 26'!H16</f>
        <v>9998521</v>
      </c>
      <c r="C2037" s="2" t="s">
        <v>573</v>
      </c>
      <c r="D2037" s="2" t="str">
        <f t="shared" si="30"/>
        <v>Error?</v>
      </c>
    </row>
    <row r="2038" spans="1:4" x14ac:dyDescent="0.2">
      <c r="A2038" s="10">
        <v>1977</v>
      </c>
      <c r="D2038" s="2" t="str">
        <f t="shared" si="30"/>
        <v>OK</v>
      </c>
    </row>
    <row r="2039" spans="1:4" x14ac:dyDescent="0.2">
      <c r="A2039" s="5">
        <v>1978</v>
      </c>
      <c r="B2039" s="138">
        <f>'Cap Outlay Deprec 26'!I8</f>
        <v>137083</v>
      </c>
      <c r="D2039" s="2" t="str">
        <f t="shared" si="30"/>
        <v>Error?</v>
      </c>
    </row>
    <row r="2040" spans="1:4" x14ac:dyDescent="0.2">
      <c r="A2040" s="5">
        <v>1979</v>
      </c>
      <c r="B2040" s="138">
        <f>'Cap Outlay Deprec 26'!I10</f>
        <v>137502</v>
      </c>
      <c r="D2040" s="2" t="str">
        <f t="shared" si="30"/>
        <v>Error?</v>
      </c>
    </row>
    <row r="2041" spans="1:4" x14ac:dyDescent="0.2">
      <c r="A2041" s="5">
        <v>1980</v>
      </c>
      <c r="B2041" s="138">
        <f>'Cap Outlay Deprec 26'!I12</f>
        <v>146560</v>
      </c>
      <c r="D2041" s="2" t="str">
        <f t="shared" si="30"/>
        <v>Error?</v>
      </c>
    </row>
    <row r="2042" spans="1:4" x14ac:dyDescent="0.2">
      <c r="A2042" s="5">
        <v>1981</v>
      </c>
      <c r="B2042" s="138">
        <f>'Cap Outlay Deprec 26'!I13</f>
        <v>76255</v>
      </c>
      <c r="D2042" s="2" t="str">
        <f t="shared" si="30"/>
        <v>Error?</v>
      </c>
    </row>
    <row r="2043" spans="1:4" x14ac:dyDescent="0.2">
      <c r="A2043" s="5">
        <v>1982</v>
      </c>
      <c r="B2043" s="138">
        <f>'Cap Outlay Deprec 26'!I16</f>
        <v>497400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8458</v>
      </c>
      <c r="D2048" s="2" t="str">
        <f t="shared" si="31"/>
        <v>Error?</v>
      </c>
    </row>
    <row r="2049" spans="1:4" x14ac:dyDescent="0.2">
      <c r="A2049" s="5">
        <v>1988</v>
      </c>
      <c r="B2049" s="138">
        <f>'Cap Outlay Deprec 26'!J16</f>
        <v>8458</v>
      </c>
      <c r="C2049" s="2" t="s">
        <v>573</v>
      </c>
      <c r="D2049" s="2" t="str">
        <f t="shared" si="31"/>
        <v>Error?</v>
      </c>
    </row>
    <row r="2050" spans="1:4" x14ac:dyDescent="0.2">
      <c r="A2050" s="10">
        <v>1989</v>
      </c>
      <c r="D2050" s="2" t="str">
        <f t="shared" si="31"/>
        <v>OK</v>
      </c>
    </row>
    <row r="2051" spans="1:4" x14ac:dyDescent="0.2">
      <c r="A2051" s="5">
        <v>1990</v>
      </c>
      <c r="B2051" s="138">
        <f>'Cap Outlay Deprec 26'!K8</f>
        <v>3254400</v>
      </c>
      <c r="C2051" s="2" t="s">
        <v>573</v>
      </c>
      <c r="D2051" s="2" t="str">
        <f t="shared" si="31"/>
        <v>Error?</v>
      </c>
    </row>
    <row r="2052" spans="1:4" x14ac:dyDescent="0.2">
      <c r="A2052" s="5">
        <v>1991</v>
      </c>
      <c r="B2052" s="138">
        <f>'Cap Outlay Deprec 26'!K10</f>
        <v>1632172</v>
      </c>
      <c r="C2052" s="2" t="s">
        <v>573</v>
      </c>
      <c r="D2052" s="2" t="str">
        <f t="shared" si="31"/>
        <v>Error?</v>
      </c>
    </row>
    <row r="2053" spans="1:4" x14ac:dyDescent="0.2">
      <c r="A2053" s="5">
        <v>1992</v>
      </c>
      <c r="B2053" s="138">
        <f>'Cap Outlay Deprec 26'!K12</f>
        <v>4288545</v>
      </c>
      <c r="C2053" s="2" t="s">
        <v>573</v>
      </c>
      <c r="D2053" s="2" t="str">
        <f t="shared" si="31"/>
        <v>Error?</v>
      </c>
    </row>
    <row r="2054" spans="1:4" x14ac:dyDescent="0.2">
      <c r="A2054" s="5">
        <v>1993</v>
      </c>
      <c r="B2054" s="138">
        <f>'Cap Outlay Deprec 26'!K13</f>
        <v>1312346</v>
      </c>
      <c r="C2054" s="2" t="s">
        <v>573</v>
      </c>
      <c r="D2054" s="2" t="str">
        <f t="shared" si="31"/>
        <v>Error?</v>
      </c>
    </row>
    <row r="2055" spans="1:4" x14ac:dyDescent="0.2">
      <c r="A2055" s="5">
        <v>1994</v>
      </c>
      <c r="B2055" s="138">
        <f>'Cap Outlay Deprec 26'!K16</f>
        <v>10487463</v>
      </c>
      <c r="C2055" s="2" t="s">
        <v>573</v>
      </c>
      <c r="D2055" s="2" t="str">
        <f t="shared" si="31"/>
        <v>Error?</v>
      </c>
    </row>
    <row r="2056" spans="1:4" x14ac:dyDescent="0.2">
      <c r="A2056" s="5">
        <v>1995</v>
      </c>
      <c r="B2056" s="138">
        <f>'Cap Outlay Deprec 26'!L5</f>
        <v>218431</v>
      </c>
      <c r="C2056" s="2" t="s">
        <v>573</v>
      </c>
      <c r="D2056" s="2" t="str">
        <f t="shared" si="31"/>
        <v>Error?</v>
      </c>
    </row>
    <row r="2057" spans="1:4" x14ac:dyDescent="0.2">
      <c r="A2057" s="5">
        <v>1996</v>
      </c>
      <c r="B2057" s="138">
        <f>'Cap Outlay Deprec 26'!L8</f>
        <v>3599757</v>
      </c>
      <c r="C2057" s="2" t="s">
        <v>573</v>
      </c>
      <c r="D2057" s="2" t="str">
        <f t="shared" si="31"/>
        <v>Error?</v>
      </c>
    </row>
    <row r="2058" spans="1:4" x14ac:dyDescent="0.2">
      <c r="A2058" s="5">
        <v>1997</v>
      </c>
      <c r="B2058" s="138">
        <f>'Cap Outlay Deprec 26'!L10</f>
        <v>1173155</v>
      </c>
      <c r="C2058" s="2" t="s">
        <v>573</v>
      </c>
      <c r="D2058" s="2" t="str">
        <f t="shared" si="31"/>
        <v>Error?</v>
      </c>
    </row>
    <row r="2059" spans="1:4" x14ac:dyDescent="0.2">
      <c r="A2059" s="5">
        <v>1998</v>
      </c>
      <c r="B2059" s="138">
        <f>'Cap Outlay Deprec 26'!L12</f>
        <v>477836</v>
      </c>
      <c r="C2059" s="2" t="s">
        <v>573</v>
      </c>
      <c r="D2059" s="2" t="str">
        <f t="shared" si="31"/>
        <v>Error?</v>
      </c>
    </row>
    <row r="2060" spans="1:4" x14ac:dyDescent="0.2">
      <c r="A2060" s="5">
        <v>1999</v>
      </c>
      <c r="B2060" s="138">
        <f>'Cap Outlay Deprec 26'!L13</f>
        <v>255590</v>
      </c>
      <c r="C2060" s="2" t="s">
        <v>573</v>
      </c>
      <c r="D2060" s="2" t="str">
        <f t="shared" si="31"/>
        <v>Error?</v>
      </c>
    </row>
    <row r="2061" spans="1:4" x14ac:dyDescent="0.2">
      <c r="A2061" s="5">
        <v>2000</v>
      </c>
      <c r="B2061" s="138">
        <f>'Cap Outlay Deprec 26'!L16</f>
        <v>5724769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103154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12747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638143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3356689</v>
      </c>
      <c r="C2551" s="2" t="s">
        <v>573</v>
      </c>
      <c r="D2551" s="2" t="str">
        <f t="shared" si="38"/>
        <v>Error?</v>
      </c>
    </row>
    <row r="2552" spans="1:4" x14ac:dyDescent="0.2">
      <c r="A2552" s="10">
        <v>2491</v>
      </c>
      <c r="D2552" s="2" t="str">
        <f t="shared" si="38"/>
        <v>OK</v>
      </c>
    </row>
    <row r="2553" spans="1:4" x14ac:dyDescent="0.2">
      <c r="A2553" s="5">
        <v>2492</v>
      </c>
      <c r="B2553" s="138">
        <f>'Acct Summary 7-8'!C6</f>
        <v>7856063</v>
      </c>
      <c r="C2553" s="2" t="s">
        <v>573</v>
      </c>
      <c r="D2553" s="2" t="str">
        <f t="shared" si="38"/>
        <v>Error?</v>
      </c>
    </row>
    <row r="2554" spans="1:4" x14ac:dyDescent="0.2">
      <c r="A2554" s="5">
        <v>2493</v>
      </c>
      <c r="B2554" s="138">
        <f>'Acct Summary 7-8'!C7</f>
        <v>1042267</v>
      </c>
      <c r="C2554" s="2" t="s">
        <v>573</v>
      </c>
      <c r="D2554" s="2" t="str">
        <f t="shared" si="38"/>
        <v>Error?</v>
      </c>
    </row>
    <row r="2555" spans="1:4" x14ac:dyDescent="0.2">
      <c r="A2555" s="5">
        <v>2494</v>
      </c>
      <c r="B2555" s="138">
        <f>'Acct Summary 7-8'!C8</f>
        <v>12262519</v>
      </c>
      <c r="C2555" s="2" t="s">
        <v>573</v>
      </c>
      <c r="D2555" s="2" t="str">
        <f t="shared" si="38"/>
        <v>Error?</v>
      </c>
    </row>
    <row r="2556" spans="1:4" x14ac:dyDescent="0.2">
      <c r="A2556" s="5">
        <v>2495</v>
      </c>
      <c r="B2556" s="138">
        <f>'Acct Summary 7-8'!C12</f>
        <v>8073923</v>
      </c>
      <c r="C2556" s="2" t="s">
        <v>573</v>
      </c>
      <c r="D2556" s="2" t="str">
        <f t="shared" si="38"/>
        <v>Error?</v>
      </c>
    </row>
    <row r="2557" spans="1:4" x14ac:dyDescent="0.2">
      <c r="A2557" s="5">
        <v>2496</v>
      </c>
      <c r="B2557" s="138">
        <f>'Acct Summary 7-8'!C13</f>
        <v>3914292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103154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12091369</v>
      </c>
      <c r="C2561" s="2" t="s">
        <v>573</v>
      </c>
      <c r="D2561" s="2" t="str">
        <f t="shared" si="39"/>
        <v>Error?</v>
      </c>
    </row>
    <row r="2562" spans="1:4" x14ac:dyDescent="0.2">
      <c r="A2562" s="5">
        <v>2501</v>
      </c>
      <c r="B2562" s="138">
        <f>'Acct Summary 7-8'!C20</f>
        <v>171150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464354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464354</v>
      </c>
      <c r="C2568" s="2" t="s">
        <v>573</v>
      </c>
      <c r="D2568" s="2" t="str">
        <f t="shared" si="39"/>
        <v>Error?</v>
      </c>
    </row>
    <row r="2569" spans="1:4" x14ac:dyDescent="0.2">
      <c r="A2569" s="5">
        <v>2508</v>
      </c>
      <c r="B2569" s="138">
        <f>'Acct Summary 7-8'!D13</f>
        <v>386234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386234</v>
      </c>
      <c r="C2573" s="2" t="s">
        <v>573</v>
      </c>
      <c r="D2573" s="2" t="str">
        <f t="shared" si="39"/>
        <v>Error?</v>
      </c>
    </row>
    <row r="2574" spans="1:4" x14ac:dyDescent="0.2">
      <c r="A2574" s="5">
        <v>2513</v>
      </c>
      <c r="B2574" s="138">
        <f>'Acct Summary 7-8'!D20</f>
        <v>78120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306086</v>
      </c>
      <c r="C2591" s="2" t="s">
        <v>573</v>
      </c>
      <c r="D2591" s="2" t="str">
        <f t="shared" si="39"/>
        <v>Error?</v>
      </c>
    </row>
    <row r="2592" spans="1:4" x14ac:dyDescent="0.2">
      <c r="A2592" s="10">
        <v>2531</v>
      </c>
      <c r="D2592" s="2" t="str">
        <f t="shared" si="39"/>
        <v>OK</v>
      </c>
    </row>
    <row r="2593" spans="1:4" x14ac:dyDescent="0.2">
      <c r="A2593" s="5">
        <v>2532</v>
      </c>
      <c r="B2593" s="138">
        <f>'Acct Summary 7-8'!F6</f>
        <v>248409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554495</v>
      </c>
      <c r="C2595" s="2" t="s">
        <v>573</v>
      </c>
      <c r="D2595" s="2" t="str">
        <f t="shared" si="39"/>
        <v>Error?</v>
      </c>
    </row>
    <row r="2596" spans="1:4" x14ac:dyDescent="0.2">
      <c r="A2596" s="5">
        <v>2535</v>
      </c>
      <c r="B2596" s="138">
        <f>'Acct Summary 7-8'!F13</f>
        <v>563421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43922</v>
      </c>
      <c r="C2599" s="2" t="s">
        <v>573</v>
      </c>
      <c r="D2599" s="2" t="str">
        <f t="shared" si="39"/>
        <v>Error?</v>
      </c>
    </row>
    <row r="2600" spans="1:4" x14ac:dyDescent="0.2">
      <c r="A2600" s="5">
        <v>2539</v>
      </c>
      <c r="B2600" s="138">
        <f>'Acct Summary 7-8'!F17</f>
        <v>607343</v>
      </c>
      <c r="C2600" s="2" t="s">
        <v>573</v>
      </c>
      <c r="D2600" s="2" t="str">
        <f t="shared" si="39"/>
        <v>Error?</v>
      </c>
    </row>
    <row r="2601" spans="1:4" x14ac:dyDescent="0.2">
      <c r="A2601" s="5">
        <v>2540</v>
      </c>
      <c r="B2601" s="138">
        <f>'Acct Summary 7-8'!F20</f>
        <v>-52848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429743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429743</v>
      </c>
      <c r="C2606" s="2" t="s">
        <v>573</v>
      </c>
      <c r="D2606" s="2" t="str">
        <f t="shared" si="39"/>
        <v>Error?</v>
      </c>
    </row>
    <row r="2607" spans="1:4" x14ac:dyDescent="0.2">
      <c r="A2607" s="5">
        <v>2546</v>
      </c>
      <c r="B2607" s="138">
        <f>'Acct Summary 7-8'!G12</f>
        <v>192614</v>
      </c>
      <c r="C2607" s="2" t="s">
        <v>573</v>
      </c>
      <c r="D2607" s="2" t="str">
        <f t="shared" si="39"/>
        <v>Error?</v>
      </c>
    </row>
    <row r="2608" spans="1:4" x14ac:dyDescent="0.2">
      <c r="A2608" s="5">
        <v>2547</v>
      </c>
      <c r="B2608" s="138">
        <f>'Acct Summary 7-8'!G13</f>
        <v>235728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428342</v>
      </c>
      <c r="C2612" s="2" t="s">
        <v>573</v>
      </c>
      <c r="D2612" s="2" t="str">
        <f t="shared" si="39"/>
        <v>Error?</v>
      </c>
    </row>
    <row r="2613" spans="1:4" x14ac:dyDescent="0.2">
      <c r="A2613" s="5">
        <v>2552</v>
      </c>
      <c r="B2613" s="138">
        <f>'Acct Summary 7-8'!G20</f>
        <v>1401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307837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307837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310338</v>
      </c>
      <c r="C2634" s="2" t="s">
        <v>573</v>
      </c>
      <c r="D2634" s="2" t="str">
        <f t="shared" si="40"/>
        <v>Error?</v>
      </c>
    </row>
    <row r="2635" spans="1:4" x14ac:dyDescent="0.2">
      <c r="A2635" s="5">
        <v>2574</v>
      </c>
      <c r="B2635" s="138">
        <f>'Acct Summary 7-8'!E17</f>
        <v>310338</v>
      </c>
      <c r="C2635" s="2" t="s">
        <v>573</v>
      </c>
      <c r="D2635" s="2" t="str">
        <f t="shared" si="40"/>
        <v>Error?</v>
      </c>
    </row>
    <row r="2636" spans="1:4" x14ac:dyDescent="0.2">
      <c r="A2636" s="5">
        <v>2575</v>
      </c>
      <c r="B2636" s="138">
        <f>'Acct Summary 7-8'!E20</f>
        <v>-2501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103154</v>
      </c>
      <c r="C2789" s="2" t="s">
        <v>573</v>
      </c>
      <c r="D2789" s="2" t="str">
        <f t="shared" si="42"/>
        <v>Error?</v>
      </c>
    </row>
    <row r="2790" spans="1:4" x14ac:dyDescent="0.2">
      <c r="A2790" s="5">
        <v>2729</v>
      </c>
      <c r="B2790" s="138">
        <f>'Expenditures 15-22'!E102</f>
        <v>103154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2252346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169703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2252346</v>
      </c>
      <c r="D2912" s="2" t="str">
        <f t="shared" si="44"/>
        <v>Error?</v>
      </c>
    </row>
    <row r="2913" spans="1:4" x14ac:dyDescent="0.2">
      <c r="A2913" s="5">
        <v>2852</v>
      </c>
      <c r="B2913" s="138">
        <f>'Assets-Liab 5-6'!I41</f>
        <v>2252346</v>
      </c>
      <c r="C2913" s="2" t="s">
        <v>573</v>
      </c>
      <c r="D2913" s="2" t="str">
        <f t="shared" si="44"/>
        <v>Error?</v>
      </c>
    </row>
    <row r="2914" spans="1:4" x14ac:dyDescent="0.2">
      <c r="A2914" s="5">
        <v>2853</v>
      </c>
      <c r="B2914" s="138">
        <f>'Assets-Liab 5-6'!L33</f>
        <v>169703</v>
      </c>
      <c r="D2914" s="2" t="str">
        <f t="shared" si="44"/>
        <v>Error?</v>
      </c>
    </row>
    <row r="2915" spans="1:4" x14ac:dyDescent="0.2">
      <c r="A2915" s="10">
        <v>2854</v>
      </c>
      <c r="D2915" s="2" t="str">
        <f t="shared" si="44"/>
        <v>OK</v>
      </c>
    </row>
    <row r="2916" spans="1:4" x14ac:dyDescent="0.2">
      <c r="A2916" s="5">
        <v>2855</v>
      </c>
      <c r="B2916" s="138">
        <f>'Assets-Liab 5-6'!L34</f>
        <v>169703</v>
      </c>
      <c r="C2916" s="2" t="s">
        <v>573</v>
      </c>
      <c r="D2916" s="2" t="str">
        <f t="shared" si="44"/>
        <v>Error?</v>
      </c>
    </row>
    <row r="2917" spans="1:4" x14ac:dyDescent="0.2">
      <c r="A2917" s="5">
        <v>2856</v>
      </c>
      <c r="B2917" s="138">
        <f>'Assets-Liab 5-6'!L41</f>
        <v>169703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100086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3068</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100086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3068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471293</v>
      </c>
      <c r="D3055" s="2" t="str">
        <f t="shared" si="46"/>
        <v>Error?</v>
      </c>
    </row>
    <row r="3056" spans="1:4" x14ac:dyDescent="0.2">
      <c r="A3056" s="5">
        <v>2995</v>
      </c>
      <c r="B3056" s="138">
        <f>'Expenditures 15-22'!D10</f>
        <v>83970</v>
      </c>
      <c r="D3056" s="2" t="str">
        <f t="shared" si="46"/>
        <v>Error?</v>
      </c>
    </row>
    <row r="3057" spans="1:4" x14ac:dyDescent="0.2">
      <c r="A3057" s="5">
        <v>2996</v>
      </c>
      <c r="B3057" s="138">
        <f>'Expenditures 15-22'!E10</f>
        <v>48615</v>
      </c>
      <c r="D3057" s="2" t="str">
        <f t="shared" si="46"/>
        <v>Error?</v>
      </c>
    </row>
    <row r="3058" spans="1:4" x14ac:dyDescent="0.2">
      <c r="A3058" s="5">
        <v>2997</v>
      </c>
      <c r="B3058" s="138">
        <f>'Expenditures 15-22'!F10</f>
        <v>348598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2160</v>
      </c>
      <c r="D3060" s="2" t="str">
        <f t="shared" si="46"/>
        <v>Error?</v>
      </c>
    </row>
    <row r="3061" spans="1:4" x14ac:dyDescent="0.2">
      <c r="A3061" s="10">
        <v>3000</v>
      </c>
      <c r="D3061" s="2" t="str">
        <f t="shared" si="46"/>
        <v>OK</v>
      </c>
    </row>
    <row r="3062" spans="1:4" x14ac:dyDescent="0.2">
      <c r="A3062" s="5">
        <v>3001</v>
      </c>
      <c r="B3062" s="138">
        <f>'Expenditures 15-22'!K10</f>
        <v>954636</v>
      </c>
      <c r="C3062" s="2" t="s">
        <v>573</v>
      </c>
      <c r="D3062" s="2" t="str">
        <f t="shared" si="46"/>
        <v>Error?</v>
      </c>
    </row>
    <row r="3063" spans="1:4" x14ac:dyDescent="0.2">
      <c r="A3063" s="10">
        <v>3002</v>
      </c>
      <c r="D3063" s="2" t="str">
        <f t="shared" si="46"/>
        <v>OK</v>
      </c>
    </row>
    <row r="3064" spans="1:4" x14ac:dyDescent="0.2">
      <c r="A3064" s="5">
        <v>3003</v>
      </c>
      <c r="B3064" s="138">
        <f>'Expenditures 15-22'!D219</f>
        <v>29766</v>
      </c>
      <c r="D3064" s="2" t="str">
        <f t="shared" si="46"/>
        <v>Error?</v>
      </c>
    </row>
    <row r="3065" spans="1:4" x14ac:dyDescent="0.2">
      <c r="A3065" s="5">
        <v>3004</v>
      </c>
      <c r="B3065" s="138">
        <f>'Expenditures 15-22'!K219</f>
        <v>29766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69716</v>
      </c>
      <c r="C3225" s="2" t="s">
        <v>573</v>
      </c>
      <c r="D3225" s="2" t="str">
        <f t="shared" si="49"/>
        <v>Error?</v>
      </c>
    </row>
    <row r="3226" spans="1:4" x14ac:dyDescent="0.2">
      <c r="A3226" s="5">
        <v>3165</v>
      </c>
      <c r="B3226" s="138">
        <f>'Acct Summary 7-8'!I8</f>
        <v>69716</v>
      </c>
      <c r="C3226" s="2" t="s">
        <v>573</v>
      </c>
      <c r="D3226" s="2" t="str">
        <f t="shared" si="49"/>
        <v>Error?</v>
      </c>
    </row>
    <row r="3227" spans="1:4" x14ac:dyDescent="0.2">
      <c r="A3227" s="5">
        <v>3166</v>
      </c>
      <c r="B3227" s="138">
        <f>'Acct Summary 7-8'!I20</f>
        <v>69716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900000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900000</v>
      </c>
      <c r="C3232" s="2" t="s">
        <v>573</v>
      </c>
      <c r="D3232" s="2" t="str">
        <f t="shared" si="49"/>
        <v>Error?</v>
      </c>
    </row>
    <row r="3233" spans="1:4" x14ac:dyDescent="0.2">
      <c r="A3233" s="5">
        <v>3172</v>
      </c>
      <c r="B3233" s="138">
        <f>'Acct Summary 7-8'!C78</f>
        <v>1071150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78120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60997</v>
      </c>
      <c r="D3251" s="2" t="str">
        <f t="shared" si="49"/>
        <v>Error?</v>
      </c>
    </row>
    <row r="3252" spans="1:4" x14ac:dyDescent="0.2">
      <c r="A3252" s="5">
        <v>3191</v>
      </c>
      <c r="B3252" s="138">
        <f>'Acct Summary 7-8'!F44</f>
        <v>60997</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60997</v>
      </c>
      <c r="C3255" s="2" t="s">
        <v>573</v>
      </c>
      <c r="D3255" s="2" t="str">
        <f t="shared" si="49"/>
        <v>Error?</v>
      </c>
    </row>
    <row r="3256" spans="1:4" x14ac:dyDescent="0.2">
      <c r="A3256" s="5">
        <v>3195</v>
      </c>
      <c r="B3256" s="138">
        <f>'Acct Summary 7-8'!F78</f>
        <v>8149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1401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-2501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900000</v>
      </c>
      <c r="C3317" s="2" t="s">
        <v>573</v>
      </c>
      <c r="D3317" s="2" t="str">
        <f t="shared" si="50"/>
        <v>Error?</v>
      </c>
    </row>
    <row r="3318" spans="1:4" x14ac:dyDescent="0.2">
      <c r="A3318" s="5">
        <v>3257</v>
      </c>
      <c r="B3318" s="138">
        <f>'Acct Summary 7-8'!I76</f>
        <v>921500</v>
      </c>
      <c r="C3318" s="2" t="s">
        <v>573</v>
      </c>
      <c r="D3318" s="2" t="str">
        <f t="shared" si="50"/>
        <v>Error?</v>
      </c>
    </row>
    <row r="3319" spans="1:4" x14ac:dyDescent="0.2">
      <c r="A3319" s="5">
        <v>3258</v>
      </c>
      <c r="B3319" s="138">
        <f>'Acct Summary 7-8'!I77</f>
        <v>-21500</v>
      </c>
      <c r="C3319" s="2" t="s">
        <v>573</v>
      </c>
      <c r="D3319" s="2" t="str">
        <f t="shared" si="50"/>
        <v>Error?</v>
      </c>
    </row>
    <row r="3320" spans="1:4" x14ac:dyDescent="0.2">
      <c r="A3320" s="5">
        <v>3259</v>
      </c>
      <c r="B3320" s="138">
        <f>'Acct Summary 7-8'!I78</f>
        <v>48216</v>
      </c>
      <c r="C3320" s="2" t="s">
        <v>573</v>
      </c>
      <c r="D3320" s="2" t="str">
        <f t="shared" si="50"/>
        <v>Error?</v>
      </c>
    </row>
    <row r="3321" spans="1:4" x14ac:dyDescent="0.2">
      <c r="A3321" s="5">
        <v>3260</v>
      </c>
      <c r="B3321" s="138">
        <f>'Acct Summary 7-8'!I79</f>
        <v>2204130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2252346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1175725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208842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698204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4367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525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2087663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75382</v>
      </c>
      <c r="D3387" s="2" t="str">
        <f t="shared" si="51"/>
        <v>Error?</v>
      </c>
    </row>
    <row r="3388" spans="1:4" x14ac:dyDescent="0.2">
      <c r="A3388" s="5">
        <v>3327</v>
      </c>
      <c r="B3388" s="138">
        <f>'Expenditures 15-22'!D217</f>
        <v>73569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75382</v>
      </c>
      <c r="C3390" s="2" t="s">
        <v>573</v>
      </c>
      <c r="D3390" s="2" t="str">
        <f t="shared" si="51"/>
        <v>Error?</v>
      </c>
    </row>
    <row r="3391" spans="1:4" x14ac:dyDescent="0.2">
      <c r="A3391" s="5">
        <v>3330</v>
      </c>
      <c r="B3391" s="138">
        <f>'Expenditures 15-22'!K217</f>
        <v>73569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7500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6097080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258003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10467</v>
      </c>
      <c r="D3417" s="2" t="str">
        <f t="shared" si="52"/>
        <v>Error?</v>
      </c>
    </row>
    <row r="3418" spans="1:4" x14ac:dyDescent="0.2">
      <c r="A3418" s="10">
        <v>3357</v>
      </c>
      <c r="D3418" s="2" t="str">
        <f t="shared" si="52"/>
        <v>OK</v>
      </c>
    </row>
    <row r="3419" spans="1:4" x14ac:dyDescent="0.2">
      <c r="A3419" s="5">
        <v>3358</v>
      </c>
      <c r="B3419" s="138">
        <f>'Assets-Liab 5-6'!F4</f>
        <v>87573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638143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2252346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169703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207697</v>
      </c>
      <c r="C3446" s="2" t="s">
        <v>573</v>
      </c>
      <c r="D3446" s="2" t="str">
        <f t="shared" si="52"/>
        <v>Error?</v>
      </c>
    </row>
    <row r="3447" spans="1:4" x14ac:dyDescent="0.2">
      <c r="A3447" s="5">
        <v>3386</v>
      </c>
      <c r="B3447" s="138">
        <f>'Tax Sched 23'!D16</f>
        <v>207697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210000</v>
      </c>
      <c r="C3449" s="2" t="s">
        <v>573</v>
      </c>
      <c r="D3449" s="2" t="str">
        <f t="shared" si="52"/>
        <v>Error?</v>
      </c>
    </row>
    <row r="3450" spans="1:4" x14ac:dyDescent="0.2">
      <c r="A3450" s="5">
        <v>3389</v>
      </c>
      <c r="B3450" s="138">
        <f>'Tax Sched 23'!E16</f>
        <v>210000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242979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242979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242979</v>
      </c>
      <c r="D3567" s="2" t="str">
        <f t="shared" si="54"/>
        <v>Error?</v>
      </c>
    </row>
    <row r="3568" spans="1:4" x14ac:dyDescent="0.2">
      <c r="A3568" s="5">
        <v>3507</v>
      </c>
      <c r="B3568" s="138">
        <f>'Assets-Liab 5-6'!K41</f>
        <v>242979</v>
      </c>
      <c r="C3568" s="2" t="s">
        <v>573</v>
      </c>
      <c r="D3568" s="2" t="str">
        <f t="shared" si="54"/>
        <v>Error?</v>
      </c>
    </row>
    <row r="3569" spans="1:4" x14ac:dyDescent="0.2">
      <c r="A3569" s="5">
        <v>3508</v>
      </c>
      <c r="B3569" s="138">
        <f>'Acct Summary 7-8'!K4</f>
        <v>41651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41651</v>
      </c>
      <c r="C3571" s="2" t="s">
        <v>573</v>
      </c>
      <c r="D3571" s="2" t="str">
        <f t="shared" si="54"/>
        <v>Error?</v>
      </c>
    </row>
    <row r="3572" spans="1:4" x14ac:dyDescent="0.2">
      <c r="A3572" s="5">
        <v>3511</v>
      </c>
      <c r="B3572" s="138">
        <f>'Acct Summary 7-8'!K13</f>
        <v>1427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1427</v>
      </c>
      <c r="C3575" s="2" t="s">
        <v>573</v>
      </c>
      <c r="D3575" s="2" t="str">
        <f t="shared" si="54"/>
        <v>Error?</v>
      </c>
    </row>
    <row r="3576" spans="1:4" x14ac:dyDescent="0.2">
      <c r="A3576" s="5">
        <v>3515</v>
      </c>
      <c r="B3576" s="138">
        <f>'Acct Summary 7-8'!K20</f>
        <v>40224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40224</v>
      </c>
      <c r="C3588" s="2" t="s">
        <v>573</v>
      </c>
      <c r="D3588" s="2" t="str">
        <f t="shared" si="55"/>
        <v>Error?</v>
      </c>
    </row>
    <row r="3589" spans="1:4" x14ac:dyDescent="0.2">
      <c r="A3589" s="5">
        <v>3528</v>
      </c>
      <c r="B3589" s="138">
        <f>'Acct Summary 7-8'!K79</f>
        <v>202755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242979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1427</v>
      </c>
      <c r="D3639" s="2" t="str">
        <f t="shared" si="55"/>
        <v>Error?</v>
      </c>
    </row>
    <row r="3640" spans="1:4" x14ac:dyDescent="0.2">
      <c r="A3640" s="5">
        <v>3579</v>
      </c>
      <c r="B3640" s="138">
        <f>'Expenditures 15-22'!F350</f>
        <v>1427</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1427</v>
      </c>
      <c r="C3642" s="2" t="s">
        <v>573</v>
      </c>
      <c r="D3642" s="2" t="str">
        <f t="shared" si="55"/>
        <v>Error?</v>
      </c>
    </row>
    <row r="3643" spans="1:4" x14ac:dyDescent="0.2">
      <c r="A3643" s="5">
        <v>3582</v>
      </c>
      <c r="B3643" s="138">
        <f>'Expenditures 15-22'!F367</f>
        <v>1427</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1427</v>
      </c>
      <c r="C3669" s="2" t="s">
        <v>573</v>
      </c>
      <c r="D3669" s="2" t="str">
        <f t="shared" si="56"/>
        <v>Error?</v>
      </c>
    </row>
    <row r="3670" spans="1:4" x14ac:dyDescent="0.2">
      <c r="A3670" s="5">
        <v>3609</v>
      </c>
      <c r="B3670" s="138">
        <f>'Expenditures 15-22'!K350</f>
        <v>1427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1427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1427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40224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37948</v>
      </c>
      <c r="C3725" s="2" t="s">
        <v>573</v>
      </c>
      <c r="D3725" s="2" t="str">
        <f t="shared" si="57"/>
        <v>Error?</v>
      </c>
    </row>
    <row r="3726" spans="1:4" x14ac:dyDescent="0.2">
      <c r="A3726" s="5">
        <v>3665</v>
      </c>
      <c r="B3726" s="138">
        <f>'Tax Sched 23'!D13</f>
        <v>37948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39971</v>
      </c>
      <c r="C3728" s="2" t="s">
        <v>573</v>
      </c>
      <c r="D3728" s="2" t="str">
        <f t="shared" si="57"/>
        <v>Error?</v>
      </c>
    </row>
    <row r="3729" spans="1:4" x14ac:dyDescent="0.2">
      <c r="A3729" s="5">
        <v>3668</v>
      </c>
      <c r="B3729" s="138">
        <f>'Tax Sched 23'!E13</f>
        <v>39971</v>
      </c>
      <c r="D3729" s="2" t="str">
        <f t="shared" si="57"/>
        <v>Error?</v>
      </c>
    </row>
    <row r="3730" spans="1:4" x14ac:dyDescent="0.2">
      <c r="A3730" s="5">
        <v>3669</v>
      </c>
      <c r="B3730" s="138">
        <f>'ICR Computation 30'!E10</f>
        <v>272253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4098172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16360691</v>
      </c>
      <c r="C4122" s="2" t="s">
        <v>573</v>
      </c>
      <c r="D4122" s="2" t="str">
        <f t="shared" si="63"/>
        <v>Error?</v>
      </c>
    </row>
    <row r="4123" spans="1:4" x14ac:dyDescent="0.2">
      <c r="A4123" s="5">
        <v>4062</v>
      </c>
      <c r="B4123" s="138">
        <f>'Acct Summary 7-8'!D10</f>
        <v>464354</v>
      </c>
      <c r="C4123" s="2" t="s">
        <v>573</v>
      </c>
      <c r="D4123" s="2" t="str">
        <f t="shared" si="63"/>
        <v>Error?</v>
      </c>
    </row>
    <row r="4124" spans="1:4" x14ac:dyDescent="0.2">
      <c r="A4124" s="5">
        <v>4063</v>
      </c>
      <c r="B4124" s="138">
        <f>'Acct Summary 7-8'!E10</f>
        <v>307837</v>
      </c>
      <c r="C4124" s="2" t="s">
        <v>573</v>
      </c>
      <c r="D4124" s="2" t="str">
        <f t="shared" si="63"/>
        <v>Error?</v>
      </c>
    </row>
    <row r="4125" spans="1:4" x14ac:dyDescent="0.2">
      <c r="A4125" s="5">
        <v>4064</v>
      </c>
      <c r="B4125" s="138">
        <f>'Acct Summary 7-8'!F10</f>
        <v>554495</v>
      </c>
      <c r="C4125" s="2" t="s">
        <v>573</v>
      </c>
      <c r="D4125" s="2" t="str">
        <f t="shared" si="63"/>
        <v>Error?</v>
      </c>
    </row>
    <row r="4126" spans="1:4" x14ac:dyDescent="0.2">
      <c r="A4126" s="5">
        <v>4065</v>
      </c>
      <c r="B4126" s="138">
        <f>'Acct Summary 7-8'!G10</f>
        <v>429743</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69716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41651</v>
      </c>
      <c r="C4130" s="2" t="s">
        <v>573</v>
      </c>
      <c r="D4130" s="2" t="str">
        <f t="shared" si="63"/>
        <v>Error?</v>
      </c>
    </row>
    <row r="4131" spans="1:4" x14ac:dyDescent="0.2">
      <c r="A4131" s="5">
        <v>4070</v>
      </c>
      <c r="B4131" s="138">
        <f>'Acct Summary 7-8'!C18</f>
        <v>4098172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16189541</v>
      </c>
      <c r="C4136" s="2" t="s">
        <v>573</v>
      </c>
      <c r="D4136" s="2" t="str">
        <f t="shared" si="63"/>
        <v>Error?</v>
      </c>
    </row>
    <row r="4137" spans="1:4" x14ac:dyDescent="0.2">
      <c r="A4137" s="5">
        <v>4076</v>
      </c>
      <c r="B4137" s="138">
        <f>'Acct Summary 7-8'!D19</f>
        <v>386234</v>
      </c>
      <c r="C4137" s="2" t="s">
        <v>573</v>
      </c>
      <c r="D4137" s="2" t="str">
        <f t="shared" si="63"/>
        <v>Error?</v>
      </c>
    </row>
    <row r="4138" spans="1:4" x14ac:dyDescent="0.2">
      <c r="A4138" s="5">
        <v>4077</v>
      </c>
      <c r="B4138" s="138">
        <f>'Acct Summary 7-8'!E19</f>
        <v>310338</v>
      </c>
      <c r="C4138" s="2" t="s">
        <v>573</v>
      </c>
      <c r="D4138" s="2" t="str">
        <f t="shared" si="63"/>
        <v>Error?</v>
      </c>
    </row>
    <row r="4139" spans="1:4" x14ac:dyDescent="0.2">
      <c r="A4139" s="5">
        <v>4078</v>
      </c>
      <c r="B4139" s="138">
        <f>'Acct Summary 7-8'!F19</f>
        <v>607343</v>
      </c>
      <c r="C4139" s="2" t="s">
        <v>573</v>
      </c>
      <c r="D4139" s="2" t="str">
        <f t="shared" si="63"/>
        <v>Error?</v>
      </c>
    </row>
    <row r="4140" spans="1:4" x14ac:dyDescent="0.2">
      <c r="A4140" s="5">
        <v>4079</v>
      </c>
      <c r="B4140" s="138">
        <f>'Acct Summary 7-8'!G19</f>
        <v>428342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1427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1031241</v>
      </c>
      <c r="C4171" s="2" t="s">
        <v>573</v>
      </c>
      <c r="D4171" s="2" t="str">
        <f t="shared" si="64"/>
        <v>Error?</v>
      </c>
    </row>
    <row r="4172" spans="1:4" x14ac:dyDescent="0.2">
      <c r="A4172" s="5">
        <v>4111</v>
      </c>
      <c r="B4172" s="138">
        <f>'Short-Term Long-Term Debt 24'!J49</f>
        <v>1020774</v>
      </c>
      <c r="C4172" s="2" t="s">
        <v>573</v>
      </c>
      <c r="D4172" s="2" t="str">
        <f t="shared" si="64"/>
        <v>Error?</v>
      </c>
    </row>
    <row r="4173" spans="1:4" x14ac:dyDescent="0.2">
      <c r="A4173" s="5">
        <v>4112</v>
      </c>
      <c r="B4173" s="138">
        <f>'Short-Term Long-Term Debt 24'!H49</f>
        <v>344169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39169</v>
      </c>
      <c r="D4210" s="2" t="str">
        <f t="shared" si="64"/>
        <v>Error?</v>
      </c>
    </row>
    <row r="4211" spans="1:4" x14ac:dyDescent="0.2">
      <c r="A4211" s="5">
        <v>4150</v>
      </c>
      <c r="B4211" s="138">
        <f>'Expenditures 15-22'!K206</f>
        <v>39169</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2960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3660</v>
      </c>
      <c r="C4268" s="2" t="s">
        <v>573</v>
      </c>
      <c r="D4268" s="2" t="str">
        <f t="shared" si="65"/>
        <v>Error?</v>
      </c>
    </row>
    <row r="4269" spans="1:5" x14ac:dyDescent="0.2">
      <c r="A4269" s="12">
        <v>4208</v>
      </c>
      <c r="B4269" s="138">
        <f>'FP Info 3'!J16</f>
        <v>9595002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8208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48592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43979</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43979</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25177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196518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79942024</v>
      </c>
      <c r="D4995" s="2" t="str">
        <f t="shared" si="77"/>
        <v>Error?</v>
      </c>
    </row>
    <row r="4996" spans="1:4" x14ac:dyDescent="0.2">
      <c r="A4996" s="12">
        <v>4935</v>
      </c>
      <c r="B4996" s="138">
        <f>'FP Info 3'!H31</f>
        <v>11031999.312000001</v>
      </c>
      <c r="D4996" s="2" t="str">
        <f t="shared" si="77"/>
        <v>Error?</v>
      </c>
    </row>
    <row r="4997" spans="1:4" x14ac:dyDescent="0.2">
      <c r="A4997" s="12">
        <v>4936</v>
      </c>
      <c r="B4997" s="138">
        <f>'FP Info 3'!H37</f>
        <v>1031241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37948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2244927</v>
      </c>
      <c r="D5061" s="2" t="str">
        <f t="shared" si="78"/>
        <v>Error?</v>
      </c>
    </row>
    <row r="5062" spans="1:4" x14ac:dyDescent="0.2">
      <c r="A5062" s="10">
        <v>5001</v>
      </c>
      <c r="D5062" s="2" t="str">
        <f t="shared" si="78"/>
        <v>OK</v>
      </c>
    </row>
    <row r="5063" spans="1:4" x14ac:dyDescent="0.2">
      <c r="A5063" s="5">
        <v>5002</v>
      </c>
      <c r="B5063" s="138">
        <f>'Revenues 9-14'!C7</f>
        <v>30359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2313234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437630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437630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81792</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81792</v>
      </c>
      <c r="C5087" s="2" t="s">
        <v>573</v>
      </c>
      <c r="D5087" s="2" t="str">
        <f t="shared" si="78"/>
        <v>Error?</v>
      </c>
    </row>
    <row r="5088" spans="1:4" x14ac:dyDescent="0.2">
      <c r="A5088" s="5">
        <v>5027</v>
      </c>
      <c r="B5088" s="138">
        <f>'Revenues 9-14'!C65</f>
        <v>114929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114929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7977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3363</v>
      </c>
      <c r="D5094" s="2" t="str">
        <f t="shared" si="78"/>
        <v>Error?</v>
      </c>
    </row>
    <row r="5095" spans="1:4" x14ac:dyDescent="0.2">
      <c r="A5095" s="5">
        <v>5034</v>
      </c>
      <c r="B5095" s="138">
        <f>'Revenues 9-14'!C74</f>
        <v>3814</v>
      </c>
      <c r="D5095" s="2" t="str">
        <f t="shared" si="78"/>
        <v>Error?</v>
      </c>
    </row>
    <row r="5096" spans="1:4" x14ac:dyDescent="0.2">
      <c r="A5096" s="5">
        <v>5035</v>
      </c>
      <c r="B5096" s="138">
        <f>'Revenues 9-14'!C75</f>
        <v>15154</v>
      </c>
      <c r="C5096" s="2" t="s">
        <v>573</v>
      </c>
      <c r="D5096" s="2" t="str">
        <f t="shared" si="78"/>
        <v>Error?</v>
      </c>
    </row>
    <row r="5097" spans="1:4" x14ac:dyDescent="0.2">
      <c r="A5097" s="5">
        <v>5036</v>
      </c>
      <c r="B5097" s="138">
        <f>'Revenues 9-14'!C77</f>
        <v>15402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1075</v>
      </c>
      <c r="D5101" s="2" t="str">
        <f t="shared" si="78"/>
        <v>Error?</v>
      </c>
    </row>
    <row r="5102" spans="1:4" x14ac:dyDescent="0.2">
      <c r="A5102" s="5">
        <v>5041</v>
      </c>
      <c r="B5102" s="138">
        <f>'Revenues 9-14'!C82</f>
        <v>19977</v>
      </c>
      <c r="C5102" s="2" t="s">
        <v>573</v>
      </c>
      <c r="D5102" s="2" t="str">
        <f t="shared" si="78"/>
        <v>Error?</v>
      </c>
    </row>
    <row r="5103" spans="1:4" x14ac:dyDescent="0.2">
      <c r="A5103" s="5">
        <v>5042</v>
      </c>
      <c r="B5103" s="138">
        <f>'Revenues 9-14'!C84</f>
        <v>27351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27351</v>
      </c>
      <c r="C5112" s="2" t="s">
        <v>573</v>
      </c>
      <c r="D5112" s="2" t="str">
        <f t="shared" si="78"/>
        <v>Error?</v>
      </c>
    </row>
    <row r="5113" spans="1:4" x14ac:dyDescent="0.2">
      <c r="A5113" s="5">
        <v>5052</v>
      </c>
      <c r="B5113" s="138">
        <f>'Revenues 9-14'!C95</f>
        <v>4001</v>
      </c>
      <c r="D5113" s="2" t="str">
        <f t="shared" si="78"/>
        <v>Error?</v>
      </c>
    </row>
    <row r="5114" spans="1:4" x14ac:dyDescent="0.2">
      <c r="A5114" s="5">
        <v>5053</v>
      </c>
      <c r="B5114" s="138">
        <f>'Revenues 9-14'!C96</f>
        <v>208495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10350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120038</v>
      </c>
      <c r="D5119" s="2" t="str">
        <f t="shared" ref="D5119:D5182" si="79">IF(ISBLANK(B5119),"OK",IF(A5119-B5119=0,"OK","Error?"))</f>
        <v>Error?</v>
      </c>
    </row>
    <row r="5120" spans="1:4" x14ac:dyDescent="0.2">
      <c r="A5120" s="5">
        <v>5059</v>
      </c>
      <c r="B5120" s="138">
        <f>'Revenues 9-14'!C108</f>
        <v>346622</v>
      </c>
      <c r="C5120" s="2" t="s">
        <v>573</v>
      </c>
      <c r="D5120" s="2" t="str">
        <f t="shared" si="79"/>
        <v>Error?</v>
      </c>
    </row>
    <row r="5121" spans="1:4" x14ac:dyDescent="0.2">
      <c r="A5121" s="5">
        <v>5060</v>
      </c>
      <c r="B5121" s="138">
        <f>'Revenues 9-14'!C109</f>
        <v>3356689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7500</v>
      </c>
      <c r="D5124" s="2" t="str">
        <f t="shared" si="79"/>
        <v>Error?</v>
      </c>
    </row>
    <row r="5125" spans="1:4" x14ac:dyDescent="0.2">
      <c r="A5125" s="5">
        <v>5064</v>
      </c>
      <c r="B5125" s="138">
        <f>'Revenues 9-14'!C114</f>
        <v>7500</v>
      </c>
      <c r="C5125" s="2" t="s">
        <v>573</v>
      </c>
      <c r="D5125" s="2" t="str">
        <f t="shared" si="79"/>
        <v>Error?</v>
      </c>
    </row>
    <row r="5126" spans="1:4" x14ac:dyDescent="0.2">
      <c r="A5126" s="5">
        <v>5065</v>
      </c>
      <c r="B5126" s="138">
        <f>'Revenues 9-14'!C117</f>
        <v>7169969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7169969</v>
      </c>
      <c r="C5132" s="2" t="s">
        <v>573</v>
      </c>
      <c r="D5132" s="2" t="str">
        <f t="shared" si="79"/>
        <v>Error?</v>
      </c>
    </row>
    <row r="5133" spans="1:4" x14ac:dyDescent="0.2">
      <c r="A5133" s="5">
        <v>5072</v>
      </c>
      <c r="B5133" s="138">
        <f>'Revenues 9-14'!C125</f>
        <v>350162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78946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429108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5843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10761</v>
      </c>
      <c r="D5167" s="2" t="str">
        <f t="shared" si="79"/>
        <v>Error?</v>
      </c>
    </row>
    <row r="5168" spans="1:4" x14ac:dyDescent="0.2">
      <c r="A5168" s="5">
        <v>5107</v>
      </c>
      <c r="B5168" s="138">
        <f>'Revenues 9-14'!C148</f>
        <v>13673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30191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686094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7856063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413822</v>
      </c>
      <c r="D5239" s="2" t="str">
        <f t="shared" si="80"/>
        <v>Error?</v>
      </c>
    </row>
    <row r="5240" spans="1:4" x14ac:dyDescent="0.2">
      <c r="A5240" s="5">
        <v>5179</v>
      </c>
      <c r="B5240" s="138">
        <f>'Revenues 9-14'!C192</f>
        <v>1214</v>
      </c>
      <c r="D5240" s="2" t="str">
        <f t="shared" si="80"/>
        <v>Error?</v>
      </c>
    </row>
    <row r="5241" spans="1:4" x14ac:dyDescent="0.2">
      <c r="A5241" s="5">
        <v>5180</v>
      </c>
      <c r="B5241" s="138">
        <f>'Revenues 9-14'!C193</f>
        <v>105332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520368</v>
      </c>
      <c r="C5246" s="2" t="s">
        <v>573</v>
      </c>
      <c r="D5246" s="2" t="str">
        <f t="shared" si="80"/>
        <v>Error?</v>
      </c>
    </row>
    <row r="5247" spans="1:4" x14ac:dyDescent="0.2">
      <c r="A5247" s="5">
        <v>5186</v>
      </c>
      <c r="B5247" s="138">
        <f>'Revenues 9-14'!C200</f>
        <v>377500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377500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18443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18443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1042267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1042267</v>
      </c>
      <c r="C5326" s="2" t="s">
        <v>573</v>
      </c>
      <c r="D5326" s="2" t="str">
        <f t="shared" si="82"/>
        <v>Error?</v>
      </c>
    </row>
    <row r="5327" spans="1:5" x14ac:dyDescent="0.2">
      <c r="A5327" s="5">
        <v>5266</v>
      </c>
      <c r="B5327" s="138">
        <f>'Revenues 9-14'!C268</f>
        <v>12262519</v>
      </c>
      <c r="C5327" s="2" t="s">
        <v>573</v>
      </c>
      <c r="D5327" s="2" t="str">
        <f t="shared" si="82"/>
        <v>Error?</v>
      </c>
    </row>
    <row r="5328" spans="1:5" x14ac:dyDescent="0.2">
      <c r="A5328" s="5">
        <v>5267</v>
      </c>
      <c r="B5328" s="138">
        <f>'Revenues 9-14'!D5</f>
        <v>379198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379198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3116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3116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440</v>
      </c>
      <c r="D5349" s="2" t="str">
        <f t="shared" si="82"/>
        <v>Error?</v>
      </c>
    </row>
    <row r="5350" spans="1:4" x14ac:dyDescent="0.2">
      <c r="A5350" s="5">
        <v>5289</v>
      </c>
      <c r="B5350" s="138">
        <f>'Revenues 9-14'!D96</f>
        <v>10000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21600</v>
      </c>
      <c r="D5354" s="2" t="str">
        <f t="shared" si="82"/>
        <v>Error?</v>
      </c>
    </row>
    <row r="5355" spans="1:4" x14ac:dyDescent="0.2">
      <c r="A5355" s="5">
        <v>5294</v>
      </c>
      <c r="B5355" s="138">
        <f>'Revenues 9-14'!D108</f>
        <v>82040</v>
      </c>
      <c r="C5355" s="2" t="s">
        <v>573</v>
      </c>
      <c r="D5355" s="2" t="str">
        <f t="shared" si="82"/>
        <v>Error?</v>
      </c>
    </row>
    <row r="5356" spans="1:4" x14ac:dyDescent="0.2">
      <c r="A5356" s="5">
        <v>5295</v>
      </c>
      <c r="B5356" s="138">
        <f>'Revenues 9-14'!D109</f>
        <v>464354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464354</v>
      </c>
      <c r="C5508" s="2" t="s">
        <v>573</v>
      </c>
      <c r="D5508" s="2" t="str">
        <f t="shared" si="85"/>
        <v>Error?</v>
      </c>
    </row>
    <row r="5509" spans="1:4" x14ac:dyDescent="0.2">
      <c r="A5509" s="5">
        <v>5448</v>
      </c>
      <c r="B5509" s="138">
        <f>'Revenues 9-14'!E5</f>
        <v>307837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307837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307837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307837</v>
      </c>
      <c r="C5552" s="2" t="s">
        <v>573</v>
      </c>
      <c r="D5552" s="2" t="str">
        <f t="shared" si="85"/>
        <v>Error?</v>
      </c>
    </row>
    <row r="5553" spans="1:4" x14ac:dyDescent="0.2">
      <c r="A5553" s="5">
        <v>5492</v>
      </c>
      <c r="B5553" s="138">
        <f>'Revenues 9-14'!F5</f>
        <v>151678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151678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153083</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153083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1325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1325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306086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229731</v>
      </c>
      <c r="D5615" s="2" t="str">
        <f t="shared" si="86"/>
        <v>Error?</v>
      </c>
    </row>
    <row r="5616" spans="1:4" x14ac:dyDescent="0.2">
      <c r="A5616" s="10">
        <v>5555</v>
      </c>
      <c r="D5616" s="2" t="str">
        <f t="shared" si="86"/>
        <v>OK</v>
      </c>
    </row>
    <row r="5617" spans="1:5" x14ac:dyDescent="0.2">
      <c r="A5617" s="5">
        <v>5556</v>
      </c>
      <c r="B5617" s="138">
        <f>'Revenues 9-14'!F153</f>
        <v>18678</v>
      </c>
      <c r="D5617" s="2" t="str">
        <f t="shared" si="86"/>
        <v>Error?</v>
      </c>
    </row>
    <row r="5618" spans="1:5" x14ac:dyDescent="0.2">
      <c r="A5618" s="5">
        <v>5557</v>
      </c>
      <c r="B5618" s="138">
        <f>'Revenues 9-14'!F155</f>
        <v>248409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248409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248409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554495</v>
      </c>
      <c r="C5720" s="2" t="s">
        <v>573</v>
      </c>
      <c r="D5720" s="2" t="str">
        <f t="shared" si="88"/>
        <v>Error?</v>
      </c>
    </row>
    <row r="5721" spans="1:4" x14ac:dyDescent="0.2">
      <c r="A5721" s="5">
        <v>5660</v>
      </c>
      <c r="B5721" s="138">
        <f>'Revenues 9-14'!G5</f>
        <v>207697</v>
      </c>
      <c r="D5721" s="2" t="str">
        <f t="shared" si="88"/>
        <v>Error?</v>
      </c>
    </row>
    <row r="5722" spans="1:4" x14ac:dyDescent="0.2">
      <c r="A5722" s="5">
        <v>5661</v>
      </c>
      <c r="B5722" s="138">
        <f>'Revenues 9-14'!G7</f>
        <v>0</v>
      </c>
      <c r="D5722" s="2" t="str">
        <f t="shared" si="88"/>
        <v>Error?</v>
      </c>
    </row>
    <row r="5723" spans="1:4" x14ac:dyDescent="0.2">
      <c r="A5723" s="5">
        <v>5662</v>
      </c>
      <c r="B5723" s="138">
        <f>'Revenues 9-14'!G8</f>
        <v>207697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415394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v>
      </c>
      <c r="C5730" s="2" t="s">
        <v>573</v>
      </c>
      <c r="D5730" s="2" t="str">
        <f t="shared" si="88"/>
        <v>Error?</v>
      </c>
    </row>
    <row r="5731" spans="1:4" x14ac:dyDescent="0.2">
      <c r="A5731" s="5">
        <v>5670</v>
      </c>
      <c r="B5731" s="138">
        <f>'Revenues 9-14'!G65</f>
        <v>11849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11849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429743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37919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37919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31797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31797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69716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37919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37919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3732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3732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41651</v>
      </c>
      <c r="C6023" s="2" t="s">
        <v>573</v>
      </c>
      <c r="D6023" s="2" t="str">
        <f t="shared" si="93"/>
        <v>Error?</v>
      </c>
    </row>
    <row r="6024" spans="1:5" x14ac:dyDescent="0.2">
      <c r="A6024" s="5">
        <v>5963</v>
      </c>
      <c r="B6024" s="138">
        <f>'Revenues 9-14'!G109</f>
        <v>429743</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69716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41651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58848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1066.2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68136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68136</v>
      </c>
      <c r="D6215" s="2" t="str">
        <f t="shared" si="96"/>
        <v>Error?</v>
      </c>
      <c r="E6215" s="2" t="s">
        <v>190</v>
      </c>
    </row>
    <row r="6216" spans="1:5" x14ac:dyDescent="0.2">
      <c r="A6216">
        <v>6155</v>
      </c>
      <c r="B6216" s="138">
        <f>'Assets-Liab 5-6'!J41</f>
        <v>68136</v>
      </c>
      <c r="D6216" s="2" t="str">
        <f t="shared" si="96"/>
        <v>Error?</v>
      </c>
      <c r="E6216" s="2" t="s">
        <v>190</v>
      </c>
    </row>
    <row r="6217" spans="1:5" x14ac:dyDescent="0.2">
      <c r="A6217">
        <v>6156</v>
      </c>
      <c r="B6217" s="138">
        <f>'Assets-Liab 5-6'!J4</f>
        <v>68136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226717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226717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226717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269673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269673</v>
      </c>
      <c r="D6229" s="2" t="str">
        <f t="shared" si="96"/>
        <v>Error?</v>
      </c>
      <c r="E6229" s="2" t="s">
        <v>190</v>
      </c>
    </row>
    <row r="6230" spans="1:5" x14ac:dyDescent="0.2">
      <c r="A6230">
        <v>6169</v>
      </c>
      <c r="B6230" s="138">
        <f>'Acct Summary 7-8'!J20</f>
        <v>-42956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21500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-42956</v>
      </c>
      <c r="D6263" s="2" t="str">
        <f t="shared" si="96"/>
        <v>Error?</v>
      </c>
      <c r="E6263" s="2" t="s">
        <v>190</v>
      </c>
    </row>
    <row r="6264" spans="1:5" x14ac:dyDescent="0.2">
      <c r="A6264">
        <v>6203</v>
      </c>
      <c r="B6264" s="138">
        <f>'Acct Summary 7-8'!J79</f>
        <v>111092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68136</v>
      </c>
      <c r="D6266" s="2" t="str">
        <f t="shared" si="96"/>
        <v>Error?</v>
      </c>
      <c r="E6266" s="2" t="s">
        <v>190</v>
      </c>
    </row>
    <row r="6267" spans="1:5" x14ac:dyDescent="0.2">
      <c r="A6267">
        <v>6206</v>
      </c>
      <c r="B6267" s="138">
        <f>'Acct Summary 7-8'!C82</f>
        <v>1071150</v>
      </c>
      <c r="D6267" s="2" t="str">
        <f t="shared" si="96"/>
        <v>Error?</v>
      </c>
      <c r="E6267" s="2" t="s">
        <v>190</v>
      </c>
    </row>
    <row r="6268" spans="1:5" x14ac:dyDescent="0.2">
      <c r="A6268">
        <v>6207</v>
      </c>
      <c r="B6268" s="138">
        <f>'Acct Summary 7-8'!D82</f>
        <v>78120</v>
      </c>
      <c r="D6268" s="2" t="str">
        <f t="shared" si="96"/>
        <v>Error?</v>
      </c>
      <c r="E6268" s="2" t="s">
        <v>190</v>
      </c>
    </row>
    <row r="6269" spans="1:5" x14ac:dyDescent="0.2">
      <c r="A6269">
        <v>6208</v>
      </c>
      <c r="B6269" s="138">
        <f>'Acct Summary 7-8'!E82</f>
        <v>-2501</v>
      </c>
      <c r="D6269" s="2" t="str">
        <f t="shared" si="96"/>
        <v>Error?</v>
      </c>
      <c r="E6269" s="2" t="s">
        <v>190</v>
      </c>
    </row>
    <row r="6270" spans="1:5" x14ac:dyDescent="0.2">
      <c r="A6270">
        <v>6209</v>
      </c>
      <c r="B6270" s="138">
        <f>'Acct Summary 7-8'!F82</f>
        <v>8149</v>
      </c>
      <c r="D6270" s="2" t="str">
        <f t="shared" si="96"/>
        <v>Error?</v>
      </c>
      <c r="E6270" s="2" t="s">
        <v>190</v>
      </c>
    </row>
    <row r="6271" spans="1:5" x14ac:dyDescent="0.2">
      <c r="A6271">
        <v>6210</v>
      </c>
      <c r="B6271" s="138">
        <f>'Acct Summary 7-8'!G82</f>
        <v>1401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48216</v>
      </c>
      <c r="D6273" s="2" t="str">
        <f t="shared" si="97"/>
        <v>Error?</v>
      </c>
      <c r="E6273" s="2" t="s">
        <v>190</v>
      </c>
    </row>
    <row r="6274" spans="1:5" x14ac:dyDescent="0.2">
      <c r="A6274">
        <v>6213</v>
      </c>
      <c r="B6274" s="138">
        <f>'Acct Summary 7-8'!J82</f>
        <v>-42956</v>
      </c>
      <c r="D6274" s="2" t="str">
        <f t="shared" si="97"/>
        <v>Error?</v>
      </c>
      <c r="E6274" s="2" t="s">
        <v>190</v>
      </c>
    </row>
    <row r="6275" spans="1:5" x14ac:dyDescent="0.2">
      <c r="A6275">
        <v>6214</v>
      </c>
      <c r="B6275" s="138">
        <f>'Acct Summary 7-8'!K82</f>
        <v>40224</v>
      </c>
      <c r="D6275" s="2" t="str">
        <f t="shared" si="97"/>
        <v>Error?</v>
      </c>
      <c r="E6275" s="2" t="s">
        <v>190</v>
      </c>
    </row>
    <row r="6276" spans="1:5" x14ac:dyDescent="0.2">
      <c r="A6276">
        <v>6215</v>
      </c>
      <c r="B6276" s="138">
        <f>'Acct Summary 7-8'!C83</f>
        <v>0.15308528700543655</v>
      </c>
      <c r="D6276" s="2" t="str">
        <f t="shared" si="97"/>
        <v>Error?</v>
      </c>
      <c r="E6276" s="2" t="s">
        <v>190</v>
      </c>
    </row>
    <row r="6277" spans="1:5" x14ac:dyDescent="0.2">
      <c r="A6277">
        <v>6216</v>
      </c>
      <c r="B6277" s="138">
        <f>'Acct Summary 7-8'!D83</f>
        <v>0.30278717689329193</v>
      </c>
      <c r="D6277" s="2" t="str">
        <f t="shared" si="97"/>
        <v>Error?</v>
      </c>
      <c r="E6277" s="2" t="s">
        <v>190</v>
      </c>
    </row>
    <row r="6278" spans="1:5" x14ac:dyDescent="0.2">
      <c r="A6278">
        <v>6217</v>
      </c>
      <c r="B6278" s="138">
        <f>'Acct Summary 7-8'!E83</f>
        <v>-0.23894143498614695</v>
      </c>
      <c r="D6278" s="2" t="str">
        <f t="shared" si="97"/>
        <v>Error?</v>
      </c>
      <c r="E6278" s="2" t="s">
        <v>190</v>
      </c>
    </row>
    <row r="6279" spans="1:5" x14ac:dyDescent="0.2">
      <c r="A6279">
        <v>6218</v>
      </c>
      <c r="B6279" s="138">
        <f>'Acct Summary 7-8'!F83</f>
        <v>9.3053795119500307E-2</v>
      </c>
      <c r="D6279" s="2" t="str">
        <f t="shared" si="97"/>
        <v>Error?</v>
      </c>
      <c r="E6279" s="2" t="s">
        <v>190</v>
      </c>
    </row>
    <row r="6280" spans="1:5" x14ac:dyDescent="0.2">
      <c r="A6280">
        <v>6219</v>
      </c>
      <c r="B6280" s="138">
        <f>'Acct Summary 7-8'!G83</f>
        <v>2.1954326851505068E-3</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2.1407012954492783E-2</v>
      </c>
      <c r="D6282" s="2" t="str">
        <f t="shared" si="97"/>
        <v>Error?</v>
      </c>
      <c r="E6282" s="2" t="s">
        <v>190</v>
      </c>
    </row>
    <row r="6283" spans="1:5" x14ac:dyDescent="0.2">
      <c r="A6283">
        <v>6222</v>
      </c>
      <c r="B6283" s="138">
        <f>'Acct Summary 7-8'!J83</f>
        <v>-0.63044499236820473</v>
      </c>
      <c r="D6283" s="2" t="str">
        <f t="shared" si="97"/>
        <v>Error?</v>
      </c>
      <c r="E6283" s="2" t="s">
        <v>190</v>
      </c>
    </row>
    <row r="6284" spans="1:5" x14ac:dyDescent="0.2">
      <c r="A6284">
        <v>6223</v>
      </c>
      <c r="B6284" s="138">
        <f>'Acct Summary 7-8'!K83</f>
        <v>0.16554517057029619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224683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224683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2034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2034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50000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3738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226717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5843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269673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226717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4753</v>
      </c>
      <c r="D7067" s="2" t="str">
        <f t="shared" si="109"/>
        <v>Error?</v>
      </c>
    </row>
    <row r="7068" spans="1:4" x14ac:dyDescent="0.2">
      <c r="A7068">
        <v>7007</v>
      </c>
      <c r="B7068" s="138">
        <f>'Expenditures 15-22'!K205</f>
        <v>4753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44778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44778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19990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19990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120207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120207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40554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40554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44144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44144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269673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269673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269673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269673</v>
      </c>
      <c r="D7224" s="2" t="str">
        <f t="shared" si="111"/>
        <v>Error?</v>
      </c>
    </row>
    <row r="7225" spans="1:4" x14ac:dyDescent="0.2">
      <c r="A7225">
        <v>7164</v>
      </c>
      <c r="B7225" s="138">
        <f>'Expenditures 15-22'!K343</f>
        <v>-42956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497400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3738</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13673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17411</v>
      </c>
      <c r="D7719" s="2" t="str">
        <f t="shared" si="126"/>
        <v>Error?</v>
      </c>
      <c r="E7719" s="2" t="s">
        <v>827</v>
      </c>
    </row>
    <row r="7720" spans="1:6" x14ac:dyDescent="0.2">
      <c r="A7720">
        <v>7659</v>
      </c>
      <c r="B7720" s="138">
        <f>'Rest Tax Levies-Tort Im 25'!H14</f>
        <v>30359</v>
      </c>
      <c r="D7720" s="2" t="str">
        <f t="shared" si="126"/>
        <v>Error?</v>
      </c>
      <c r="E7720" s="2" t="s">
        <v>827</v>
      </c>
    </row>
    <row r="7721" spans="1:6" x14ac:dyDescent="0.2">
      <c r="A7721">
        <v>7660</v>
      </c>
      <c r="B7721" s="138">
        <f>'Rest Tax Levies-Tort Im 25'!K14</f>
        <v>17411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900000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0</v>
      </c>
      <c r="D7797" s="2" t="str">
        <f t="shared" si="127"/>
        <v>Error?</v>
      </c>
      <c r="E7797" s="4" t="s">
        <v>1900</v>
      </c>
    </row>
    <row r="7798" spans="1:5" x14ac:dyDescent="0.2">
      <c r="A7798">
        <v>7737</v>
      </c>
      <c r="B7798" s="138">
        <f>'Contracts Paid in CY 29'!F142</f>
        <v>0</v>
      </c>
      <c r="D7798" s="2" t="str">
        <f t="shared" si="127"/>
        <v>Error?</v>
      </c>
      <c r="E7798" s="4" t="s">
        <v>1900</v>
      </c>
    </row>
    <row r="7799" spans="1:5" x14ac:dyDescent="0.2">
      <c r="A7799">
        <v>7738</v>
      </c>
      <c r="B7799" s="138">
        <f>'Contracts Paid in CY 29'!G142</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1984</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Hoopeston Area CUSD 11</v>
      </c>
      <c r="B7" s="2408"/>
      <c r="C7" s="2408"/>
      <c r="D7" s="2409"/>
      <c r="E7" s="2410">
        <f>COVER!A13</f>
        <v>54092011026</v>
      </c>
      <c r="F7" s="2411"/>
      <c r="G7" s="2417" t="str">
        <f>COVER!T23</f>
        <v>065.018319</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RUSSELL LEIGH &amp; ASSOCIATES LLC</v>
      </c>
      <c r="H9" s="2423"/>
      <c r="I9" s="2423"/>
      <c r="J9" s="2423"/>
      <c r="K9" s="2423"/>
      <c r="L9" s="2424"/>
    </row>
    <row r="10" spans="1:29" ht="13.5" customHeight="1" x14ac:dyDescent="0.2">
      <c r="A10" s="2397" t="str">
        <f>COVER!A38</f>
        <v>Robert Richardson</v>
      </c>
      <c r="B10" s="2398"/>
      <c r="C10" s="2398"/>
      <c r="D10" s="2398"/>
      <c r="E10" s="2398"/>
      <c r="F10" s="2399"/>
      <c r="G10" s="2391" t="str">
        <f>COVER!T17</f>
        <v>228 E MAIN ST</v>
      </c>
      <c r="H10" s="2392"/>
      <c r="I10" s="2392"/>
      <c r="J10" s="2392"/>
      <c r="K10" s="2392"/>
      <c r="L10" s="2393"/>
    </row>
    <row r="11" spans="1:29" ht="13.5" customHeight="1" x14ac:dyDescent="0.2">
      <c r="A11" s="1184" t="s">
        <v>1519</v>
      </c>
      <c r="B11" s="1185"/>
      <c r="C11" s="1186"/>
      <c r="D11" s="1191"/>
      <c r="E11" s="1186"/>
      <c r="F11" s="1190"/>
      <c r="G11" s="2391" t="str">
        <f>COVER!T19</f>
        <v>HOOPESTON</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admin@russleigh.com</v>
      </c>
      <c r="J13" s="2404"/>
      <c r="K13" s="2404"/>
      <c r="L13" s="2405"/>
    </row>
    <row r="14" spans="1:29" ht="13.5" customHeight="1" x14ac:dyDescent="0.2">
      <c r="A14" s="2391" t="str">
        <f>COVER!A19</f>
        <v>615 E ORANGE</v>
      </c>
      <c r="B14" s="2392"/>
      <c r="C14" s="2392"/>
      <c r="D14" s="2392"/>
      <c r="E14" s="2392"/>
      <c r="F14" s="2393"/>
      <c r="G14" s="1195" t="s">
        <v>1185</v>
      </c>
      <c r="H14" s="1193"/>
      <c r="I14" s="1193"/>
      <c r="J14" s="1193"/>
      <c r="K14" s="1193"/>
      <c r="L14" s="1194"/>
    </row>
    <row r="15" spans="1:29" ht="13.5" customHeight="1" x14ac:dyDescent="0.2">
      <c r="A15" s="2391" t="str">
        <f>COVER!A21</f>
        <v>HOOPESTON</v>
      </c>
      <c r="B15" s="2392"/>
      <c r="C15" s="2392"/>
      <c r="D15" s="2392"/>
      <c r="E15" s="2392"/>
      <c r="F15" s="2393"/>
      <c r="G15" s="2388" t="str">
        <f>COVER!T15</f>
        <v>RUSS LEIGH</v>
      </c>
      <c r="H15" s="2389"/>
      <c r="I15" s="2389"/>
      <c r="J15" s="2389"/>
      <c r="K15" s="2389"/>
      <c r="L15" s="2390"/>
    </row>
    <row r="16" spans="1:29" ht="12.2" customHeight="1" x14ac:dyDescent="0.2">
      <c r="A16" s="2413">
        <f>COVER!A25</f>
        <v>0</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217-283-9336</v>
      </c>
      <c r="H18" s="2408"/>
      <c r="I18" s="2408"/>
      <c r="J18" s="2408"/>
      <c r="K18" s="2407" t="str">
        <f>COVER!X21</f>
        <v>217-283-9736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Hoopeston Area CUSD 11</v>
      </c>
      <c r="B1" s="2406"/>
      <c r="C1" s="2406"/>
      <c r="D1" s="2406"/>
    </row>
    <row r="2" spans="1:11" s="1212" customFormat="1" ht="12.75" x14ac:dyDescent="0.2">
      <c r="A2" s="2430">
        <f>'Single Audit Cover'!E7</f>
        <v>54092011026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Hoopeston Area CUSD 11</v>
      </c>
      <c r="B1" s="2433"/>
      <c r="C1" s="2433"/>
      <c r="D1" s="2433"/>
      <c r="E1" s="2433"/>
    </row>
    <row r="2" spans="1:5" x14ac:dyDescent="0.2">
      <c r="A2" s="2434">
        <f>'Single Audit Cover'!E7</f>
        <v>54092011026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1042267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58848</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-48592</v>
      </c>
    </row>
    <row r="19" spans="1:4" ht="13.5" thickBot="1" x14ac:dyDescent="0.25">
      <c r="A19" s="1262" t="s">
        <v>1235</v>
      </c>
      <c r="D19" s="1263">
        <f>SUM(D10:D17)</f>
        <v>1052523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1052523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1052523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0D9A9-7862-4A0C-8241-413B302A00E9}">
  <dimension ref="B1:N152"/>
  <sheetViews>
    <sheetView showGridLines="0" topLeftCell="A18" zoomScale="90" zoomScaleNormal="90" workbookViewId="0">
      <selection activeCell="F22" sqref="F2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Hoopeston Area CUSD 11</v>
      </c>
      <c r="C1" s="2437"/>
      <c r="D1" s="2437"/>
      <c r="E1" s="2437"/>
      <c r="F1" s="2437"/>
      <c r="G1" s="2437"/>
      <c r="H1" s="2437"/>
      <c r="I1" s="2437"/>
      <c r="J1" s="2437"/>
      <c r="K1" s="2437"/>
      <c r="L1" s="2437"/>
      <c r="M1" s="2437"/>
    </row>
    <row r="2" spans="2:14" ht="15" x14ac:dyDescent="0.2">
      <c r="B2" s="2438">
        <f>'Single Audit Cover'!E7</f>
        <v>54092011026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2120</v>
      </c>
      <c r="C11" s="1335"/>
      <c r="D11" s="1336"/>
      <c r="E11" s="1337"/>
      <c r="F11" s="1337"/>
      <c r="G11" s="1337"/>
      <c r="H11" s="1337"/>
      <c r="I11" s="1337"/>
      <c r="J11" s="1337"/>
      <c r="K11" s="1337"/>
      <c r="L11" s="1337">
        <f>+G11+I11+K11</f>
        <v>0</v>
      </c>
      <c r="M11" s="1337"/>
    </row>
    <row r="12" spans="2:14" ht="20.100000000000001" customHeight="1" x14ac:dyDescent="0.2">
      <c r="B12" s="1334" t="s">
        <v>2121</v>
      </c>
      <c r="C12" s="1338"/>
      <c r="D12" s="1339"/>
      <c r="E12" s="1340"/>
      <c r="F12" s="1340"/>
      <c r="G12" s="1340"/>
      <c r="H12" s="1340"/>
      <c r="I12" s="1340"/>
      <c r="J12" s="1340"/>
      <c r="K12" s="1340"/>
      <c r="L12" s="1337">
        <f t="shared" ref="L12:L27" si="0">+G12+I12+K12</f>
        <v>0</v>
      </c>
      <c r="M12" s="1340"/>
    </row>
    <row r="13" spans="2:14" ht="20.100000000000001" customHeight="1" x14ac:dyDescent="0.2">
      <c r="B13" s="1334" t="s">
        <v>2122</v>
      </c>
      <c r="C13" s="1338">
        <v>10.555</v>
      </c>
      <c r="D13" s="1339">
        <v>4210</v>
      </c>
      <c r="E13" s="1340">
        <v>384105</v>
      </c>
      <c r="F13" s="1340">
        <v>78697</v>
      </c>
      <c r="G13" s="1340">
        <v>384105</v>
      </c>
      <c r="H13" s="1340"/>
      <c r="I13" s="1340">
        <v>78697</v>
      </c>
      <c r="J13" s="1340"/>
      <c r="K13" s="1340"/>
      <c r="L13" s="1337">
        <f t="shared" si="0"/>
        <v>462802</v>
      </c>
      <c r="M13" s="1340"/>
    </row>
    <row r="14" spans="2:14" ht="20.100000000000001" customHeight="1" x14ac:dyDescent="0.2">
      <c r="B14" s="1334" t="s">
        <v>2123</v>
      </c>
      <c r="C14" s="1338">
        <v>10.555</v>
      </c>
      <c r="D14" s="1339">
        <v>4210</v>
      </c>
      <c r="E14" s="1340"/>
      <c r="F14" s="1340">
        <v>335125</v>
      </c>
      <c r="G14" s="1340"/>
      <c r="H14" s="1340"/>
      <c r="I14" s="1340">
        <v>335125</v>
      </c>
      <c r="J14" s="1340"/>
      <c r="K14" s="1340"/>
      <c r="L14" s="1337">
        <f t="shared" si="0"/>
        <v>335125</v>
      </c>
      <c r="M14" s="1340"/>
    </row>
    <row r="15" spans="2:14" ht="20.100000000000001" customHeight="1" x14ac:dyDescent="0.2">
      <c r="B15" s="1334" t="s">
        <v>2124</v>
      </c>
      <c r="C15" s="1338">
        <v>10.555999999999999</v>
      </c>
      <c r="D15" s="1339">
        <v>4215</v>
      </c>
      <c r="E15" s="1340">
        <v>1263</v>
      </c>
      <c r="F15" s="1340">
        <v>225</v>
      </c>
      <c r="G15" s="1340">
        <v>1263</v>
      </c>
      <c r="H15" s="1340"/>
      <c r="I15" s="1340">
        <v>225</v>
      </c>
      <c r="J15" s="1340"/>
      <c r="K15" s="1340"/>
      <c r="L15" s="1337">
        <f t="shared" si="0"/>
        <v>1488</v>
      </c>
      <c r="M15" s="1340"/>
    </row>
    <row r="16" spans="2:14" ht="20.100000000000001" customHeight="1" x14ac:dyDescent="0.2">
      <c r="B16" s="1334" t="s">
        <v>2125</v>
      </c>
      <c r="C16" s="1338">
        <v>10.555999999999999</v>
      </c>
      <c r="D16" s="1339">
        <v>4215</v>
      </c>
      <c r="E16" s="1340"/>
      <c r="F16" s="1340">
        <v>989</v>
      </c>
      <c r="G16" s="1340"/>
      <c r="H16" s="1340"/>
      <c r="I16" s="1340">
        <v>989</v>
      </c>
      <c r="J16" s="1340"/>
      <c r="K16" s="1340"/>
      <c r="L16" s="1337">
        <f t="shared" si="0"/>
        <v>989</v>
      </c>
      <c r="M16" s="1340"/>
    </row>
    <row r="17" spans="2:14" ht="20.100000000000001" customHeight="1" x14ac:dyDescent="0.2">
      <c r="B17" s="1334" t="s">
        <v>2126</v>
      </c>
      <c r="C17" s="1338">
        <v>10.553000000000001</v>
      </c>
      <c r="D17" s="1339">
        <v>4220</v>
      </c>
      <c r="E17" s="1340">
        <v>89924</v>
      </c>
      <c r="F17" s="1340">
        <v>17236</v>
      </c>
      <c r="G17" s="1340">
        <v>89924</v>
      </c>
      <c r="H17" s="1340"/>
      <c r="I17" s="1340">
        <v>17236</v>
      </c>
      <c r="J17" s="1340"/>
      <c r="K17" s="1340"/>
      <c r="L17" s="1337">
        <f t="shared" si="0"/>
        <v>107160</v>
      </c>
      <c r="M17" s="1340"/>
    </row>
    <row r="18" spans="2:14" ht="20.100000000000001" customHeight="1" x14ac:dyDescent="0.2">
      <c r="B18" s="1334" t="s">
        <v>2127</v>
      </c>
      <c r="C18" s="1338">
        <v>10.553000000000001</v>
      </c>
      <c r="D18" s="1339">
        <v>4220</v>
      </c>
      <c r="E18" s="1340"/>
      <c r="F18" s="1340">
        <v>88096</v>
      </c>
      <c r="G18" s="1340"/>
      <c r="H18" s="1340"/>
      <c r="I18" s="1340">
        <v>88096</v>
      </c>
      <c r="J18" s="1340"/>
      <c r="K18" s="1340"/>
      <c r="L18" s="1337">
        <f t="shared" si="0"/>
        <v>88096</v>
      </c>
      <c r="M18" s="1340">
        <v>100000</v>
      </c>
    </row>
    <row r="19" spans="2:14" ht="20.100000000000001" customHeight="1" x14ac:dyDescent="0.2">
      <c r="B19" s="1334" t="s">
        <v>2128</v>
      </c>
      <c r="C19" s="1338">
        <v>10.555</v>
      </c>
      <c r="D19" s="1339">
        <v>4250</v>
      </c>
      <c r="E19" s="1340"/>
      <c r="F19" s="1340">
        <v>46900</v>
      </c>
      <c r="G19" s="1340"/>
      <c r="H19" s="1340"/>
      <c r="I19" s="1340">
        <v>46900</v>
      </c>
      <c r="J19" s="1340"/>
      <c r="K19" s="1340"/>
      <c r="L19" s="1337">
        <f t="shared" si="0"/>
        <v>46900</v>
      </c>
      <c r="M19" s="1340"/>
    </row>
    <row r="20" spans="2:14" ht="20.100000000000001" customHeight="1" x14ac:dyDescent="0.2">
      <c r="B20" s="1334" t="s">
        <v>2129</v>
      </c>
      <c r="C20" s="1338">
        <v>10.555</v>
      </c>
      <c r="D20" s="1339">
        <v>4250</v>
      </c>
      <c r="E20" s="1340"/>
      <c r="F20" s="1340">
        <v>11948</v>
      </c>
      <c r="G20" s="1340"/>
      <c r="H20" s="1340"/>
      <c r="I20" s="1340">
        <v>11948</v>
      </c>
      <c r="J20" s="1340"/>
      <c r="K20" s="1340"/>
      <c r="L20" s="1337">
        <f t="shared" si="0"/>
        <v>11948</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2130</v>
      </c>
      <c r="C22" s="1338"/>
      <c r="D22" s="1339"/>
      <c r="E22" s="1340">
        <v>475292</v>
      </c>
      <c r="F22" s="1340">
        <v>579216</v>
      </c>
      <c r="G22" s="1340">
        <v>475292</v>
      </c>
      <c r="H22" s="1340"/>
      <c r="I22" s="1340">
        <v>579211</v>
      </c>
      <c r="J22" s="1340"/>
      <c r="K22" s="1340"/>
      <c r="L22" s="1337">
        <f t="shared" si="0"/>
        <v>1054503</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2131</v>
      </c>
      <c r="C24" s="1338"/>
      <c r="D24" s="1339"/>
      <c r="E24" s="1340"/>
      <c r="F24" s="1340"/>
      <c r="G24" s="1340"/>
      <c r="H24" s="1340"/>
      <c r="I24" s="1340"/>
      <c r="J24" s="1340"/>
      <c r="K24" s="1340"/>
      <c r="L24" s="1337">
        <f t="shared" si="0"/>
        <v>0</v>
      </c>
      <c r="M24" s="1340"/>
    </row>
    <row r="25" spans="2:14" ht="20.100000000000001" customHeight="1" x14ac:dyDescent="0.2">
      <c r="B25" s="1334" t="s">
        <v>2121</v>
      </c>
      <c r="C25" s="1338"/>
      <c r="D25" s="1339"/>
      <c r="E25" s="1340"/>
      <c r="F25" s="1340"/>
      <c r="G25" s="1340"/>
      <c r="H25" s="1340"/>
      <c r="I25" s="1340"/>
      <c r="J25" s="1340"/>
      <c r="K25" s="1340"/>
      <c r="L25" s="1337">
        <f t="shared" si="0"/>
        <v>0</v>
      </c>
      <c r="M25" s="1340"/>
    </row>
    <row r="26" spans="2:14" ht="20.100000000000001" customHeight="1" x14ac:dyDescent="0.2">
      <c r="B26" s="1334" t="s">
        <v>2132</v>
      </c>
      <c r="C26" s="1338">
        <v>84.01</v>
      </c>
      <c r="D26" s="1339">
        <v>4300</v>
      </c>
      <c r="E26" s="1340">
        <v>413193</v>
      </c>
      <c r="F26" s="1340">
        <v>51831</v>
      </c>
      <c r="G26" s="1340">
        <v>465024</v>
      </c>
      <c r="H26" s="1340"/>
      <c r="I26" s="1340"/>
      <c r="J26" s="1340"/>
      <c r="K26" s="1340"/>
      <c r="L26" s="1337">
        <f t="shared" si="0"/>
        <v>465024</v>
      </c>
      <c r="M26" s="1340">
        <v>466540</v>
      </c>
    </row>
    <row r="27" spans="2:14" ht="20.100000000000001" customHeight="1" x14ac:dyDescent="0.2">
      <c r="B27" s="1334" t="s">
        <v>2132</v>
      </c>
      <c r="C27" s="1338">
        <v>84.01</v>
      </c>
      <c r="D27" s="1339">
        <v>4300</v>
      </c>
      <c r="E27" s="1340"/>
      <c r="F27" s="1340">
        <v>325669</v>
      </c>
      <c r="G27" s="1340"/>
      <c r="H27" s="1340"/>
      <c r="I27" s="1340">
        <v>356756</v>
      </c>
      <c r="J27" s="1340"/>
      <c r="K27" s="1340"/>
      <c r="L27" s="1337">
        <f t="shared" si="0"/>
        <v>356756</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6FBB-38C4-4BCF-8850-0B52B76F840E}">
  <dimension ref="B1:N152"/>
  <sheetViews>
    <sheetView showGridLines="0" topLeftCell="A15" zoomScaleNormal="100" workbookViewId="0">
      <selection activeCell="I28" sqref="I2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Hoopeston Area CUSD 11</v>
      </c>
      <c r="C1" s="2437"/>
      <c r="D1" s="2437"/>
      <c r="E1" s="2437"/>
      <c r="F1" s="2437"/>
      <c r="G1" s="2437"/>
      <c r="H1" s="2437"/>
      <c r="I1" s="2437"/>
      <c r="J1" s="2437"/>
      <c r="K1" s="2437"/>
      <c r="L1" s="2437"/>
      <c r="M1" s="2437"/>
    </row>
    <row r="2" spans="2:14" ht="15" x14ac:dyDescent="0.2">
      <c r="B2" s="2438">
        <f>'Single Audit Cover'!E7</f>
        <v>54092011026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2133</v>
      </c>
      <c r="C11" s="1335" t="s">
        <v>2134</v>
      </c>
      <c r="D11" s="1336">
        <v>4932</v>
      </c>
      <c r="E11" s="1337">
        <v>15234</v>
      </c>
      <c r="F11" s="1337">
        <v>10377</v>
      </c>
      <c r="G11" s="1337">
        <v>25611</v>
      </c>
      <c r="H11" s="1337"/>
      <c r="I11" s="1337"/>
      <c r="J11" s="1337"/>
      <c r="K11" s="1337"/>
      <c r="L11" s="1337">
        <f>+G11+I11+K11</f>
        <v>25611</v>
      </c>
      <c r="M11" s="1337"/>
    </row>
    <row r="12" spans="2:14" ht="20.100000000000001" customHeight="1" x14ac:dyDescent="0.2">
      <c r="B12" s="1334" t="s">
        <v>2133</v>
      </c>
      <c r="C12" s="1338" t="s">
        <v>2134</v>
      </c>
      <c r="D12" s="1339">
        <v>4932</v>
      </c>
      <c r="E12" s="1340"/>
      <c r="F12" s="1340">
        <v>14800</v>
      </c>
      <c r="G12" s="1340"/>
      <c r="H12" s="1340"/>
      <c r="I12" s="1340">
        <v>51045</v>
      </c>
      <c r="J12" s="1340"/>
      <c r="K12" s="1340"/>
      <c r="L12" s="1337">
        <f t="shared" ref="L12:L27" si="0">+G12+I12+K12</f>
        <v>51045</v>
      </c>
      <c r="M12" s="1340">
        <v>55000</v>
      </c>
    </row>
    <row r="13" spans="2:14" ht="20.100000000000001" customHeight="1" x14ac:dyDescent="0.2">
      <c r="B13" s="1334" t="s">
        <v>2135</v>
      </c>
      <c r="C13" s="1338" t="s">
        <v>2136</v>
      </c>
      <c r="D13" s="1339">
        <v>4625</v>
      </c>
      <c r="E13" s="1340"/>
      <c r="F13" s="1340">
        <v>18443</v>
      </c>
      <c r="G13" s="1340"/>
      <c r="H13" s="1340"/>
      <c r="I13" s="1340">
        <v>18443</v>
      </c>
      <c r="J13" s="1340"/>
      <c r="K13" s="1340"/>
      <c r="L13" s="1337">
        <f t="shared" si="0"/>
        <v>18443</v>
      </c>
      <c r="M13" s="1340">
        <v>22000</v>
      </c>
    </row>
    <row r="14" spans="2:14" ht="20.100000000000001" customHeight="1" x14ac:dyDescent="0.2">
      <c r="B14" s="1334" t="s">
        <v>2138</v>
      </c>
      <c r="C14" s="1338" t="s">
        <v>2137</v>
      </c>
      <c r="D14" s="1339">
        <v>4107</v>
      </c>
      <c r="E14" s="1340"/>
      <c r="F14" s="1340">
        <v>20906</v>
      </c>
      <c r="G14" s="1340"/>
      <c r="H14" s="1340"/>
      <c r="I14" s="1340">
        <v>20906</v>
      </c>
      <c r="J14" s="1340"/>
      <c r="K14" s="1340"/>
      <c r="L14" s="1337">
        <f t="shared" si="0"/>
        <v>20906</v>
      </c>
      <c r="M14" s="1340">
        <v>20900</v>
      </c>
    </row>
    <row r="15" spans="2:14" ht="20.100000000000001" customHeight="1" x14ac:dyDescent="0.2">
      <c r="B15" s="1334" t="s">
        <v>2138</v>
      </c>
      <c r="C15" s="1338" t="s">
        <v>2137</v>
      </c>
      <c r="D15" s="1339">
        <v>4107</v>
      </c>
      <c r="E15" s="1340"/>
      <c r="F15" s="1340">
        <v>23073</v>
      </c>
      <c r="G15" s="1340"/>
      <c r="H15" s="1340"/>
      <c r="I15" s="1340">
        <v>23073</v>
      </c>
      <c r="J15" s="1340"/>
      <c r="K15" s="1340"/>
      <c r="L15" s="1337">
        <f t="shared" si="0"/>
        <v>23073</v>
      </c>
      <c r="M15" s="1340">
        <v>23703</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2139</v>
      </c>
      <c r="C17" s="1338"/>
      <c r="D17" s="1339"/>
      <c r="E17" s="1340">
        <v>428427</v>
      </c>
      <c r="F17" s="1340">
        <v>465099</v>
      </c>
      <c r="G17" s="1340">
        <v>490635</v>
      </c>
      <c r="H17" s="1340"/>
      <c r="I17" s="1340">
        <v>470223</v>
      </c>
      <c r="J17" s="1340"/>
      <c r="K17" s="1340"/>
      <c r="L17" s="1337">
        <f t="shared" si="0"/>
        <v>960858</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2140</v>
      </c>
      <c r="C20" s="1338"/>
      <c r="D20" s="1339"/>
      <c r="E20" s="1340"/>
      <c r="F20" s="1340"/>
      <c r="G20" s="1340"/>
      <c r="H20" s="1340"/>
      <c r="I20" s="1340"/>
      <c r="J20" s="1340"/>
      <c r="K20" s="1340"/>
      <c r="L20" s="1337">
        <f t="shared" si="0"/>
        <v>0</v>
      </c>
      <c r="M20" s="1340"/>
    </row>
    <row r="21" spans="2:14" ht="20.100000000000001" customHeight="1" x14ac:dyDescent="0.2">
      <c r="B21" s="1334" t="s">
        <v>2141</v>
      </c>
      <c r="C21" s="1338"/>
      <c r="D21" s="1339"/>
      <c r="E21" s="1340"/>
      <c r="F21" s="1340"/>
      <c r="G21" s="1340"/>
      <c r="H21" s="1340"/>
      <c r="I21" s="1340"/>
      <c r="J21" s="1340"/>
      <c r="K21" s="1340"/>
      <c r="L21" s="1337">
        <f t="shared" si="0"/>
        <v>0</v>
      </c>
      <c r="M21" s="1340"/>
    </row>
    <row r="22" spans="2:14" ht="20.100000000000001" customHeight="1" x14ac:dyDescent="0.2">
      <c r="B22" s="1334" t="s">
        <v>2142</v>
      </c>
      <c r="C22" s="1338">
        <v>93.778000000000006</v>
      </c>
      <c r="D22" s="1339">
        <v>4900</v>
      </c>
      <c r="E22" s="1340"/>
      <c r="F22" s="1340">
        <v>8208</v>
      </c>
      <c r="G22" s="1340"/>
      <c r="H22" s="1340"/>
      <c r="I22" s="1340">
        <v>8208</v>
      </c>
      <c r="J22" s="1340"/>
      <c r="K22" s="1340"/>
      <c r="L22" s="1337">
        <f t="shared" si="0"/>
        <v>8208</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2143</v>
      </c>
      <c r="C24" s="1338"/>
      <c r="D24" s="1339"/>
      <c r="E24" s="1340"/>
      <c r="F24" s="1340">
        <v>8208</v>
      </c>
      <c r="G24" s="1340"/>
      <c r="H24" s="1340"/>
      <c r="I24" s="1340">
        <v>8208</v>
      </c>
      <c r="J24" s="1340"/>
      <c r="K24" s="1340"/>
      <c r="L24" s="1337">
        <f t="shared" si="0"/>
        <v>8208</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2144</v>
      </c>
      <c r="C27" s="1338"/>
      <c r="D27" s="1339"/>
      <c r="E27" s="1340">
        <v>903719</v>
      </c>
      <c r="F27" s="1340">
        <v>1052523</v>
      </c>
      <c r="G27" s="1340">
        <v>965927</v>
      </c>
      <c r="H27" s="1340"/>
      <c r="I27" s="1340">
        <v>1057642</v>
      </c>
      <c r="J27" s="1340"/>
      <c r="K27" s="1340"/>
      <c r="L27" s="1337">
        <f t="shared" si="0"/>
        <v>2023569</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M34" sqref="M3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Hoopeston Area CUSD 11</v>
      </c>
      <c r="C1" s="2437"/>
      <c r="D1" s="2437"/>
      <c r="E1" s="2437"/>
      <c r="F1" s="2437"/>
      <c r="G1" s="2437"/>
      <c r="H1" s="2437"/>
      <c r="I1" s="2437"/>
      <c r="J1" s="2437"/>
      <c r="K1" s="2437"/>
      <c r="L1" s="2437"/>
      <c r="M1" s="2437"/>
    </row>
    <row r="2" spans="2:14" ht="15" x14ac:dyDescent="0.2">
      <c r="B2" s="2438">
        <f>'Single Audit Cover'!E7</f>
        <v>54092011026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Hoopeston Area CUSD 11</v>
      </c>
      <c r="B1" s="2450"/>
      <c r="C1" s="2450"/>
      <c r="D1" s="2450"/>
      <c r="E1" s="2450"/>
      <c r="F1" s="2450"/>
    </row>
    <row r="2" spans="1:7" ht="13.5" customHeight="1" x14ac:dyDescent="0.2">
      <c r="A2" s="2438">
        <f>'Single Audit Cover'!E7</f>
        <v>54092011026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2145</v>
      </c>
      <c r="B7" s="2449"/>
      <c r="C7" s="2449"/>
      <c r="D7" s="2449"/>
      <c r="E7" s="2449"/>
      <c r="F7" s="244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2146</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2147</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t="s">
        <v>2148</v>
      </c>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2149</v>
      </c>
      <c r="B32" s="2443"/>
      <c r="C32" s="2443"/>
      <c r="D32" s="2443"/>
      <c r="E32" s="2443"/>
      <c r="F32" s="2443"/>
    </row>
    <row r="33" spans="1:6" ht="13.5" customHeight="1" x14ac:dyDescent="0.2">
      <c r="A33" s="328" t="s">
        <v>1434</v>
      </c>
      <c r="B33" s="328"/>
      <c r="C33" s="1285">
        <v>58848</v>
      </c>
      <c r="D33" s="1903"/>
      <c r="E33" s="1283"/>
    </row>
    <row r="34" spans="1:6" ht="13.5" customHeight="1" x14ac:dyDescent="0.2">
      <c r="A34" s="328" t="s">
        <v>1835</v>
      </c>
      <c r="B34" s="328"/>
      <c r="C34" s="1286">
        <v>0</v>
      </c>
      <c r="D34" s="1903" t="s">
        <v>1589</v>
      </c>
      <c r="E34" s="2444">
        <f>+C33+C34</f>
        <v>58848</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2150</v>
      </c>
      <c r="D38" s="1903"/>
      <c r="E38" s="1283"/>
    </row>
    <row r="39" spans="1:6" ht="14.25" customHeight="1" x14ac:dyDescent="0.2">
      <c r="A39" s="328"/>
      <c r="B39" s="328" t="s">
        <v>1436</v>
      </c>
      <c r="C39" s="1289" t="s">
        <v>2150</v>
      </c>
      <c r="D39" s="1903"/>
      <c r="E39" s="1283"/>
    </row>
    <row r="40" spans="1:6" ht="14.25" customHeight="1" x14ac:dyDescent="0.2">
      <c r="A40" s="328"/>
      <c r="B40" s="328" t="s">
        <v>1437</v>
      </c>
      <c r="C40" s="1289" t="s">
        <v>2150</v>
      </c>
      <c r="D40" s="1903"/>
      <c r="E40" s="1283"/>
    </row>
    <row r="41" spans="1:6" ht="14.25" customHeight="1" x14ac:dyDescent="0.2">
      <c r="A41" s="328"/>
      <c r="B41" s="328" t="s">
        <v>1438</v>
      </c>
      <c r="C41" s="1289" t="s">
        <v>2150</v>
      </c>
      <c r="D41" s="1903"/>
      <c r="E41" s="1283"/>
    </row>
    <row r="42" spans="1:6" ht="14.25" customHeight="1" x14ac:dyDescent="0.2">
      <c r="A42" s="328" t="s">
        <v>1439</v>
      </c>
      <c r="B42" s="328"/>
      <c r="C42" s="1901" t="s">
        <v>2150</v>
      </c>
      <c r="D42" s="1903"/>
      <c r="E42" s="1283"/>
    </row>
    <row r="43" spans="1:6" ht="14.25" customHeight="1" x14ac:dyDescent="0.2">
      <c r="A43" s="328" t="s">
        <v>1440</v>
      </c>
      <c r="B43" s="328"/>
      <c r="C43" s="1290" t="s">
        <v>2150</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7" zoomScale="110" zoomScaleNormal="110" workbookViewId="0">
      <selection activeCell="G51" sqref="G5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Hoopeston Area CUSD 11</v>
      </c>
      <c r="C1" s="2465"/>
      <c r="D1" s="2465"/>
      <c r="E1" s="2465"/>
      <c r="F1" s="2465"/>
      <c r="G1" s="2465"/>
      <c r="H1" s="2465"/>
      <c r="I1" s="2465"/>
      <c r="J1" s="1406"/>
    </row>
    <row r="2" spans="2:10" s="317" customFormat="1" ht="12.75" customHeight="1" x14ac:dyDescent="0.2">
      <c r="B2" s="2466">
        <f>'Single Audit Cover'!E7</f>
        <v>54092011026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t="s">
        <v>2151</v>
      </c>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2146</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2146</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2146</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2146</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2146</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t="s">
        <v>2152</v>
      </c>
      <c r="E29" s="2471"/>
      <c r="F29" s="2471"/>
      <c r="G29" s="2471"/>
      <c r="H29" s="2471"/>
      <c r="I29" s="2471"/>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2146</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2" t="s">
        <v>1748</v>
      </c>
      <c r="D37" s="2473"/>
      <c r="E37" s="2473"/>
      <c r="F37" s="2474"/>
      <c r="G37" s="2472" t="s">
        <v>1592</v>
      </c>
      <c r="H37" s="2473"/>
      <c r="I37" s="2474"/>
    </row>
    <row r="38" spans="2:9" ht="16.5" customHeight="1" x14ac:dyDescent="0.2">
      <c r="B38" s="1428">
        <v>10.555</v>
      </c>
      <c r="C38" s="2460" t="s">
        <v>2153</v>
      </c>
      <c r="D38" s="2461"/>
      <c r="E38" s="2461"/>
      <c r="F38" s="2462"/>
      <c r="G38" s="2475">
        <v>413822</v>
      </c>
      <c r="H38" s="2476"/>
      <c r="I38" s="2477"/>
    </row>
    <row r="39" spans="2:9" ht="16.5" customHeight="1" x14ac:dyDescent="0.2">
      <c r="B39" s="1428">
        <v>84.01</v>
      </c>
      <c r="C39" s="2460" t="s">
        <v>2154</v>
      </c>
      <c r="D39" s="2461"/>
      <c r="E39" s="2461"/>
      <c r="F39" s="2462"/>
      <c r="G39" s="2463">
        <v>356756</v>
      </c>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770578</v>
      </c>
      <c r="H43" s="2456"/>
      <c r="I43" s="2456"/>
    </row>
    <row r="44" spans="2:9" ht="12.75" customHeight="1" x14ac:dyDescent="0.2"/>
    <row r="45" spans="2:9" ht="12.75" customHeight="1" x14ac:dyDescent="0.2">
      <c r="B45" s="1419" t="s">
        <v>2059</v>
      </c>
      <c r="D45" s="2457">
        <v>1057642</v>
      </c>
      <c r="E45" s="2458"/>
    </row>
    <row r="46" spans="2:9" ht="5.25" customHeight="1" x14ac:dyDescent="0.2">
      <c r="B46" s="1429"/>
      <c r="D46" s="1430"/>
      <c r="E46" s="1431"/>
    </row>
    <row r="47" spans="2:9" ht="12.75" customHeight="1" x14ac:dyDescent="0.2">
      <c r="B47" s="1297" t="s">
        <v>1594</v>
      </c>
      <c r="C47" s="1297"/>
      <c r="D47" s="1432">
        <f>+G43/D45</f>
        <v>0.72858112669504427</v>
      </c>
      <c r="E47" s="1433"/>
      <c r="F47" s="1434"/>
      <c r="I47" s="1435"/>
    </row>
    <row r="48" spans="2:9" ht="9.9499999999999993" customHeight="1" x14ac:dyDescent="0.2"/>
    <row r="49" spans="1:9" x14ac:dyDescent="0.2">
      <c r="B49" s="1365" t="s">
        <v>1273</v>
      </c>
      <c r="C49" s="1279"/>
      <c r="D49" s="1279"/>
      <c r="E49" s="2459">
        <v>75000</v>
      </c>
      <c r="F49" s="2459"/>
      <c r="G49" s="2459"/>
      <c r="H49" s="322"/>
    </row>
    <row r="51" spans="1:9" ht="13.5" customHeight="1" x14ac:dyDescent="0.2">
      <c r="B51" s="1365" t="s">
        <v>1272</v>
      </c>
      <c r="C51" s="1279"/>
      <c r="E51" s="1422"/>
      <c r="F51" s="1297" t="s">
        <v>885</v>
      </c>
      <c r="G51" s="1422" t="s">
        <v>2146</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Hoopeston Area CUSD 11</v>
      </c>
      <c r="C1" s="2464"/>
      <c r="D1" s="2464"/>
      <c r="E1" s="2464"/>
      <c r="F1" s="2464"/>
      <c r="G1" s="2464"/>
      <c r="H1" s="2464"/>
      <c r="I1" s="2464"/>
      <c r="J1" s="2464"/>
      <c r="K1" s="2464"/>
      <c r="L1" s="1371"/>
      <c r="M1" s="1371"/>
    </row>
    <row r="2" spans="1:13" ht="12" customHeight="1" x14ac:dyDescent="0.2">
      <c r="B2" s="2466">
        <f>'Single Audit Cover'!E7</f>
        <v>54092011026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3" t="s">
        <v>2148</v>
      </c>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2" zoomScale="110" zoomScaleNormal="110" workbookViewId="0">
      <selection activeCell="T39" sqref="T3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Hoopeston Area CUSD 11</v>
      </c>
      <c r="C1" s="2487"/>
      <c r="D1" s="2487"/>
      <c r="E1" s="2487"/>
      <c r="F1" s="2487"/>
      <c r="G1" s="2487"/>
      <c r="H1" s="2487"/>
      <c r="I1" s="2487"/>
      <c r="J1" s="2487"/>
      <c r="K1" s="2487"/>
      <c r="L1" s="1449"/>
    </row>
    <row r="2" spans="1:12" ht="12.75" customHeight="1" x14ac:dyDescent="0.2">
      <c r="B2" s="2488">
        <f>'Single Audit Cover'!E7</f>
        <v>54092011026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t="s">
        <v>2148</v>
      </c>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Hoopeston Area CUSD 11</v>
      </c>
      <c r="C1" s="2464"/>
      <c r="D1" s="2464"/>
      <c r="E1" s="1469"/>
    </row>
    <row r="2" spans="2:5" s="1279" customFormat="1" ht="12.75" customHeight="1" x14ac:dyDescent="0.2">
      <c r="B2" s="2466">
        <f>'Single Audit Cover'!E7</f>
        <v>54092011026</v>
      </c>
      <c r="C2" s="2466"/>
      <c r="D2" s="2466"/>
      <c r="E2" s="1470"/>
    </row>
    <row r="3" spans="2:5" ht="12.75" customHeight="1" x14ac:dyDescent="0.2">
      <c r="B3" s="2480" t="s">
        <v>1763</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2148</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purl.org/dc/elements/1.1/"/>
    <ds:schemaRef ds:uri="6ce3111e-7420-4802-b50a-75d4e9a0b980"/>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4d435f69-8686-490b-bd6d-b153bf22ab50"/>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Sheet1</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 (3)</vt:lpstr>
      <vt:lpstr> SEFA</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2019-11-06T17:53:32Z</cp:lastPrinted>
  <dcterms:created xsi:type="dcterms:W3CDTF">2003-10-29T19:06:34Z</dcterms:created>
  <dcterms:modified xsi:type="dcterms:W3CDTF">2019-12-19T17:55:47Z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