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4F284A7-F807-4CC6-ACE9-1BEC530852AB}" xr6:coauthVersionLast="36" xr6:coauthVersionMax="36" xr10:uidLastSave="{00000000-0000-0000-0000-000000000000}"/>
  <bookViews>
    <workbookView xWindow="-15" yWindow="13650" windowWidth="2532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2" i="29" l="1"/>
  <c r="F124" i="29"/>
  <c r="H30"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F36" i="34" l="1"/>
  <c r="J352" i="29"/>
  <c r="J367" i="29" s="1"/>
  <c r="B7245" i="106" s="1"/>
  <c r="D7245" i="106" s="1"/>
  <c r="B3647" i="106"/>
  <c r="D3647" i="106" s="1"/>
  <c r="K76" i="4"/>
  <c r="B3586" i="106" s="1"/>
  <c r="D3586" i="106" s="1"/>
  <c r="G210" i="29"/>
  <c r="L13" i="11"/>
  <c r="B2060" i="106" s="1"/>
  <c r="D2060" i="106" s="1"/>
  <c r="L5" i="1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B5778" i="106" l="1"/>
  <c r="D5778" i="106" s="1"/>
  <c r="G6" i="4"/>
  <c r="B2604" i="106" s="1"/>
  <c r="D2604" i="106" s="1"/>
  <c r="D7256" i="106"/>
  <c r="D7251" i="106"/>
  <c r="B7623" i="106"/>
  <c r="M19" i="3"/>
  <c r="B276" i="106" s="1"/>
  <c r="D276" i="106" s="1"/>
  <c r="B2056" i="106"/>
  <c r="D2056" i="106" s="1"/>
  <c r="M16" i="3"/>
  <c r="B1365" i="106"/>
  <c r="D1365" i="106" s="1"/>
  <c r="F65" i="34"/>
  <c r="B2058" i="106"/>
  <c r="D2058" i="106" s="1"/>
  <c r="M17" i="3"/>
  <c r="B274" i="106" s="1"/>
  <c r="D274" i="106" s="1"/>
  <c r="L114" i="29"/>
  <c r="L16" i="11"/>
  <c r="B2061" i="106" s="1"/>
  <c r="D2061" i="106" s="1"/>
  <c r="C114" i="29"/>
  <c r="B757" i="106" s="1"/>
  <c r="D757" i="106" s="1"/>
  <c r="B5527" i="106"/>
  <c r="D552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279" i="106" l="1"/>
  <c r="D279" i="106" s="1"/>
  <c r="D54" i="3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6214" i="106" l="1"/>
  <c r="D6214" i="106" s="1"/>
  <c r="J41" i="3"/>
  <c r="F175" i="34"/>
  <c r="F79" i="34"/>
  <c r="B3588" i="106"/>
  <c r="D3588" i="106" s="1"/>
  <c r="K81" i="4"/>
  <c r="K38" i="3" s="1"/>
  <c r="F78" i="4"/>
  <c r="B2601" i="106"/>
  <c r="D2601" i="106" s="1"/>
  <c r="B3320" i="106"/>
  <c r="D3320" i="106" s="1"/>
  <c r="I81" i="4"/>
  <c r="I39" i="3" s="1"/>
  <c r="K17" i="118"/>
  <c r="B3300" i="106"/>
  <c r="D3300" i="106" s="1"/>
  <c r="H81" i="4"/>
  <c r="H38"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535" i="106" l="1"/>
  <c r="D2535" i="106" s="1"/>
  <c r="H41" i="3"/>
  <c r="B2912" i="106"/>
  <c r="D2912" i="106" s="1"/>
  <c r="I41" i="3"/>
  <c r="B3566" i="106"/>
  <c r="D3566" i="106" s="1"/>
  <c r="K41" i="3"/>
  <c r="B6216" i="106"/>
  <c r="D6216" i="106" s="1"/>
  <c r="D51" i="36"/>
  <c r="B123" i="106"/>
  <c r="D123" i="106" s="1"/>
  <c r="D41" i="3"/>
  <c r="B3278" i="106"/>
  <c r="D3278" i="106" s="1"/>
  <c r="E81" i="4"/>
  <c r="E38"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G41" i="3"/>
  <c r="B170" i="106"/>
  <c r="D170" i="106" s="1"/>
  <c r="F41" i="3"/>
  <c r="D75" i="36"/>
  <c r="B2504" i="106"/>
  <c r="D2504" i="106" s="1"/>
  <c r="E41" i="3"/>
  <c r="D52" i="36"/>
  <c r="B3568" i="106"/>
  <c r="D3568" i="106" s="1"/>
  <c r="D50" i="36"/>
  <c r="B2913" i="106"/>
  <c r="D2913" i="106" s="1"/>
  <c r="D49" i="36"/>
  <c r="B213" i="106"/>
  <c r="D213" i="106" s="1"/>
  <c r="B124" i="106"/>
  <c r="D124" i="106" s="1"/>
  <c r="D45" i="36"/>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B190" i="106"/>
  <c r="D190" i="106" s="1"/>
  <c r="D48" i="36"/>
  <c r="D46" i="36"/>
  <c r="B141" i="106"/>
  <c r="D141" i="106" s="1"/>
  <c r="O11" i="118"/>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<sst xmlns="http://schemas.openxmlformats.org/spreadsheetml/2006/main" count="5063" uniqueCount="2091">
  <si>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</si>
  <si>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</si>
  <si>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</si>
  <si>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</si>
  <si>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</si>
  <si>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</si>
  <si>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</si>
  <si>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</si>
  <si>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</si>
  <si>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</si>
  <si>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</si>
  <si>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</si>
  <si>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</si>
  <si>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</si>
  <si>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</si>
  <si>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</si>
  <si>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</si>
  <si>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</si>
  <si>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</si>
  <si>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</si>
  <si>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</si>
  <si>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</si>
  <si>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</si>
  <si>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</si>
  <si>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</si>
  <si>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</si>
  <si>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</si>
  <si>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</si>
  <si>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</si>
  <si>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</si>
  <si>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</si>
  <si>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</si>
  <si>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</si>
  <si>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</si>
  <si>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</si>
  <si>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</si>
  <si>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</si>
  <si>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</si>
  <si>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</si>
  <si>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</si>
  <si>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</si>
  <si>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</si>
  <si>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</si>
  <si>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</si>
  <si>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</si>
  <si>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</si>
  <si>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</si>
  <si>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</si>
  <si>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</si>
  <si>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</si>
  <si>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</si>
  <si>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</si>
  <si>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</si>
  <si>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</si>
  <si>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</si>
  <si>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</si>
  <si>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</si>
  <si>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</si>
  <si>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</si>
  <si>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</si>
  <si>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</si>
  <si>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</si>
  <si>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</si>
  <si>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</si>
  <si>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</si>
  <si>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</si>
  <si>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</si>
  <si>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</si>
  <si>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</si>
  <si>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</si>
  <si>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</si>
  <si>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</si>
  <si>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</si>
  <si>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</si>
  <si>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</si>
  <si>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</si>
  <si>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</si>
  <si>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</si>
  <si>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</si>
  <si>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</si>
  <si>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</si>
  <si>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</si>
  <si>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</si>
  <si>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</si>
  <si>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</si>
  <si>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</si>
  <si>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</si>
  <si>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</si>
  <si>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</si>
  <si>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</si>
  <si>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</si>
  <si>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</si>
  <si>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</si>
  <si>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</si>
  <si>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</si>
  <si>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</si>
  <si>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</si>
  <si>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</si>
  <si>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</si>
  <si>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</si>
  <si>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</si>
  <si>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</si>
  <si>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</si>
  <si>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</si>
  <si>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</si>
  <si>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</si>
  <si>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</si>
  <si>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</si>
  <si>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</si>
  <si>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</si>
  <si>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</si>
  <si>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</si>
  <si>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</si>
  <si>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</si>
  <si>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</si>
  <si>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</si>
  <si>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</si>
  <si>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</si>
  <si>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</si>
  <si>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</si>
  <si>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</si>
  <si>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</si>
  <si>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</si>
  <si>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</si>
  <si>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</si>
  <si>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</si>
  <si>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</si>
  <si>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</si>
  <si>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</si>
  <si>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</si>
  <si>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</si>
  <si>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</si>
  <si>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</si>
  <si>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</si>
  <si>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</si>
  <si>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</si>
  <si>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</si>
  <si>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</si>
  <si>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</si>
  <si>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</si>
  <si>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</si>
  <si>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</si>
  <si>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</si>
  <si>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</si>
  <si>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</si>
  <si>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</si>
  <si>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</si>
  <si>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</si>
  <si>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</si>
  <si>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</si>
  <si>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</si>
  <si>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</si>
  <si>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</si>
  <si>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</si>
  <si>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</si>
  <si>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</si>
  <si>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</si>
  <si>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</si>
  <si>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</si>
  <si>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</si>
  <si>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</si>
  <si>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</si>
  <si>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</si>
  <si>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</si>
  <si>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</si>
  <si>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</si>
  <si>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</si>
  <si>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</si>
  <si>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</si>
  <si>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</si>
  <si>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</si>
  <si>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</si>
  <si>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</si>
  <si>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</si>
  <si>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</si>
  <si>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</si>
  <si>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</si>
  <si>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</si>
  <si>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</si>
  <si>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</si>
  <si>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</si>
  <si>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</si>
  <si>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</si>
  <si>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</si>
  <si>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</si>
  <si>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</si>
  <si>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</si>
  <si>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</si>
  <si>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</si>
  <si>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</si>
  <si>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</si>
  <si>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</si>
  <si>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</si>
  <si>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</si>
  <si>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</si>
  <si>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</si>
  <si>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</si>
  <si>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</si>
  <si>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</si>
  <si>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</si>
  <si>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</si>
  <si>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</si>
  <si>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</si>
  <si>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</si>
  <si>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</si>
  <si>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</si>
  <si>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</si>
  <si>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</si>
  <si>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</si>
  <si>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</si>
  <si>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</si>
  <si>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</si>
  <si>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</si>
  <si>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</si>
  <si>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</si>
  <si>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</si>
  <si>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</si>
  <si>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</si>
  <si>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</si>
  <si>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</si>
  <si>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</si>
  <si>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</si>
  <si>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</si>
  <si>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</si>
  <si>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</si>
  <si>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</si>
  <si>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</si>
  <si>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</si>
  <si>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</si>
  <si>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</si>
  <si>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</si>
  <si>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</si>
  <si>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</si>
  <si>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</si>
  <si>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</si>
  <si>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</si>
  <si>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</si>
  <si>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</si>
  <si>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</si>
  <si>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</si>
  <si>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</si>
  <si>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</si>
  <si>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</si>
  <si>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</si>
  <si>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</si>
  <si>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</si>
  <si>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</si>
  <si>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</si>
  <si>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</si>
  <si>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</si>
  <si>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</si>
  <si>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</si>
  <si>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</si>
  <si>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</si>
  <si>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</si>
  <si>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</si>
  <si>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</si>
  <si>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</si>
  <si>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</si>
  <si>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</si>
  <si>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</si>
  <si>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</si>
  <si>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</si>
  <si>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</si>
  <si>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</si>
  <si>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</si>
  <si>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</si>
  <si>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</si>
  <si>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</si>
  <si>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</si>
  <si>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</si>
  <si>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</si>
  <si>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</si>
  <si>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</si>
  <si>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</si>
  <si>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</si>
  <si>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</si>
  <si>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</si>
  <si>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</si>
  <si>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</si>
  <si>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</si>
  <si>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</si>
  <si>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</si>
  <si>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</si>
  <si>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</si>
  <si>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</si>
  <si>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</si>
  <si>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</si>
  <si>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</si>
  <si>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</si>
  <si>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</si>
  <si>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</si>
  <si>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</si>
  <si>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</si>
  <si>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</si>
  <si>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</si>
  <si>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</si>
  <si>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</si>
  <si>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</si>
  <si>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</si>
  <si>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</si>
  <si>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</si>
  <si>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</si>
  <si>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</si>
  <si>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</si>
  <si>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</si>
  <si>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</si>
  <si>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</si>
  <si>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</si>
  <si>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</si>
  <si>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</si>
  <si>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</si>
  <si>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</si>
  <si>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</si>
  <si>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</si>
  <si>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</si>
  <si>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</si>
  <si>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</si>
  <si>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</si>
  <si>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</si>
  <si>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</si>
  <si>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</si>
  <si>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</si>
  <si>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</si>
  <si>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</si>
  <si>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</si>
  <si>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</si>
  <si>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</si>
  <si>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</si>
  <si>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</si>
  <si>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</si>
  <si>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</si>
  <si>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</si>
  <si>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</si>
  <si>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</si>
  <si>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</si>
  <si>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</si>
  <si>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</si>
  <si>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</si>
  <si>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</si>
  <si>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</si>
  <si>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</si>
  <si>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</si>
  <si>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</si>
  <si>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</si>
  <si>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</si>
  <si>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</si>
  <si>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</si>
  <si>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</si>
  <si>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</si>
  <si>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</si>
  <si>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</si>
  <si>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</si>
  <si>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</si>
  <si>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</si>
  <si>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</si>
  <si>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</si>
  <si>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</si>
  <si>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</si>
  <si>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</si>
  <si>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</si>
  <si>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</si>
  <si>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</si>
  <si>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</si>
  <si>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</si>
  <si>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</si>
  <si>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</si>
  <si>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</si>
  <si>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</si>
  <si>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</si>
  <si>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</si>
  <si>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</si>
  <si>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</si>
  <si>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</si>
  <si>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</si>
  <si>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</si>
  <si>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</si>
  <si>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</si>
  <si>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</si>
  <si>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</si>
  <si>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</si>
  <si>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</si>
  <si>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</si>
  <si>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</si>
  <si>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</si>
  <si>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</si>
  <si>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</si>
  <si>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</si>
  <si>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</si>
  <si>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</si>
  <si>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</si>
  <si>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</si>
  <si>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</si>
  <si>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</si>
  <si>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</si>
  <si>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</si>
  <si>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</si>
  <si>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</si>
  <si>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</si>
  <si>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</si>
  <si>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</si>
  <si>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</si>
  <si>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</si>
  <si>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</si>
  <si>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</si>
  <si>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</si>
  <si>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</si>
  <si>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</si>
  <si>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</si>
  <si>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</si>
  <si>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</si>
  <si>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</si>
  <si>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</si>
  <si>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</si>
  <si>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</si>
  <si>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</si>
  <si>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</si>
  <si>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</si>
  <si>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</si>
  <si>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</si>
  <si>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</si>
  <si>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</si>
  <si>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</si>
  <si>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</si>
  <si>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</si>
  <si>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</si>
  <si>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</si>
  <si>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</si>
  <si>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</si>
  <si>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</si>
  <si>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</si>
  <si>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</si>
  <si>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</si>
  <si>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</si>
  <si>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</si>
  <si>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</si>
  <si>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</si>
  <si>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</si>
  <si>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</si>
  <si>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</si>
  <si>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</si>
  <si>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</si>
  <si>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</si>
  <si>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</si>
  <si>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</si>
  <si>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</si>
  <si>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</si>
  <si>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</si>
  <si>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</si>
  <si>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</si>
  <si>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</si>
  <si>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</si>
  <si>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</si>
  <si>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</si>
  <si>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</si>
  <si>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</si>
  <si>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</si>
  <si>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</si>
  <si>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</si>
  <si>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</si>
  <si>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</si>
  <si>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</si>
  <si>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</si>
  <si>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</si>
  <si>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</si>
  <si>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</si>
  <si>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</si>
  <si>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</si>
  <si>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</si>
  <si>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</si>
  <si>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</si>
  <si>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</si>
  <si>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</si>
  <si>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</si>
  <si>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</si>
  <si>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</si>
  <si>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</si>
  <si>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</si>
  <si>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</si>
  <si>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</si>
  <si>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</si>
  <si>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</si>
  <si>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</si>
  <si>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</si>
  <si>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</si>
  <si>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</si>
  <si>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</si>
  <si>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</si>
  <si>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</si>
  <si>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</si>
  <si>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</si>
  <si>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</si>
  <si>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</si>
  <si>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</si>
  <si>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</si>
  <si>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</si>
  <si>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</si>
  <si>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</si>
  <si>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</si>
  <si>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</si>
  <si>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</si>
  <si>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</si>
  <si>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</si>
  <si>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</si>
  <si>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</si>
  <si>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</si>
  <si>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</si>
  <si>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</si>
  <si>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</si>
  <si>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</si>
  <si>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</si>
  <si>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</si>
  <si>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</si>
  <si>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</si>
  <si>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</si>
  <si>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</si>
  <si>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</si>
  <si>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</si>
  <si>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</si>
  <si>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</si>
  <si>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</si>
  <si>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</si>
  <si>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</si>
  <si>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</si>
  <si>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</si>
  <si>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</si>
  <si>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</si>
  <si>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</si>
  <si>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</si>
  <si>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</si>
  <si>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</si>
  <si>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</si>
  <si>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</si>
  <si>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</si>
  <si>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</si>
  <si>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</si>
  <si>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</si>
  <si>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</si>
  <si>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</si>
  <si>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</si>
  <si>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</si>
  <si>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</si>
  <si>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</si>
  <si>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</si>
  <si>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</si>
  <si>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</si>
  <si>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</si>
  <si>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</si>
  <si>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</si>
  <si>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</si>
  <si>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</si>
  <si>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</si>
  <si>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</si>
  <si>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</si>
  <si>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</si>
  <si>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</si>
  <si>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</si>
  <si>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</si>
  <si>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</si>
  <si>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</si>
  <si>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</si>
  <si>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</si>
  <si>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</si>
  <si>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</si>
  <si>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</si>
  <si>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</si>
  <si>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</si>
  <si>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</si>
  <si>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</si>
  <si>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</si>
  <si>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</si>
  <si>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</si>
  <si>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</si>
  <si>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</si>
  <si>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</si>
  <si>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</si>
  <si>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</si>
  <si>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</si>
  <si>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</si>
  <si>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</si>
  <si>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</si>
  <si>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</si>
  <si>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</si>
  <si>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</si>
  <si>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</si>
  <si>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</si>
  <si>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</si>
  <si>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</si>
  <si>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</si>
  <si>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</si>
  <si>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</si>
  <si>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</si>
  <si>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</si>
  <si>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</si>
  <si>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</si>
  <si>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</si>
  <si>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</si>
  <si>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</si>
  <si>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</si>
  <si>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</si>
  <si>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</si>
  <si>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</si>
  <si>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</si>
  <si>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</si>
  <si>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</si>
  <si>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</si>
  <si>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</si>
  <si>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</si>
  <si>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</si>
  <si>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</si>
  <si>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</si>
  <si>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</si>
  <si>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</si>
  <si>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</si>
  <si>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</si>
  <si>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</si>
  <si>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</si>
  <si>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</si>
  <si>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</si>
  <si>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</si>
  <si>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</si>
  <si>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</si>
  <si>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</si>
  <si>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</si>
  <si>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</si>
  <si>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</si>
  <si>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</si>
  <si>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</si>
  <si>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</si>
  <si>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</si>
  <si>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</si>
  <si>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</si>
  <si>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</si>
  <si>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</si>
  <si>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</si>
  <si>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</si>
  <si>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</si>
  <si>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</si>
  <si>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</si>
  <si>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</si>
  <si>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</si>
  <si>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</si>
  <si>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</si>
  <si>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</si>
  <si>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</si>
  <si>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</si>
  <si>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</si>
  <si>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</si>
  <si>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</si>
  <si>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</si>
  <si>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</si>
  <si>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</si>
  <si>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</si>
  <si>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</si>
  <si>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</si>
  <si>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</si>
  <si>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</si>
  <si>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</si>
  <si>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</si>
  <si>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</si>
  <si>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</si>
  <si>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</si>
  <si>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</si>
  <si>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</si>
  <si>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</si>
  <si>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</si>
  <si>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</si>
  <si>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</si>
  <si>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</si>
  <si>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</si>
  <si>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</si>
  <si>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</si>
  <si>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</si>
  <si>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</si>
  <si>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</si>
  <si>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</si>
  <si>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</si>
  <si>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</si>
  <si>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</si>
  <si>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</si>
  <si>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</si>
  <si>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</si>
  <si>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</si>
  <si>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</si>
  <si>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</si>
  <si>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</si>
  <si>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</si>
  <si>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</si>
  <si>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</si>
  <si>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</si>
  <si>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</si>
  <si>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</si>
  <si>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</si>
  <si>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</si>
  <si>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</si>
  <si>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</si>
  <si>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</si>
  <si>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</si>
  <si>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</si>
  <si>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</si>
  <si>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</si>
  <si>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</si>
  <si>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</si>
  <si>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</si>
  <si>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</si>
  <si>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</si>
  <si>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</si>
  <si>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</si>
  <si>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</si>
  <si>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</si>
  <si>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</si>
  <si>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</si>
  <si>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</si>
  <si>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</si>
  <si>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</si>
  <si>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</si>
  <si>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</si>
  <si>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</si>
  <si>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</si>
  <si>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</si>
  <si>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</si>
  <si>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</si>
  <si>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</si>
  <si>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</si>
  <si>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</si>
  <si>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</si>
  <si>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</si>
  <si>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</si>
  <si>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</si>
  <si>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</si>
  <si>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</si>
  <si>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</si>
  <si>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</si>
  <si>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</si>
  <si>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</si>
  <si>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</si>
  <si>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</si>
  <si>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</si>
  <si>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</si>
  <si>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</si>
  <si>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</si>
  <si>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</si>
  <si>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</si>
  <si>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</si>
  <si>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</si>
  <si>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</si>
  <si>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</si>
  <si>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</si>
  <si>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</si>
  <si>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</si>
  <si>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</si>
  <si>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</si>
  <si>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</si>
  <si>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</si>
  <si>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</si>
  <si>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</si>
  <si>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</si>
  <si>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</si>
  <si>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</si>
  <si>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</si>
  <si>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</si>
  <si>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</si>
  <si>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</si>
  <si>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</si>
  <si>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</si>
  <si>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</si>
  <si>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</si>
  <si>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</si>
  <si>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</si>
  <si>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</si>
  <si>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</si>
  <si>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</si>
  <si>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</si>
  <si>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</si>
  <si>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</si>
  <si>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</si>
  <si>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</si>
  <si>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</si>
  <si>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</si>
  <si>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</si>
  <si>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</si>
  <si>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</si>
  <si>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</si>
  <si>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</si>
  <si>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</si>
  <si>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</si>
  <si>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</si>
  <si>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</si>
  <si>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</si>
  <si>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</si>
  <si>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</si>
  <si>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</si>
  <si>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</si>
  <si>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</si>
  <si>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</si>
  <si>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</si>
  <si>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</si>
  <si>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</si>
  <si>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</si>
  <si>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</si>
  <si>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</si>
  <si>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</si>
  <si>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</si>
  <si>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</si>
  <si>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</si>
  <si>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</si>
  <si>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</si>
  <si>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</si>
  <si>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</si>
  <si>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</si>
  <si>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</si>
  <si>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</si>
  <si>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</si>
  <si>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</si>
  <si>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</si>
  <si>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</si>
  <si>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</si>
  <si>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</si>
  <si>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</si>
  <si>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</si>
  <si>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</si>
  <si>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</si>
  <si>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</si>
  <si>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</si>
  <si>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</si>
  <si>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</si>
  <si>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</si>
  <si>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</si>
  <si>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</si>
  <si>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</si>
  <si>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</si>
  <si>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</si>
  <si>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</si>
  <si>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</si>
  <si>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</si>
  <si>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</si>
  <si>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</si>
  <si>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</si>
  <si>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</si>
  <si>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</si>
  <si>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</si>
  <si>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</si>
  <si>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</si>
  <si>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</si>
  <si>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</si>
  <si>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</si>
  <si>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</si>
  <si>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</si>
  <si>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</si>
  <si>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</si>
  <si>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</si>
  <si>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</si>
  <si>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</si>
  <si>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</si>
  <si>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</si>
  <si>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</si>
  <si>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</si>
  <si>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</si>
  <si>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</si>
  <si>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</si>
  <si>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</si>
  <si>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</si>
  <si>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</si>
  <si>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</si>
  <si>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</si>
  <si>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</si>
  <si>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</si>
  <si>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</si>
  <si>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</si>
  <si>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</si>
  <si>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</si>
  <si>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</si>
  <si>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</si>
  <si>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</si>
  <si>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</si>
  <si>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</si>
  <si>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</si>
  <si>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</si>
  <si>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</si>
  <si>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</si>
  <si>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</si>
  <si>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</si>
  <si>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</si>
  <si>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</si>
  <si>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</si>
  <si>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</si>
  <si>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</si>
  <si>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</si>
  <si>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</si>
  <si>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</si>
  <si>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</si>
  <si>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</si>
  <si>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</si>
  <si>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</si>
  <si>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</si>
  <si>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</si>
  <si>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</si>
  <si>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</si>
  <si>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</si>
  <si>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</si>
  <si>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</si>
  <si>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</si>
  <si>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</si>
  <si>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</si>
  <si>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</si>
  <si>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</si>
  <si>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</si>
  <si>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</si>
  <si>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</si>
  <si>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</si>
  <si>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</si>
  <si>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</si>
  <si>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</si>
  <si>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</si>
  <si>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</si>
  <si>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</si>
  <si>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</si>
  <si>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</si>
  <si>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</si>
  <si>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</si>
  <si>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</si>
  <si>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</si>
  <si>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</si>
  <si>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</si>
  <si>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</si>
  <si>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</si>
  <si>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</si>
  <si>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</si>
  <si>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</si>
  <si>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</si>
  <si>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</si>
  <si>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</si>
  <si>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</si>
  <si>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</si>
  <si>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</si>
  <si>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</si>
  <si>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</si>
  <si>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</si>
  <si>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</si>
  <si>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</si>
  <si>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</si>
  <si>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</si>
  <si>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</si>
  <si>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</si>
  <si>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</si>
  <si>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</si>
  <si>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</si>
  <si>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</si>
  <si>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</si>
  <si>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</si>
  <si>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</si>
  <si>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</si>
  <si>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</si>
  <si>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</si>
  <si>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</si>
  <si>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</si>
  <si>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</si>
  <si>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</si>
  <si>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</si>
  <si>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</si>
  <si>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</si>
  <si>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</si>
  <si>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</si>
  <si>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</si>
  <si>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</si>
  <si>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</si>
  <si>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</si>
  <si>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</si>
  <si>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</si>
  <si>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</si>
  <si>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</si>
  <si>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</si>
  <si>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</si>
  <si>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</si>
  <si>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</si>
  <si>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</si>
  <si>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</si>
  <si>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</si>
  <si>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</si>
  <si>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</si>
  <si>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</si>
  <si>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</si>
  <si>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</si>
  <si>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</si>
  <si>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</si>
  <si>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</si>
  <si>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</si>
  <si>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</si>
  <si>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</si>
  <si>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</si>
  <si>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</si>
  <si>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</si>
  <si>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</si>
  <si>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</si>
  <si>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</si>
  <si>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</si>
  <si>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</si>
  <si>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</si>
  <si>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</si>
  <si>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</si>
  <si>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</si>
  <si>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</si>
  <si>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</si>
  <si>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</si>
  <si>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</si>
  <si>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</si>
  <si>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</si>
  <si>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</si>
  <si>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</si>
  <si>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</si>
  <si>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</si>
  <si>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</si>
  <si>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</si>
  <si>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</si>
  <si>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</si>
  <si>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</si>
  <si>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</si>
  <si>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</si>
  <si>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</si>
  <si>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</si>
  <si>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</si>
  <si>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</si>
  <si>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</si>
  <si>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</si>
  <si>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</si>
  <si>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</si>
  <si>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</si>
  <si>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</si>
  <si>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</si>
  <si>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</si>
  <si>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</si>
  <si>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</si>
  <si>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</si>
  <si>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</si>
  <si>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</si>
  <si>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</si>
  <si>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</si>
  <si>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</si>
  <si>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</si>
  <si>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</si>
  <si>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</si>
  <si>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</si>
  <si>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</si>
  <si>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</si>
  <si>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</si>
  <si>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</si>
  <si>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</si>
  <si>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</si>
  <si>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</si>
  <si>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</si>
  <si>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</si>
  <si>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</si>
  <si>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</si>
  <si>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</si>
  <si>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</si>
  <si>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</si>
  <si>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</si>
  <si>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</si>
  <si>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</si>
  <si>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</si>
  <si>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</si>
  <si>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</si>
  <si>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</si>
  <si>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</si>
  <si>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</si>
  <si>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</si>
  <si>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</si>
  <si>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</si>
  <si>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</si>
  <si>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</si>
  <si>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</si>
  <si>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</si>
  <si>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</si>
  <si>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</si>
  <si>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</si>
  <si>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</si>
  <si>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</si>
  <si>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</si>
  <si>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</si>
  <si>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</si>
  <si>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</si>
  <si>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</si>
  <si>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</si>
  <si>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</si>
  <si>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</si>
  <si>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</si>
  <si>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</si>
  <si>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</si>
  <si>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</si>
  <si>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</si>
  <si>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</si>
  <si>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</si>
  <si>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</si>
  <si>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</si>
  <si>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</si>
  <si>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</si>
  <si>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</si>
  <si>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</si>
  <si>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</si>
  <si>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</si>
  <si>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</si>
  <si>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</si>
  <si>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</si>
  <si>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</si>
  <si>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</si>
  <si>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</si>
  <si>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</si>
  <si>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</si>
  <si>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</si>
  <si>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</si>
  <si>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</si>
  <si>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</si>
  <si>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</si>
  <si>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</si>
  <si>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</si>
  <si>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</si>
  <si>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</si>
  <si>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</si>
  <si>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</si>
  <si>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</si>
  <si>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</si>
  <si>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</si>
  <si>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</si>
  <si>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</si>
  <si>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</si>
  <si>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</si>
  <si>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</si>
  <si>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</si>
  <si>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</si>
  <si>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</si>
  <si>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</si>
  <si>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</si>
  <si>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</si>
  <si>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</si>
  <si>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</si>
  <si>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</si>
  <si>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</si>
  <si>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</si>
  <si>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</si>
  <si>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</si>
  <si>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</si>
  <si>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</si>
  <si>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</si>
  <si>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</si>
  <si>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</si>
  <si>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</si>
  <si>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</si>
  <si>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</si>
  <si>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</si>
  <si>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</si>
  <si>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</si>
  <si>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</si>
  <si>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</si>
  <si>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</si>
  <si>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</si>
  <si>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</si>
  <si>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</si>
  <si>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</si>
  <si>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</si>
  <si>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</si>
  <si>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</si>
  <si>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</si>
  <si>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</si>
  <si>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</si>
  <si>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</si>
  <si>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</si>
  <si>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</si>
  <si>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</si>
  <si>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</si>
  <si>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</si>
  <si>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</si>
  <si>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</si>
  <si>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</si>
  <si>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</si>
  <si>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</si>
  <si>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</si>
  <si>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</si>
  <si>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</si>
  <si>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</si>
  <si>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</si>
  <si>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</si>
  <si>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</si>
  <si>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</si>
  <si>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</si>
  <si>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</si>
  <si>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</si>
  <si>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</si>
  <si>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</si>
  <si>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</si>
  <si>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</si>
  <si>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</si>
  <si>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</si>
  <si>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</si>
  <si>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</si>
  <si>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</si>
  <si>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</si>
  <si>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</si>
  <si>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</si>
  <si>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</si>
  <si>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</si>
  <si>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</si>
  <si>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</si>
  <si>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</si>
  <si>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</si>
  <si>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</si>
  <si>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</si>
  <si>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</si>
  <si>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</si>
  <si>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</si>
  <si>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</si>
  <si>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</si>
  <si>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</si>
  <si>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</si>
  <si>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</si>
  <si>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</si>
  <si>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</si>
  <si>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</si>
  <si>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</si>
  <si>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</si>
  <si>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</si>
  <si>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</si>
  <si>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</si>
  <si>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</si>
  <si>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</si>
  <si>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</si>
  <si>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</si>
  <si>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</si>
  <si>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</si>
  <si>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</si>
  <si>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</si>
  <si>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</si>
  <si>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</si>
  <si>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</si>
  <si>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</si>
  <si>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</si>
  <si>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</si>
  <si>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</si>
  <si>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</si>
  <si>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</si>
  <si>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</si>
  <si>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</si>
  <si>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</si>
  <si>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</si>
  <si>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</si>
  <si>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</si>
  <si>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</si>
  <si>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</si>
  <si>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</si>
  <si>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</si>
  <si>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</si>
  <si>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</si>
  <si>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</si>
  <si>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</si>
  <si>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</si>
  <si>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</si>
  <si>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</si>
  <si>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</si>
  <si>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</si>
  <si>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</si>
  <si>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</si>
  <si>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</si>
  <si>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</si>
  <si>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</si>
  <si>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</si>
  <si>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</si>
  <si>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</si>
  <si>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</si>
  <si>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</si>
  <si>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</si>
  <si>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</si>
  <si>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</si>
  <si>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</si>
  <si>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</si>
  <si>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</si>
  <si>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</si>
  <si>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</si>
  <si>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</si>
  <si>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</si>
  <si>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</si>
  <si>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</si>
  <si>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</si>
  <si>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</si>
  <si>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</si>
  <si>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</si>
  <si>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</si>
  <si>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</si>
  <si>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</si>
  <si>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</si>
  <si>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</si>
  <si>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</si>
  <si>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</si>
  <si>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</si>
  <si>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</si>
  <si>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</si>
  <si>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</si>
  <si>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</si>
  <si>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</si>
  <si>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</si>
  <si>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</si>
  <si>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</si>
  <si>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</si>
  <si>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</si>
  <si>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</si>
  <si>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</si>
  <si>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</si>
  <si>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</si>
  <si>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</si>
  <si>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</si>
  <si>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</si>
  <si>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</si>
  <si>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</si>
  <si>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</si>
  <si>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</si>
  <si>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</si>
  <si>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</si>
  <si>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</si>
  <si>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</si>
  <si>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</si>
  <si>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</si>
  <si>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</si>
  <si>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</si>
  <si>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</si>
  <si>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</si>
  <si>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</si>
  <si>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</si>
  <si>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</si>
  <si>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</si>
  <si>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</si>
  <si>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</si>
  <si>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</si>
  <si>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</si>
  <si>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</si>
  <si>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</si>
  <si>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</si>
  <si>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</si>
  <si>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</si>
  <si>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</si>
  <si>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</si>
  <si>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</si>
  <si>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</si>
  <si>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</si>
  <si>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</si>
  <si>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</si>
  <si>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</si>
  <si>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</si>
  <si>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</si>
  <si>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</si>
  <si>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</si>
  <si>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</si>
  <si>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</si>
  <si>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</si>
  <si>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</si>
  <si>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</si>
  <si>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</si>
  <si>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</si>
  <si>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</si>
  <si>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</si>
  <si>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</si>
  <si>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</si>
  <si>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</si>
  <si>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</si>
  <si>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</si>
  <si>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</si>
  <si>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</si>
  <si>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</si>
  <si>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</si>
  <si>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</si>
  <si>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</si>
  <si>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</si>
  <si>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</si>
  <si>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</si>
  <si>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</si>
  <si>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</si>
  <si>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</si>
  <si>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</si>
  <si>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</si>
  <si>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</si>
  <si>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</si>
  <si>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</si>
  <si>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</si>
  <si>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</si>
  <si>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</si>
  <si>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</si>
  <si>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</si>
  <si>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</si>
  <si>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</si>
  <si>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</si>
  <si>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</si>
  <si>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</si>
  <si>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</si>
  <si>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</si>
  <si>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</si>
  <si>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</si>
  <si>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</si>
  <si>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</si>
  <si>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</si>
  <si>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</si>
  <si>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</si>
  <si>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</si>
  <si>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</si>
  <si>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</si>
  <si>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</si>
  <si>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</si>
  <si>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</si>
  <si>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</si>
  <si>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</si>
  <si>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</si>
  <si>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</si>
  <si>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</si>
  <si>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</si>
  <si>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</si>
  <si>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</si>
  <si>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</si>
  <si>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</si>
  <si>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</si>
  <si>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</si>
  <si>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</si>
  <si>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</si>
  <si>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</si>
  <si>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</si>
  <si>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</si>
  <si>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</si>
  <si>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</si>
  <si>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</si>
  <si>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</si>
  <si>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</si>
  <si>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</si>
  <si>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</si>
  <si>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</si>
  <si>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</si>
  <si>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</si>
  <si>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</si>
  <si>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</si>
  <si>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</si>
  <si>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</si>
  <si>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</si>
  <si>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</si>
  <si>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</si>
  <si>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</si>
  <si>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</si>
  <si>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</si>
  <si>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</si>
  <si>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</si>
  <si>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</si>
  <si>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</si>
  <si>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</si>
  <si>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</si>
  <si>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</si>
  <si>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</si>
  <si>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</si>
  <si>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</si>
  <si>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</si>
  <si>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</si>
  <si>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</si>
  <si>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</si>
  <si>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</si>
  <si>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</si>
  <si>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</si>
  <si>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</si>
  <si>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</si>
  <si>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</si>
  <si>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</si>
  <si>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</si>
  <si>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</si>
  <si>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</si>
  <si>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</si>
  <si>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</si>
  <si>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</si>
  <si>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</si>
  <si>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</si>
  <si>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</si>
  <si>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</si>
  <si>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</si>
  <si>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</si>
  <si>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</si>
  <si>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</si>
  <si>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</si>
  <si>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</si>
  <si>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</si>
  <si>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</si>
  <si>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</si>
  <si>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</si>
  <si>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</si>
  <si>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</si>
  <si>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</si>
  <si>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</si>
  <si>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</si>
  <si>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</si>
  <si>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</si>
  <si>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</si>
  <si>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</si>
  <si>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</si>
  <si>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</si>
  <si>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</si>
  <si>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</si>
  <si>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</si>
  <si>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</si>
  <si>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</si>
  <si>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</si>
  <si>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</si>
  <si>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</si>
  <si>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</si>
  <si>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</si>
  <si>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</si>
  <si>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</si>
  <si>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</si>
  <si>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</si>
  <si>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</si>
  <si>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</si>
  <si>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</si>
  <si>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</si>
  <si>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</si>
  <si>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</si>
  <si>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</si>
  <si>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</si>
  <si>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</si>
  <si>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</si>
  <si>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</si>
  <si>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</si>
  <si>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</si>
  <si>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</si>
  <si>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</si>
  <si>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</si>
  <si>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</si>
  <si>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</si>
  <si>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</si>
  <si>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</si>
  <si>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</si>
  <si>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</si>
  <si>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</si>
  <si>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</si>
  <si>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</si>
  <si>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</si>
  <si>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</si>
  <si>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</si>
  <si>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</si>
  <si>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</si>
  <si>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</si>
  <si>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</si>
  <si>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</si>
  <si>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</si>
  <si>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</si>
  <si>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</si>
  <si>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</si>
  <si>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</si>
  <si>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</si>
  <si>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</si>
  <si>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</si>
  <si>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</si>
  <si>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</si>
  <si>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</si>
  <si>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</si>
  <si>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</si>
  <si>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</si>
  <si>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</si>
  <si>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</si>
  <si>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</si>
  <si>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</si>
  <si>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</si>
  <si>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</si>
  <si>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</si>
  <si>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</si>
  <si>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</si>
  <si>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</si>
  <si>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</si>
  <si>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</si>
  <si>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</si>
  <si>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</si>
  <si>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</si>
  <si>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</si>
  <si>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</si>
  <si>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</si>
  <si>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</si>
  <si>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</si>
  <si>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</si>
  <si>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</si>
  <si>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</si>
  <si>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</si>
  <si>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</si>
  <si>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</si>
  <si>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</si>
  <si>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</si>
  <si>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</si>
  <si>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</si>
  <si>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</si>
  <si>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</si>
  <si>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</si>
  <si>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</si>
  <si>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</si>
  <si>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</si>
  <si>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</si>
  <si>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</si>
  <si>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</si>
  <si>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</si>
  <si>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</si>
  <si>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</si>
  <si>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</si>
  <si>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</si>
  <si>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</si>
  <si>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</si>
  <si>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</si>
  <si>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</si>
  <si>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</si>
  <si>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</si>
  <si>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</si>
  <si>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</si>
  <si>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</si>
  <si>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</si>
  <si>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</si>
  <si>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</si>
  <si>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</si>
  <si>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</si>
  <si>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</si>
  <si>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</si>
  <si>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</si>
  <si>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</si>
  <si>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</si>
  <si>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</si>
  <si>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</si>
  <si>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</si>
  <si>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</si>
  <si>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</si>
  <si>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</si>
  <si>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</si>
  <si>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</si>
  <si>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</si>
  <si>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</si>
  <si>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</si>
  <si>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</si>
  <si>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</si>
  <si>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</si>
  <si>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</si>
  <si>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</si>
  <si>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</si>
  <si>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</si>
  <si>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</si>
  <si>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</si>
  <si>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</si>
  <si>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</si>
  <si>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</si>
  <si>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</si>
  <si>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</si>
  <si>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</si>
  <si>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</si>
  <si>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</si>
  <si>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</si>
  <si>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</si>
  <si>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</si>
  <si>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</si>
  <si>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</si>
  <si>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</si>
  <si>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</si>
  <si>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</si>
  <si>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</si>
  <si>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</si>
  <si>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</si>
  <si>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</si>
  <si>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</si>
  <si>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</si>
  <si>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</si>
  <si>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</si>
  <si>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</si>
  <si>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</si>
  <si>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</si>
  <si>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</si>
  <si>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</si>
  <si>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</si>
  <si>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</si>
  <si>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</si>
  <si>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</si>
  <si>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</si>
  <si>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</si>
  <si>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</si>
  <si>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</si>
  <si>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</si>
  <si>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</si>
  <si>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</si>
  <si>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</si>
  <si>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</si>
  <si>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</si>
  <si>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</si>
  <si>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</si>
  <si>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</si>
  <si>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</si>
  <si>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</si>
  <si>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</si>
  <si>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</si>
  <si>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</si>
  <si>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</si>
  <si>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</si>
  <si>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</si>
  <si>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</si>
  <si>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</si>
  <si>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</si>
  <si>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</si>
  <si>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</si>
  <si>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</si>
  <si>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</si>
  <si>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</si>
  <si>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</si>
  <si>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</si>
  <si>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</si>
  <si>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</si>
  <si>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</si>
  <si>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</si>
  <si>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</si>
  <si>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</si>
  <si>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</si>
  <si>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</si>
  <si>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</si>
  <si>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</si>
  <si>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</si>
  <si>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</si>
  <si>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</si>
  <si>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</si>
  <si>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</si>
  <si>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</si>
  <si>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</si>
  <si>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</si>
  <si>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</si>
  <si>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</si>
  <si>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</si>
  <si>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</si>
  <si>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</si>
  <si>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</si>
  <si>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</si>
  <si>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</si>
  <si>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</si>
  <si>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</si>
  <si>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</si>
  <si>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</si>
  <si>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</si>
  <si>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</si>
  <si>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</si>
  <si>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</si>
  <si>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</si>
  <si>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</si>
  <si>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</si>
  <si>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</si>
  <si>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</si>
  <si>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</si>
  <si>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</si>
  <si>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</si>
  <si>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</si>
  <si>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</si>
  <si>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</si>
  <si>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</si>
  <si>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</si>
  <si>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</si>
  <si>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</si>
  <si>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</si>
  <si>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</si>
  <si>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</si>
  <si>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</si>
  <si>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</si>
  <si>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</si>
  <si>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</si>
  <si>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</si>
  <si>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</si>
  <si>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</si>
  <si>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</si>
  <si>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</si>
  <si>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</si>
  <si>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</si>
  <si>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</si>
  <si>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</si>
  <si>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</si>
  <si>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</si>
  <si>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</si>
  <si>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</si>
  <si>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</si>
  <si>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</si>
  <si>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</si>
  <si>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</si>
  <si>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</si>
  <si>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</si>
  <si>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</si>
  <si>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</si>
  <si>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</si>
  <si>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</si>
  <si>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</si>
  <si>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</si>
  <si>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</si>
  <si>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</si>
  <si>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</si>
  <si>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</si>
  <si>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</si>
  <si>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</si>
  <si>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</si>
  <si>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</si>
  <si>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</si>
  <si>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</si>
  <si>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</si>
  <si>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</si>
  <si>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</si>
  <si>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</si>
  <si>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</si>
  <si>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</si>
  <si>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</si>
  <si>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</si>
  <si>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</si>
  <si>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</si>
  <si>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</si>
  <si>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</si>
  <si>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</si>
  <si>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</si>
  <si>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</si>
  <si>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</si>
  <si>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</si>
  <si>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</si>
  <si>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</si>
  <si>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</si>
  <si>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</si>
  <si>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</si>
  <si>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</si>
  <si>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</si>
  <si>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</si>
  <si>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</si>
  <si>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</si>
  <si>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</si>
  <si>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</si>
  <si>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</si>
  <si>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</si>
  <si>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</si>
  <si>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</si>
  <si>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</si>
  <si>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</si>
  <si>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</si>
  <si>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</si>
  <si>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</si>
  <si>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</si>
  <si>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</si>
  <si>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</si>
  <si>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</si>
  <si>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</si>
  <si>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</si>
  <si>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</si>
  <si>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</si>
  <si>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</si>
  <si>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</si>
  <si>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</si>
  <si>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</si>
  <si>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</si>
  <si>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</si>
  <si>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</si>
  <si>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</si>
  <si>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</si>
  <si>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</si>
  <si>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</si>
  <si>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</si>
  <si>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</si>
  <si>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</si>
  <si>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</si>
  <si>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</si>
  <si>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</si>
  <si>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</si>
  <si>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</si>
  <si>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</si>
  <si>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</si>
  <si>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</si>
  <si>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</si>
  <si>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</si>
  <si>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</si>
  <si>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</si>
  <si>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</si>
  <si>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</si>
  <si>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</si>
  <si>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</si>
  <si>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</si>
  <si>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</si>
  <si>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</si>
  <si>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</si>
  <si>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</si>
  <si>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</si>
  <si>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</si>
  <si>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</si>
  <si>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</si>
  <si>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</si>
  <si>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</si>
  <si>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</si>
  <si>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</si>
  <si>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</si>
  <si>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</si>
  <si>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</si>
  <si>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</si>
  <si>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</si>
  <si>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</si>
  <si>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</si>
  <si>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</si>
  <si>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</si>
  <si>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</si>
  <si>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</si>
  <si>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</si>
  <si>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</si>
  <si>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</si>
  <si>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</si>
  <si>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</si>
  <si>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</si>
  <si>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</si>
  <si>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</si>
  <si>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</si>
  <si>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</si>
  <si>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</si>
  <si>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</si>
  <si>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</si>
  <si>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</si>
  <si>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</si>
  <si>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</si>
  <si>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</si>
  <si>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</si>
  <si>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</si>
  <si>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</si>
  <si>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</si>
  <si>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</si>
  <si>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</si>
  <si>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</si>
  <si>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</si>
  <si>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</si>
  <si>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</si>
  <si>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</si>
  <si>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</si>
  <si>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</si>
  <si>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</si>
  <si>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</si>
  <si>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</si>
  <si>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</si>
  <si>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</si>
  <si>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</si>
  <si>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</si>
  <si>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</si>
  <si>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</si>
  <si>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</si>
  <si>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</si>
  <si>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</si>
  <si>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</si>
  <si>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</si>
  <si>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</si>
  <si>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</si>
  <si>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</si>
  <si>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</si>
  <si>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</si>
  <si>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</si>
  <si>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</si>
  <si>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</si>
  <si>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</si>
  <si>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</si>
  <si>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</si>
  <si>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</si>
  <si>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</si>
  <si>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</si>
  <si>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</si>
  <si>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</si>
  <si>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</si>
  <si>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</si>
  <si>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</si>
  <si>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</si>
  <si>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</si>
  <si>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</si>
  <si>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</si>
  <si>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</si>
  <si>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</si>
  <si>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</si>
  <si>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</si>
  <si>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</si>
  <si>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</si>
  <si>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</si>
  <si>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</si>
  <si>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</si>
  <si>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</si>
  <si>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</si>
  <si>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</si>
  <si>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</si>
  <si>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</si>
  <si>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</si>
  <si>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</si>
  <si>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</si>
  <si>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</si>
  <si>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</si>
  <si>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</si>
  <si>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</si>
  <si>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</si>
  <si>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</si>
  <si>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</si>
  <si>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</si>
  <si>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</si>
  <si>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</si>
  <si>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</si>
  <si>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</si>
  <si>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</si>
  <si>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</si>
  <si>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</si>
  <si>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</si>
  <si>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</si>
  <si>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</si>
  <si>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</si>
  <si>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</si>
  <si>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</si>
  <si>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</si>
  <si>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</si>
  <si>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</si>
  <si>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</si>
  <si>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</si>
  <si>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</si>
  <si>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</si>
  <si>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</si>
  <si>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</si>
  <si>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</si>
  <si>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</si>
  <si>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</si>
  <si>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</si>
  <si>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</si>
  <si>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</si>
  <si>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</si>
  <si>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</si>
  <si>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</si>
  <si>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</si>
  <si>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</si>
  <si>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</si>
  <si>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</si>
  <si>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</si>
  <si>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</si>
  <si>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</si>
  <si>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</si>
  <si>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</si>
  <si>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</si>
  <si>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</si>
  <si>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</si>
  <si>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</si>
  <si>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</si>
  <si>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</si>
  <si>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</si>
  <si>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</si>
  <si>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</si>
  <si>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</si>
  <si>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</si>
  <si>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</si>
  <si>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</si>
  <si>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</si>
  <si>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</si>
  <si>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</si>
  <si>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</si>
  <si>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</si>
  <si>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</si>
  <si>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</si>
  <si>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</si>
  <si>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</si>
  <si>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</si>
  <si>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</si>
  <si>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</si>
  <si>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</si>
  <si>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</si>
  <si>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</si>
  <si>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</si>
  <si>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</si>
  <si>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</si>
  <si>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</si>
  <si>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</si>
  <si>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</si>
  <si>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</si>
  <si>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</si>
  <si>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</si>
  <si>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</si>
  <si>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</si>
  <si>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</si>
  <si>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</si>
  <si>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Vermilion</t>
  </si>
  <si>
    <t>Potomac CUSD 10</t>
  </si>
  <si>
    <t>7915 U.S. 136</t>
  </si>
  <si>
    <t>Potomac , Illinois</t>
  </si>
  <si>
    <t>Jim Owens</t>
  </si>
  <si>
    <t>217-987-6155</t>
  </si>
  <si>
    <t>Daughhetee and Parks Management Consulting PC</t>
  </si>
  <si>
    <t>Phyllis Parks</t>
  </si>
  <si>
    <t>2200 Kickapoo Drive STE A</t>
  </si>
  <si>
    <t xml:space="preserve">Danville </t>
  </si>
  <si>
    <t>Illinois</t>
  </si>
  <si>
    <t>217-431-2727</t>
  </si>
  <si>
    <t>217-431-3273</t>
  </si>
  <si>
    <t>065-019320</t>
  </si>
  <si>
    <t>pparkscpa@gmail.com</t>
  </si>
  <si>
    <t>2016 Working Cash Bond</t>
  </si>
  <si>
    <t>2013 Life Safety Bond</t>
  </si>
  <si>
    <t>2011 Working Cash Bond</t>
  </si>
  <si>
    <t>2006 Life Safety Band</t>
  </si>
  <si>
    <t>none noted</t>
  </si>
  <si>
    <t>x</t>
  </si>
  <si>
    <t>none</t>
  </si>
  <si>
    <t>Vermilion Assoication of Special Education</t>
  </si>
  <si>
    <t>Vermilion Vocational Education Delivery System</t>
  </si>
  <si>
    <t>Potomac Armstrong Sports Cooperative</t>
  </si>
  <si>
    <t>Daughhetee &amp; Parks Management Consulting,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</si>
</sst>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0" t="s">
        <v>405</v>
      </c>
      <c r="J1" s="1981"/>
      <c r="K1" s="1981"/>
      <c r="L1" s="1981"/>
      <c r="M1" s="1981"/>
      <c r="N1" s="1981"/>
      <c r="O1" s="1981"/>
      <c r="P1" s="1981"/>
      <c r="Q1" s="1981"/>
      <c r="R1" s="1981"/>
      <c r="S1" s="1981"/>
    </row>
    <row r="2" spans="1:28" ht="12" customHeight="1" x14ac:dyDescent="0.2">
      <c r="A2" s="47" t="s">
        <v>1992</v>
      </c>
      <c r="D2" s="48"/>
      <c r="I2" s="1982" t="s">
        <v>979</v>
      </c>
      <c r="J2" s="1981"/>
      <c r="K2" s="1981"/>
      <c r="L2" s="1981"/>
      <c r="M2" s="1981"/>
      <c r="N2" s="1981"/>
      <c r="O2" s="1981"/>
      <c r="P2" s="1981"/>
      <c r="Q2" s="1981"/>
      <c r="R2" s="1981"/>
      <c r="S2" s="1981"/>
    </row>
    <row r="3" spans="1:28" ht="12" customHeight="1" x14ac:dyDescent="0.2">
      <c r="A3" s="155" t="s">
        <v>1944</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2064</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54092010026</v>
      </c>
      <c r="B13" s="2016"/>
      <c r="C13" s="2016"/>
      <c r="D13" s="2016"/>
      <c r="E13" s="2016"/>
      <c r="F13" s="2016"/>
      <c r="G13" s="2016"/>
      <c r="H13" s="2017"/>
      <c r="I13" s="31"/>
      <c r="J13" s="30"/>
      <c r="K13" s="28"/>
      <c r="L13" s="30"/>
      <c r="M13" s="30"/>
      <c r="N13" s="30"/>
      <c r="O13" s="30"/>
      <c r="P13" s="30"/>
      <c r="Q13" s="30"/>
      <c r="R13" s="30"/>
      <c r="S13" s="30"/>
      <c r="T13" s="2020" t="s">
        <v>2071</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2065</v>
      </c>
      <c r="B15" s="2018"/>
      <c r="C15" s="2018"/>
      <c r="D15" s="2018"/>
      <c r="E15" s="2018"/>
      <c r="F15" s="2018"/>
      <c r="G15" s="2018"/>
      <c r="H15" s="2019"/>
      <c r="T15" s="2024" t="s">
        <v>2072</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2066</v>
      </c>
      <c r="B17" s="1975"/>
      <c r="C17" s="1975"/>
      <c r="D17" s="1975"/>
      <c r="E17" s="1975"/>
      <c r="F17" s="1975"/>
      <c r="G17" s="1975"/>
      <c r="H17" s="2000"/>
      <c r="T17" s="2031" t="s">
        <v>2073</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2067</v>
      </c>
      <c r="B19" s="1960"/>
      <c r="C19" s="1960"/>
      <c r="D19" s="1960"/>
      <c r="E19" s="1960"/>
      <c r="F19" s="1960"/>
      <c r="G19" s="1960"/>
      <c r="H19" s="1940"/>
      <c r="I19" s="30"/>
      <c r="J19" s="99"/>
      <c r="K19" s="40"/>
      <c r="L19" s="38"/>
      <c r="M19" s="112" t="s">
        <v>315</v>
      </c>
      <c r="P19" s="27"/>
      <c r="Q19" s="27"/>
      <c r="R19" s="27"/>
      <c r="S19" s="31"/>
      <c r="T19" s="2014" t="s">
        <v>2074</v>
      </c>
      <c r="U19" s="1939"/>
      <c r="V19" s="1939"/>
      <c r="W19" s="1940"/>
      <c r="X19" s="2029" t="s">
        <v>2075</v>
      </c>
      <c r="Y19" s="2030"/>
      <c r="Z19" s="2027">
        <v>61832</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2068</v>
      </c>
      <c r="B21" s="1939"/>
      <c r="C21" s="1939"/>
      <c r="D21" s="1939"/>
      <c r="E21" s="1939"/>
      <c r="F21" s="1939"/>
      <c r="G21" s="1939"/>
      <c r="H21" s="1940"/>
      <c r="I21" s="1994" t="s">
        <v>678</v>
      </c>
      <c r="J21" s="1989"/>
      <c r="K21" s="1989"/>
      <c r="L21" s="1989"/>
      <c r="M21" s="1989"/>
      <c r="N21" s="1989"/>
      <c r="O21" s="1989"/>
      <c r="P21" s="1989"/>
      <c r="Q21" s="1989"/>
      <c r="R21" s="1989"/>
      <c r="S21" s="1995"/>
      <c r="T21" s="2038" t="s">
        <v>2076</v>
      </c>
      <c r="U21" s="2039"/>
      <c r="V21" s="2039"/>
      <c r="W21" s="2039"/>
      <c r="X21" s="2044" t="s">
        <v>2077</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c r="B23" s="1992"/>
      <c r="C23" s="1992"/>
      <c r="D23" s="1992"/>
      <c r="E23" s="1992"/>
      <c r="F23" s="1992"/>
      <c r="G23" s="1992"/>
      <c r="H23" s="1993"/>
      <c r="T23" s="1974" t="s">
        <v>2078</v>
      </c>
      <c r="U23" s="2037"/>
      <c r="V23" s="2037"/>
      <c r="W23" s="2037"/>
      <c r="X23" s="2041">
        <v>44469</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61865</v>
      </c>
      <c r="B25" s="1939"/>
      <c r="C25" s="1939"/>
      <c r="D25" s="1939"/>
      <c r="E25" s="1939"/>
      <c r="F25" s="1939"/>
      <c r="G25" s="1939"/>
      <c r="H25" s="1940"/>
      <c r="I25" s="113"/>
      <c r="J25" s="1963"/>
      <c r="K25" s="1963"/>
      <c r="L25" s="1963"/>
      <c r="M25" s="1963"/>
      <c r="N25" s="1963"/>
      <c r="O25" s="1963"/>
      <c r="P25" s="1963"/>
      <c r="Q25" s="1963"/>
      <c r="R25" s="1963"/>
      <c r="S25" s="1964"/>
      <c r="T25" s="2034" t="s">
        <v>2079</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2069</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2070</v>
      </c>
      <c r="B42" s="1958"/>
      <c r="C42" s="1959"/>
      <c r="D42" s="1957"/>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E5" sqref="E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1950</v>
      </c>
      <c r="C2" s="714" t="s">
        <v>1951</v>
      </c>
      <c r="D2" s="714" t="s">
        <v>1952</v>
      </c>
      <c r="E2" s="714" t="s">
        <v>1953</v>
      </c>
      <c r="F2" s="714" t="s">
        <v>1954</v>
      </c>
    </row>
    <row r="3" spans="1:6" ht="12" customHeight="1" x14ac:dyDescent="0.2">
      <c r="A3" s="2181"/>
      <c r="B3" s="1525"/>
      <c r="C3" s="1526"/>
      <c r="D3" s="1527" t="s">
        <v>256</v>
      </c>
      <c r="E3" s="1526"/>
      <c r="F3" s="1527" t="s">
        <v>257</v>
      </c>
    </row>
    <row r="4" spans="1:6" ht="13.7" customHeight="1" x14ac:dyDescent="0.2">
      <c r="A4" s="715" t="s">
        <v>1155</v>
      </c>
      <c r="B4" s="1749">
        <f>'Revenues 9-14'!C5</f>
        <v>562891</v>
      </c>
      <c r="C4" s="1524"/>
      <c r="D4" s="1752">
        <f>B4-C4</f>
        <v>562891</v>
      </c>
      <c r="E4" s="1524">
        <v>598854</v>
      </c>
      <c r="F4" s="1752">
        <f>E4-C4</f>
        <v>598854</v>
      </c>
    </row>
    <row r="5" spans="1:6" ht="13.7" customHeight="1" x14ac:dyDescent="0.2">
      <c r="A5" s="715" t="s">
        <v>870</v>
      </c>
      <c r="B5" s="1750">
        <f>'Revenues 9-14'!D5</f>
        <v>104239</v>
      </c>
      <c r="C5" s="585"/>
      <c r="D5" s="1753">
        <f t="shared" ref="D5:D18" si="0">B5-C5</f>
        <v>104239</v>
      </c>
      <c r="E5" s="585">
        <v>110898</v>
      </c>
      <c r="F5" s="1753">
        <f>E5-C5</f>
        <v>110898</v>
      </c>
    </row>
    <row r="6" spans="1:6" ht="13.7" customHeight="1" x14ac:dyDescent="0.2">
      <c r="A6" s="715" t="s">
        <v>411</v>
      </c>
      <c r="B6" s="1750">
        <f>'Revenues 9-14'!E5</f>
        <v>125204</v>
      </c>
      <c r="C6" s="585"/>
      <c r="D6" s="1753">
        <f t="shared" si="0"/>
        <v>125204</v>
      </c>
      <c r="E6" s="585">
        <v>121043</v>
      </c>
      <c r="F6" s="1753">
        <f t="shared" ref="F6:F18" si="1">E6-C6</f>
        <v>121043</v>
      </c>
    </row>
    <row r="7" spans="1:6" ht="13.7" customHeight="1" x14ac:dyDescent="0.2">
      <c r="A7" s="715" t="s">
        <v>155</v>
      </c>
      <c r="B7" s="1750">
        <f>'Revenues 9-14'!F5</f>
        <v>41696</v>
      </c>
      <c r="C7" s="585"/>
      <c r="D7" s="1753">
        <f t="shared" si="0"/>
        <v>41696</v>
      </c>
      <c r="E7" s="585">
        <v>44360</v>
      </c>
      <c r="F7" s="1753">
        <f t="shared" si="1"/>
        <v>44360</v>
      </c>
    </row>
    <row r="8" spans="1:6" ht="13.7" customHeight="1" x14ac:dyDescent="0.2">
      <c r="A8" s="715" t="s">
        <v>1179</v>
      </c>
      <c r="B8" s="1750">
        <f>'Revenues 9-14'!G5</f>
        <v>25863</v>
      </c>
      <c r="C8" s="585"/>
      <c r="D8" s="1753">
        <f t="shared" si="0"/>
        <v>25863</v>
      </c>
      <c r="E8" s="585">
        <v>26501</v>
      </c>
      <c r="F8" s="1753">
        <f t="shared" si="1"/>
        <v>26501</v>
      </c>
    </row>
    <row r="9" spans="1:6" ht="13.7" customHeight="1" x14ac:dyDescent="0.2">
      <c r="A9" s="715" t="s">
        <v>408</v>
      </c>
      <c r="B9" s="1750">
        <f>'Revenues 9-14'!H5</f>
        <v>10421</v>
      </c>
      <c r="C9" s="585"/>
      <c r="D9" s="1753">
        <f t="shared" si="0"/>
        <v>10421</v>
      </c>
      <c r="E9" s="585">
        <v>11090</v>
      </c>
      <c r="F9" s="1753">
        <f t="shared" si="1"/>
        <v>11090</v>
      </c>
    </row>
    <row r="10" spans="1:6" ht="13.7" customHeight="1" x14ac:dyDescent="0.2">
      <c r="A10" s="715" t="s">
        <v>407</v>
      </c>
      <c r="B10" s="1750">
        <f>'Revenues 9-14'!I5</f>
        <v>10424</v>
      </c>
      <c r="C10" s="585"/>
      <c r="D10" s="1753">
        <f t="shared" si="0"/>
        <v>10424</v>
      </c>
      <c r="E10" s="585">
        <v>11037</v>
      </c>
      <c r="F10" s="1753">
        <f t="shared" si="1"/>
        <v>11037</v>
      </c>
    </row>
    <row r="11" spans="1:6" x14ac:dyDescent="0.2">
      <c r="A11" s="715" t="s">
        <v>409</v>
      </c>
      <c r="B11" s="1750">
        <f>'Revenues 9-14'!J5</f>
        <v>99462</v>
      </c>
      <c r="C11" s="585"/>
      <c r="D11" s="1753">
        <f t="shared" si="0"/>
        <v>99462</v>
      </c>
      <c r="E11" s="585">
        <v>100500</v>
      </c>
      <c r="F11" s="1753">
        <f t="shared" si="1"/>
        <v>100500</v>
      </c>
    </row>
    <row r="12" spans="1:6" ht="13.7" customHeight="1" x14ac:dyDescent="0.2">
      <c r="A12" s="715" t="s">
        <v>157</v>
      </c>
      <c r="B12" s="1750">
        <f>'Revenues 9-14'!K5</f>
        <v>10424</v>
      </c>
      <c r="C12" s="585"/>
      <c r="D12" s="1753">
        <f t="shared" si="0"/>
        <v>10424</v>
      </c>
      <c r="E12" s="585">
        <v>11090</v>
      </c>
      <c r="F12" s="1753">
        <f t="shared" si="1"/>
        <v>11090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8339</v>
      </c>
      <c r="C14" s="585"/>
      <c r="D14" s="1753">
        <f t="shared" si="0"/>
        <v>8339</v>
      </c>
      <c r="E14" s="585">
        <v>8874</v>
      </c>
      <c r="F14" s="1753">
        <f t="shared" si="1"/>
        <v>8874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32491</v>
      </c>
      <c r="C16" s="585"/>
      <c r="D16" s="1753">
        <f t="shared" si="0"/>
        <v>32491</v>
      </c>
      <c r="E16" s="585">
        <v>33001</v>
      </c>
      <c r="F16" s="1753">
        <f t="shared" si="1"/>
        <v>33001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1031454</v>
      </c>
      <c r="C19" s="1751">
        <f>SUM(C4:C18)</f>
        <v>0</v>
      </c>
      <c r="D19" s="1751">
        <f>SUM(D4:D18)</f>
        <v>1031454</v>
      </c>
      <c r="E19" s="1751">
        <f>SUM(E4:E18)</f>
        <v>1077248</v>
      </c>
      <c r="F19" s="1751">
        <f>SUM(F4:F18)</f>
        <v>1077248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5" sqref="J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1955</v>
      </c>
      <c r="D2" s="723" t="s">
        <v>1956</v>
      </c>
      <c r="E2" s="723" t="s">
        <v>1957</v>
      </c>
      <c r="F2" s="1884" t="s">
        <v>1958</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2080</v>
      </c>
      <c r="B31" s="733">
        <v>42405</v>
      </c>
      <c r="C31" s="734">
        <v>265000</v>
      </c>
      <c r="D31" s="735">
        <v>1</v>
      </c>
      <c r="E31" s="734">
        <v>170000</v>
      </c>
      <c r="F31" s="734"/>
      <c r="G31" s="734"/>
      <c r="H31" s="734">
        <v>55000</v>
      </c>
      <c r="I31" s="1756">
        <f>((E31+F31)-H31)+G31</f>
        <v>115000</v>
      </c>
      <c r="J31" s="734">
        <v>115000</v>
      </c>
      <c r="K31" s="736"/>
    </row>
    <row r="32" spans="1:11" ht="12" customHeight="1" x14ac:dyDescent="0.2">
      <c r="A32" s="732" t="s">
        <v>2081</v>
      </c>
      <c r="B32" s="733">
        <v>41395</v>
      </c>
      <c r="C32" s="734">
        <v>40000</v>
      </c>
      <c r="D32" s="735">
        <v>4</v>
      </c>
      <c r="E32" s="734">
        <v>40000</v>
      </c>
      <c r="F32" s="734"/>
      <c r="G32" s="734"/>
      <c r="H32" s="734"/>
      <c r="I32" s="1756">
        <f>((E32+F32)-H32)+G32</f>
        <v>40000</v>
      </c>
      <c r="J32" s="734">
        <v>40000</v>
      </c>
      <c r="K32" s="736"/>
    </row>
    <row r="33" spans="1:11" ht="12" customHeight="1" x14ac:dyDescent="0.2">
      <c r="A33" s="732" t="s">
        <v>2082</v>
      </c>
      <c r="B33" s="733">
        <v>40238</v>
      </c>
      <c r="C33" s="734">
        <v>200000</v>
      </c>
      <c r="D33" s="735">
        <v>1</v>
      </c>
      <c r="E33" s="734">
        <v>140000</v>
      </c>
      <c r="F33" s="734"/>
      <c r="G33" s="734"/>
      <c r="H33" s="734">
        <v>10000</v>
      </c>
      <c r="I33" s="1756">
        <f t="shared" ref="I33:I48" si="1">((E33+F33)-H33)+G33</f>
        <v>130000</v>
      </c>
      <c r="J33" s="734">
        <v>130000</v>
      </c>
      <c r="K33" s="736"/>
    </row>
    <row r="34" spans="1:11" ht="12" customHeight="1" x14ac:dyDescent="0.2">
      <c r="A34" s="732" t="s">
        <v>2083</v>
      </c>
      <c r="B34" s="733">
        <v>38991</v>
      </c>
      <c r="C34" s="734">
        <v>400000</v>
      </c>
      <c r="D34" s="735">
        <v>4</v>
      </c>
      <c r="E34" s="734">
        <v>165000</v>
      </c>
      <c r="F34" s="734"/>
      <c r="G34" s="734"/>
      <c r="H34" s="734">
        <v>40000</v>
      </c>
      <c r="I34" s="1756">
        <f t="shared" si="1"/>
        <v>125000</v>
      </c>
      <c r="J34" s="734">
        <v>125000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905000</v>
      </c>
      <c r="D49" s="745"/>
      <c r="E49" s="1756">
        <f t="shared" ref="E49:J49" si="2">SUM(E31:E48)</f>
        <v>515000</v>
      </c>
      <c r="F49" s="1756">
        <f t="shared" si="2"/>
        <v>0</v>
      </c>
      <c r="G49" s="1756">
        <f t="shared" si="2"/>
        <v>0</v>
      </c>
      <c r="H49" s="1756">
        <f t="shared" si="2"/>
        <v>105000</v>
      </c>
      <c r="I49" s="1756">
        <f t="shared" si="2"/>
        <v>410000</v>
      </c>
      <c r="J49" s="1756">
        <f t="shared" si="2"/>
        <v>410000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1963</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1964</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6010</v>
      </c>
      <c r="D5" s="841"/>
      <c r="E5" s="841"/>
      <c r="F5" s="1760">
        <f>(C5+D5)-E5</f>
        <v>6010</v>
      </c>
      <c r="G5" s="837"/>
      <c r="H5" s="842"/>
      <c r="I5" s="842"/>
      <c r="J5" s="842"/>
      <c r="K5" s="793"/>
      <c r="L5" s="1769">
        <f>F5-K5</f>
        <v>6010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521835</v>
      </c>
      <c r="D8" s="844"/>
      <c r="E8" s="844"/>
      <c r="F8" s="1760">
        <f>(C8+D8)-E8</f>
        <v>521835</v>
      </c>
      <c r="G8" s="843">
        <v>50</v>
      </c>
      <c r="H8" s="765">
        <v>217196</v>
      </c>
      <c r="I8" s="765">
        <v>17923</v>
      </c>
      <c r="J8" s="765"/>
      <c r="K8" s="1769">
        <f>(H8+I8)-J8</f>
        <v>235119</v>
      </c>
      <c r="L8" s="1769">
        <f>F8-K8</f>
        <v>286716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735960</v>
      </c>
      <c r="D10" s="846"/>
      <c r="E10" s="846"/>
      <c r="F10" s="1764">
        <f>(C10+D10)-E10</f>
        <v>735960</v>
      </c>
      <c r="G10" s="843">
        <v>20</v>
      </c>
      <c r="H10" s="847">
        <v>434198</v>
      </c>
      <c r="I10" s="847">
        <v>34539</v>
      </c>
      <c r="J10" s="847"/>
      <c r="K10" s="1769">
        <f>(H10+I10)-J10</f>
        <v>468737</v>
      </c>
      <c r="L10" s="1769">
        <f>F10-K10</f>
        <v>267223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4286</v>
      </c>
      <c r="D12" s="844"/>
      <c r="E12" s="844"/>
      <c r="F12" s="1760">
        <f>(C12+D12)-E12</f>
        <v>4286</v>
      </c>
      <c r="G12" s="843">
        <v>10</v>
      </c>
      <c r="H12" s="765">
        <v>4286</v>
      </c>
      <c r="I12" s="765"/>
      <c r="J12" s="765"/>
      <c r="K12" s="1769">
        <f>(H12+I12)-J12</f>
        <v>4286</v>
      </c>
      <c r="L12" s="1769">
        <f>F12-K12</f>
        <v>0</v>
      </c>
    </row>
    <row r="13" spans="1:14" ht="14.25" thickTop="1" thickBot="1" x14ac:dyDescent="0.25">
      <c r="A13" s="848" t="s">
        <v>1122</v>
      </c>
      <c r="B13" s="840">
        <v>252</v>
      </c>
      <c r="C13" s="844">
        <v>105325</v>
      </c>
      <c r="D13" s="844"/>
      <c r="E13" s="844"/>
      <c r="F13" s="1760">
        <f>(C13+D13)-E13</f>
        <v>105325</v>
      </c>
      <c r="G13" s="843">
        <v>5</v>
      </c>
      <c r="H13" s="765">
        <v>105325</v>
      </c>
      <c r="I13" s="765"/>
      <c r="J13" s="765"/>
      <c r="K13" s="1769">
        <f>(H13+I13)-J13</f>
        <v>105325</v>
      </c>
      <c r="L13" s="1769">
        <f>F13-K13</f>
        <v>0</v>
      </c>
    </row>
    <row r="14" spans="1:14" ht="14.25" thickTop="1" thickBot="1" x14ac:dyDescent="0.25">
      <c r="A14" s="848" t="s">
        <v>1123</v>
      </c>
      <c r="B14" s="840">
        <v>253</v>
      </c>
      <c r="C14" s="765">
        <v>76606</v>
      </c>
      <c r="D14" s="765"/>
      <c r="E14" s="765"/>
      <c r="F14" s="1760">
        <f>(C14+D14)-E14</f>
        <v>76606</v>
      </c>
      <c r="G14" s="843">
        <v>3</v>
      </c>
      <c r="H14" s="765">
        <v>48999</v>
      </c>
      <c r="I14" s="765">
        <v>6827</v>
      </c>
      <c r="J14" s="765"/>
      <c r="K14" s="1769">
        <f>(H14+I14)-J14</f>
        <v>55826</v>
      </c>
      <c r="L14" s="1769">
        <f>F14-K14</f>
        <v>20780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1450022</v>
      </c>
      <c r="D16" s="1760">
        <f>SUM(D3,D5:D6,D8:D10,D12:D15)</f>
        <v>0</v>
      </c>
      <c r="E16" s="1760">
        <f>SUM(E3,E5:E6,E8:E10,E12:E15)</f>
        <v>0</v>
      </c>
      <c r="F16" s="1760">
        <f>SUM(F3,F5:F6,F8:F10,F12:F15)</f>
        <v>1450022</v>
      </c>
      <c r="G16" s="843"/>
      <c r="H16" s="1760">
        <f>SUM(H3,H6,H8:H10,H12:H14,)</f>
        <v>810004</v>
      </c>
      <c r="I16" s="1760">
        <f>SUM(I3,I6,I8:I10,I12:I14,)</f>
        <v>59289</v>
      </c>
      <c r="J16" s="1760">
        <f>SUM(J3,J6,J8:J10,J12:J14,)</f>
        <v>0</v>
      </c>
      <c r="K16" s="1760">
        <f>(H16+I16)-J16</f>
        <v>869293</v>
      </c>
      <c r="L16" s="1760">
        <f>F16-K16</f>
        <v>580729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4548</v>
      </c>
      <c r="G17" s="837">
        <v>10</v>
      </c>
      <c r="H17" s="769"/>
      <c r="I17" s="1769">
        <f>F17/G17</f>
        <v>454.8</v>
      </c>
      <c r="J17" s="769"/>
      <c r="K17" s="795"/>
      <c r="L17" s="795"/>
    </row>
    <row r="18" spans="1:12" ht="14.25" thickTop="1" thickBot="1" x14ac:dyDescent="0.25">
      <c r="A18" s="1767" t="s">
        <v>685</v>
      </c>
      <c r="B18" s="1768"/>
      <c r="C18" s="771"/>
      <c r="D18" s="771"/>
      <c r="E18" s="771"/>
      <c r="F18" s="850"/>
      <c r="G18" s="851"/>
      <c r="H18" s="773"/>
      <c r="I18" s="1760">
        <f>SUM(I16,I17)</f>
        <v>59743.8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1974</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1767038</v>
      </c>
      <c r="G8" s="865"/>
    </row>
    <row r="9" spans="1:7" x14ac:dyDescent="0.2">
      <c r="A9" s="869" t="s">
        <v>460</v>
      </c>
      <c r="B9" s="870" t="s">
        <v>1876</v>
      </c>
      <c r="C9" s="871"/>
      <c r="D9" s="869" t="s">
        <v>501</v>
      </c>
      <c r="E9" s="868"/>
      <c r="F9" s="1909">
        <f>'Expenditures 15-22'!K151</f>
        <v>70464</v>
      </c>
      <c r="G9" s="872"/>
    </row>
    <row r="10" spans="1:7" x14ac:dyDescent="0.2">
      <c r="A10" s="869" t="s">
        <v>499</v>
      </c>
      <c r="B10" s="870" t="s">
        <v>1877</v>
      </c>
      <c r="C10" s="871"/>
      <c r="D10" s="869" t="s">
        <v>501</v>
      </c>
      <c r="E10" s="868"/>
      <c r="F10" s="1909">
        <f>'Expenditures 15-22'!K174</f>
        <v>127781</v>
      </c>
      <c r="G10" s="872"/>
    </row>
    <row r="11" spans="1:7" x14ac:dyDescent="0.2">
      <c r="A11" s="869" t="s">
        <v>461</v>
      </c>
      <c r="B11" s="870" t="s">
        <v>1878</v>
      </c>
      <c r="C11" s="871"/>
      <c r="D11" s="869" t="s">
        <v>501</v>
      </c>
      <c r="E11" s="868"/>
      <c r="F11" s="1909">
        <f>'Expenditures 15-22'!K210</f>
        <v>91370</v>
      </c>
      <c r="G11" s="872"/>
    </row>
    <row r="12" spans="1:7" x14ac:dyDescent="0.2">
      <c r="A12" s="869" t="s">
        <v>462</v>
      </c>
      <c r="B12" s="870" t="s">
        <v>1879</v>
      </c>
      <c r="C12" s="871"/>
      <c r="D12" s="869" t="s">
        <v>501</v>
      </c>
      <c r="E12" s="868"/>
      <c r="F12" s="1909">
        <f>'Expenditures 15-22'!K295</f>
        <v>42600</v>
      </c>
      <c r="G12" s="872"/>
    </row>
    <row r="13" spans="1:7" x14ac:dyDescent="0.2">
      <c r="A13" s="869" t="s">
        <v>106</v>
      </c>
      <c r="B13" s="870" t="s">
        <v>1880</v>
      </c>
      <c r="C13" s="871"/>
      <c r="D13" s="869" t="s">
        <v>501</v>
      </c>
      <c r="E13" s="868"/>
      <c r="F13" s="1909">
        <f>'Expenditures 15-22'!K342</f>
        <v>114167</v>
      </c>
      <c r="G13" s="873"/>
    </row>
    <row r="14" spans="1:7" ht="12" customHeight="1" thickBot="1" x14ac:dyDescent="0.25">
      <c r="A14" s="1770"/>
      <c r="B14" s="1771"/>
      <c r="C14" s="1772"/>
      <c r="D14" s="1773" t="s">
        <v>501</v>
      </c>
      <c r="E14" s="1774" t="s">
        <v>958</v>
      </c>
      <c r="F14" s="1775">
        <f>SUM(F8:F13)</f>
        <v>2213420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27772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44403</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23750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561271</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125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4423</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105000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1562</v>
      </c>
      <c r="G67" s="865"/>
    </row>
    <row r="68" spans="1:8" x14ac:dyDescent="0.2">
      <c r="A68" s="869" t="s">
        <v>462</v>
      </c>
      <c r="B68" s="869" t="s">
        <v>1479</v>
      </c>
      <c r="C68" s="886" t="str">
        <f>'Expenditures 15-22'!B218</f>
        <v>1225</v>
      </c>
      <c r="D68" s="892" t="str">
        <f>'Expenditures 15-22'!A218</f>
        <v>Special Education Programs - Pre-K</v>
      </c>
      <c r="E68" s="868"/>
      <c r="F68" s="1913">
        <f>'Expenditures 15-22'!K218</f>
        <v>423</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768729</v>
      </c>
      <c r="G76" s="865"/>
    </row>
    <row r="77" spans="1:8" s="893" customFormat="1" ht="12" customHeight="1" thickTop="1" thickBot="1" x14ac:dyDescent="0.25">
      <c r="A77" s="1779"/>
      <c r="B77" s="1776"/>
      <c r="C77" s="1772"/>
      <c r="D77" s="1777" t="s">
        <v>1899</v>
      </c>
      <c r="E77" s="1774"/>
      <c r="F77" s="1780">
        <f>(F14-F76)</f>
        <v>1444691</v>
      </c>
      <c r="G77" s="869"/>
    </row>
    <row r="78" spans="1:8" s="893" customFormat="1" ht="12" customHeight="1" thickTop="1" x14ac:dyDescent="0.2">
      <c r="A78" s="1781"/>
      <c r="B78" s="1776"/>
      <c r="C78" s="1772"/>
      <c r="D78" s="1777" t="s">
        <v>2061</v>
      </c>
      <c r="E78" s="1774"/>
      <c r="F78" s="898">
        <v>145.1</v>
      </c>
      <c r="G78" s="899"/>
      <c r="H78" s="869"/>
    </row>
    <row r="79" spans="1:8" s="893" customFormat="1" ht="12" customHeight="1" thickBot="1" x14ac:dyDescent="0.25">
      <c r="A79" s="1782"/>
      <c r="B79" s="1776"/>
      <c r="C79" s="1772"/>
      <c r="D79" s="1777" t="s">
        <v>1900</v>
      </c>
      <c r="E79" s="1774" t="s">
        <v>958</v>
      </c>
      <c r="F79" s="1783">
        <f>IF(F78&gt;0,F77/F78," Complete Line 78")</f>
        <v>9956.5196416264644</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25408</v>
      </c>
      <c r="G94" s="912"/>
    </row>
    <row r="95" spans="1:7" x14ac:dyDescent="0.2">
      <c r="A95" s="908" t="s">
        <v>140</v>
      </c>
      <c r="B95" s="908" t="s">
        <v>175</v>
      </c>
      <c r="C95" s="910">
        <v>1700</v>
      </c>
      <c r="D95" s="918" t="str">
        <f>'Revenues 9-14'!A82</f>
        <v>Total District/School Activity Income</v>
      </c>
      <c r="E95" s="906"/>
      <c r="F95" s="1789">
        <f>SUM('Revenues 9-14'!C82,'Revenues 9-14'!D82)</f>
        <v>4773</v>
      </c>
      <c r="G95" s="912"/>
    </row>
    <row r="96" spans="1:7" x14ac:dyDescent="0.2">
      <c r="A96" s="908" t="s">
        <v>459</v>
      </c>
      <c r="B96" s="908" t="s">
        <v>176</v>
      </c>
      <c r="C96" s="910">
        <f>'Revenues 9-14'!B84</f>
        <v>1811</v>
      </c>
      <c r="D96" s="911" t="str">
        <f>'Revenues 9-14'!A84</f>
        <v>Rentals - Regular Textbooks</v>
      </c>
      <c r="E96" s="906"/>
      <c r="F96" s="1789">
        <f>'Revenues 9-14'!C84</f>
        <v>2790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270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50488</v>
      </c>
      <c r="G103" s="912"/>
    </row>
    <row r="104" spans="1:7" x14ac:dyDescent="0.2">
      <c r="A104" s="908" t="s">
        <v>459</v>
      </c>
      <c r="B104" s="908" t="s">
        <v>808</v>
      </c>
      <c r="C104" s="910">
        <f>'Revenues 9-14'!B106</f>
        <v>1993</v>
      </c>
      <c r="D104" s="911" t="str">
        <f>'Revenues 9-14'!A106</f>
        <v>Other Local Fees (Describe &amp; Itemize)</v>
      </c>
      <c r="E104" s="906"/>
      <c r="F104" s="1789">
        <f>('Revenues 9-14'!C106)</f>
        <v>21</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773</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27411</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43615</v>
      </c>
      <c r="G125" s="930"/>
    </row>
    <row r="126" spans="1:7" x14ac:dyDescent="0.2">
      <c r="A126" s="927" t="s">
        <v>668</v>
      </c>
      <c r="B126" s="927" t="s">
        <v>2023</v>
      </c>
      <c r="C126" s="932">
        <v>4300</v>
      </c>
      <c r="D126" s="933" t="str">
        <f>'Revenues 9-14'!A204</f>
        <v>Total Title I</v>
      </c>
      <c r="E126" s="906"/>
      <c r="F126" s="1789">
        <f>SUM('Revenues 9-14'!C204,'Revenues 9-14'!D204,'Revenues 9-14'!F204,'Revenues 9-14'!G204)</f>
        <v>40608</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4793</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3869</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204819</v>
      </c>
    </row>
    <row r="175" spans="1:7" ht="12" customHeight="1" x14ac:dyDescent="0.2">
      <c r="A175" s="1770"/>
      <c r="B175" s="1784"/>
      <c r="C175" s="1785"/>
      <c r="D175" s="1786" t="s">
        <v>2056</v>
      </c>
      <c r="E175" s="1787"/>
      <c r="F175" s="1789">
        <f>'PCTC-OEPP 27-28'!F77-F174</f>
        <v>1239872</v>
      </c>
    </row>
    <row r="176" spans="1:7" ht="12" customHeight="1" x14ac:dyDescent="0.2">
      <c r="A176" s="1770"/>
      <c r="B176" s="1784"/>
      <c r="C176" s="1785"/>
      <c r="D176" s="1786" t="s">
        <v>1817</v>
      </c>
      <c r="E176" s="1787"/>
      <c r="F176" s="1789">
        <f>'Cap Outlay Deprec 26'!I18</f>
        <v>59743.8</v>
      </c>
    </row>
    <row r="177" spans="1:7" ht="12" customHeight="1" x14ac:dyDescent="0.2">
      <c r="A177" s="1770"/>
      <c r="B177" s="1784"/>
      <c r="C177" s="1785"/>
      <c r="D177" s="1786" t="s">
        <v>2057</v>
      </c>
      <c r="E177" s="1787"/>
      <c r="F177" s="1789">
        <f>F175+F176</f>
        <v>1299615.8</v>
      </c>
    </row>
    <row r="178" spans="1:7" ht="12" customHeight="1" x14ac:dyDescent="0.2">
      <c r="A178" s="1770"/>
      <c r="B178" s="1790"/>
      <c r="C178" s="1785"/>
      <c r="D178" s="1786" t="str">
        <f>D78</f>
        <v>9 Month ADA from District Average Daily Attendance/Prior General State Aid Inquiry 2018-2019</v>
      </c>
      <c r="E178" s="1787"/>
      <c r="F178" s="1791">
        <f>'PCTC-OEPP 27-28'!F78</f>
        <v>145.1</v>
      </c>
      <c r="G178" s="930"/>
    </row>
    <row r="179" spans="1:7" ht="12" customHeight="1" thickBot="1" x14ac:dyDescent="0.25">
      <c r="A179" s="1770"/>
      <c r="B179" s="1790"/>
      <c r="C179" s="1785"/>
      <c r="D179" s="1786" t="s">
        <v>2058</v>
      </c>
      <c r="E179" s="1787" t="s">
        <v>1545</v>
      </c>
      <c r="F179" s="1792">
        <f>F177/F178</f>
        <v>8956.6905582356994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1933</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1975</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2084</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4" t="s">
        <v>1976</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790023</v>
      </c>
      <c r="F19" s="1799"/>
      <c r="G19" s="1801">
        <f>'Expenditures 15-22'!K33-SUM('Expenditures 15-22'!G33,'Expenditures 15-22'!I33)+'Expenditures 15-22'!D229</f>
        <v>790023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16094</v>
      </c>
      <c r="F21" s="1802"/>
      <c r="G21" s="1805">
        <f>'Expenditures 15-22'!K42-SUM('Expenditures 15-22'!G42,'Expenditures 15-22'!I42)+'Expenditures 15-22'!K120-SUM('Expenditures 15-22'!G120,'Expenditures 15-22'!I120)+'Expenditures 15-22'!K180-SUM('Expenditures 15-22'!G180,'Expenditures 15-22'!I180)+'Expenditures 15-22'!D238</f>
        <v>16094</v>
      </c>
      <c r="H21" s="987"/>
      <c r="I21" s="162"/>
    </row>
    <row r="22" spans="1:9" s="668" customFormat="1" ht="12" customHeight="1" x14ac:dyDescent="0.2">
      <c r="A22" s="994" t="s">
        <v>564</v>
      </c>
      <c r="B22" s="995"/>
      <c r="C22" s="993">
        <v>2200</v>
      </c>
      <c r="D22" s="1802"/>
      <c r="E22" s="1804">
        <f>'Expenditures 15-22'!K47-SUM('Expenditures 15-22'!G47,'Expenditures 15-22'!I47)+'Expenditures 15-22'!D243</f>
        <v>42509</v>
      </c>
      <c r="F22" s="1802"/>
      <c r="G22" s="1805">
        <f>'Expenditures 15-22'!K47-SUM('Expenditures 15-22'!G47,'Expenditures 15-22'!I47)+'Expenditures 15-22'!D243</f>
        <v>42509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231139</v>
      </c>
      <c r="F23" s="1802"/>
      <c r="G23" s="1804">
        <f>'Expenditures 15-22'!K53-SUM('Expenditures 15-22'!G53,'Expenditures 15-22'!I53)+'Expenditures 15-22'!D257+'Expenditures 15-22'!K330-SUM('Expenditures 15-22'!G330,'Expenditures 15-22'!I330)</f>
        <v>231139</v>
      </c>
      <c r="H23" s="987"/>
      <c r="I23" s="162"/>
    </row>
    <row r="24" spans="1:9" s="668" customFormat="1" ht="12" customHeight="1" x14ac:dyDescent="0.2">
      <c r="A24" s="994" t="s">
        <v>566</v>
      </c>
      <c r="B24" s="995"/>
      <c r="C24" s="993">
        <v>2400</v>
      </c>
      <c r="D24" s="1802"/>
      <c r="E24" s="1804">
        <f>'Expenditures 15-22'!K57-SUM('Expenditures 15-22'!G57,'Expenditures 15-22'!I57)+'Expenditures 15-22'!D261</f>
        <v>76265</v>
      </c>
      <c r="F24" s="1802"/>
      <c r="G24" s="1805">
        <f>'Expenditures 15-22'!K57-SUM('Expenditures 15-22'!G57,'Expenditures 15-22'!I57)+'Expenditures 15-22'!D261</f>
        <v>76265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57047</v>
      </c>
      <c r="E27" s="1804">
        <f>E8</f>
        <v>0</v>
      </c>
      <c r="F27" s="1804">
        <f>'Expenditures 15-22'!K60-SUM('Expenditures 15-22'!G60,'Expenditures 15-22'!I60)+'Expenditures 15-22'!D264-E8</f>
        <v>57047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95428</v>
      </c>
      <c r="F28" s="1806">
        <f>'Expenditures 15-22'!K61-SUM('Expenditures 15-22'!G61,'Expenditures 15-22'!I61)+'Expenditures 15-22'!K124-SUM('Expenditures 15-22'!G124,'Expenditures 15-22'!I124)+'Expenditures 15-22'!D266-E9</f>
        <v>95428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94540</v>
      </c>
      <c r="F29" s="1802"/>
      <c r="G29" s="1805">
        <f>'Expenditures 15-22'!K62-SUM('Expenditures 15-22'!G62,'Expenditures 15-22'!I62)+'Expenditures 15-22'!K125-SUM('Expenditures 15-22'!G125,'Expenditures 15-22'!I125)+'Expenditures 15-22'!K182-SUM('Expenditures 15-22'!G182,'Expenditures 15-22'!I182)+'Expenditures 15-22'!D267</f>
        <v>94540</v>
      </c>
      <c r="H29" s="985"/>
    </row>
    <row r="30" spans="1:9" ht="12" customHeight="1" x14ac:dyDescent="0.2">
      <c r="A30" s="994" t="s">
        <v>100</v>
      </c>
      <c r="B30" s="997"/>
      <c r="C30" s="993">
        <v>2560</v>
      </c>
      <c r="D30" s="1802"/>
      <c r="E30" s="1804">
        <f>'Expenditures 15-22'!K63-SUM('Expenditures 15-22'!G63,'Expenditures 15-22'!I63)+'Expenditures 15-22'!D268-E10</f>
        <v>116775</v>
      </c>
      <c r="F30" s="1802"/>
      <c r="G30" s="1804">
        <f>'Expenditures 15-22'!K63-SUM('Expenditures 15-22'!G63,'Expenditures 15-22'!I63)+'Expenditures 15-22'!D268-E10</f>
        <v>116775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57047</v>
      </c>
      <c r="E41" s="1806">
        <f>SUM(E19:E40)</f>
        <v>1462773</v>
      </c>
      <c r="F41" s="1806">
        <f>SUM(F19:F39)</f>
        <v>152475</v>
      </c>
      <c r="G41" s="1806">
        <f>SUM(G19:G40)</f>
        <v>1367345</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57047</v>
      </c>
      <c r="F43" s="1807" t="s">
        <v>473</v>
      </c>
      <c r="G43" s="1808">
        <f>F41</f>
        <v>152475</v>
      </c>
    </row>
    <row r="44" spans="1:7" ht="12" customHeight="1" x14ac:dyDescent="0.2">
      <c r="A44" s="987"/>
      <c r="B44" s="162"/>
      <c r="C44" s="1001"/>
      <c r="D44" s="1807" t="s">
        <v>474</v>
      </c>
      <c r="E44" s="1808">
        <f>E41</f>
        <v>1462773</v>
      </c>
      <c r="F44" s="1807" t="s">
        <v>474</v>
      </c>
      <c r="G44" s="1808">
        <f>G41</f>
        <v>1367345</v>
      </c>
    </row>
    <row r="45" spans="1:7" ht="12" customHeight="1" x14ac:dyDescent="0.2">
      <c r="A45" s="987"/>
      <c r="B45" s="162"/>
      <c r="C45" s="162"/>
      <c r="D45" s="1809" t="s">
        <v>1006</v>
      </c>
      <c r="E45" s="1810">
        <f>(E43/E44)</f>
        <v>3.8999215872866123E-2</v>
      </c>
      <c r="F45" s="1809" t="s">
        <v>1006</v>
      </c>
      <c r="G45" s="1810">
        <f>(G43/G44)</f>
        <v>0.11151172527781943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C1" zoomScale="110" zoomScaleNormal="110" workbookViewId="0">
      <pane ySplit="4" topLeftCell="A5" activePane="bottomLeft" state="frozen"/>
      <selection activeCell="A47" sqref="A47"/>
      <selection pane="bottomLeft" activeCell="E33" sqref="E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Potomac CUSD 10</v>
      </c>
      <c r="D6" s="2305"/>
      <c r="E6" s="2305"/>
      <c r="F6" s="1852"/>
    </row>
    <row r="7" spans="1:10" ht="11.25" customHeight="1" thickBot="1" x14ac:dyDescent="0.3">
      <c r="A7" s="1850"/>
      <c r="B7" s="1851"/>
      <c r="C7" s="2306">
        <f>COVER!A13</f>
        <v>54092010026</v>
      </c>
      <c r="D7" s="2306"/>
      <c r="E7" s="2306"/>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2085</v>
      </c>
      <c r="D26" s="1865" t="s">
        <v>2085</v>
      </c>
      <c r="E26" s="1868" t="s">
        <v>2086</v>
      </c>
      <c r="F26" s="1867" t="s">
        <v>2087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2085</v>
      </c>
      <c r="D31" s="1865" t="s">
        <v>2085</v>
      </c>
      <c r="E31" s="1868" t="s">
        <v>2086</v>
      </c>
      <c r="F31" s="1867" t="s">
        <v>2088</v>
      </c>
      <c r="H31" s="1878">
        <f t="shared" si="0"/>
        <v>5</v>
      </c>
      <c r="I31" s="1878">
        <f t="shared" si="1"/>
        <v>5</v>
      </c>
      <c r="J31" s="1878">
        <f t="shared" si="2"/>
        <v>0</v>
      </c>
      <c r="L31" s="1869"/>
    </row>
    <row r="32" spans="1:12" ht="12" customHeight="1" x14ac:dyDescent="0.2">
      <c r="A32" s="1863" t="s">
        <v>1540</v>
      </c>
      <c r="B32" s="1864"/>
      <c r="C32" s="1865" t="s">
        <v>2085</v>
      </c>
      <c r="D32" s="1865" t="s">
        <v>2085</v>
      </c>
      <c r="E32" s="1868" t="s">
        <v>2086</v>
      </c>
      <c r="F32" s="1867" t="s">
        <v>2089</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N17" sqref="N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Potomac CUSD 10</v>
      </c>
      <c r="J6" s="2315"/>
      <c r="Q6" s="1664"/>
    </row>
    <row r="7" spans="1:17" x14ac:dyDescent="0.2">
      <c r="A7" s="2316" t="s">
        <v>869</v>
      </c>
      <c r="B7" s="2317"/>
      <c r="C7" s="2317"/>
      <c r="D7" s="2317"/>
      <c r="E7" s="2318"/>
      <c r="F7" s="1017"/>
      <c r="G7" s="1009"/>
      <c r="H7" s="1016" t="s">
        <v>372</v>
      </c>
      <c r="I7" s="2319">
        <f>COVER!A13</f>
        <v>54092010026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68637</v>
      </c>
      <c r="F12" s="1039"/>
      <c r="G12" s="1811">
        <f t="shared" ref="G12:G18" si="0">SUM(E12:F12)</f>
        <v>68637</v>
      </c>
      <c r="H12" s="1040">
        <v>63300</v>
      </c>
      <c r="I12" s="1039"/>
      <c r="J12" s="1811">
        <f t="shared" ref="J12:J18" si="1">SUM(H12:I12)</f>
        <v>63300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68637</v>
      </c>
      <c r="F19" s="1813">
        <f t="shared" si="2"/>
        <v>0</v>
      </c>
      <c r="G19" s="1813">
        <f t="shared" si="2"/>
        <v>68637</v>
      </c>
      <c r="H19" s="1813">
        <f t="shared" si="2"/>
        <v>63300</v>
      </c>
      <c r="I19" s="1813">
        <f t="shared" si="2"/>
        <v>0</v>
      </c>
      <c r="J19" s="1813">
        <f t="shared" si="2"/>
        <v>63300</v>
      </c>
    </row>
    <row r="20" spans="1:10" ht="13.5" thickTop="1" x14ac:dyDescent="0.2">
      <c r="A20" s="1035">
        <v>9</v>
      </c>
      <c r="B20" s="2326" t="s">
        <v>1980</v>
      </c>
      <c r="C20" s="2326"/>
      <c r="D20" s="2327"/>
      <c r="E20" s="1046"/>
      <c r="F20" s="1046"/>
      <c r="G20" s="1046"/>
      <c r="H20" s="1046"/>
      <c r="I20" s="1046"/>
      <c r="J20" s="1814">
        <f>IF(AND(G19&gt;0,J19&gt;0),(((J19-G19)/G19)),"Enter Budget Data")</f>
        <v>-7.7756894969185711E-2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1982</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Potomac CUSD 10</v>
      </c>
    </row>
    <row r="65" spans="2:2" x14ac:dyDescent="0.2">
      <c r="B65" s="1070">
        <f>COVER!A13</f>
        <v>54092010026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1986</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1987</v>
      </c>
      <c r="B4" s="2354"/>
      <c r="C4" s="2354"/>
      <c r="D4" s="2354"/>
      <c r="E4" s="2354"/>
      <c r="F4" s="2355"/>
      <c r="G4" s="1074"/>
      <c r="H4" s="1074"/>
    </row>
    <row r="5" spans="1:8" ht="14.25" customHeight="1" x14ac:dyDescent="0.2">
      <c r="A5" s="2356" t="s">
        <v>1983</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1908352</v>
      </c>
      <c r="C8" s="1815">
        <f>'Acct Summary 7-8'!D8</f>
        <v>113097</v>
      </c>
      <c r="D8" s="1815">
        <f>'Acct Summary 7-8'!F8</f>
        <v>70616</v>
      </c>
      <c r="E8" s="1815">
        <f>'Acct Summary 7-8'!I8</f>
        <v>12182</v>
      </c>
      <c r="F8" s="1815">
        <f>SUM(B8:E8)</f>
        <v>2104247</v>
      </c>
    </row>
    <row r="9" spans="1:8" s="1079" customFormat="1" ht="14.25" customHeight="1" thickBot="1" x14ac:dyDescent="0.25">
      <c r="A9" s="1078" t="s">
        <v>1369</v>
      </c>
      <c r="B9" s="1816">
        <f>'Acct Summary 7-8'!C17</f>
        <v>1767038</v>
      </c>
      <c r="C9" s="1816">
        <f>'Acct Summary 7-8'!D17</f>
        <v>70464</v>
      </c>
      <c r="D9" s="1816">
        <f>'Acct Summary 7-8'!F17</f>
        <v>91370</v>
      </c>
      <c r="E9" s="1815"/>
      <c r="F9" s="1815">
        <f>SUM(B9:E9)</f>
        <v>1928872</v>
      </c>
    </row>
    <row r="10" spans="1:8" s="1079" customFormat="1" ht="14.25" thickTop="1" thickBot="1" x14ac:dyDescent="0.25">
      <c r="A10" s="1080" t="s">
        <v>1370</v>
      </c>
      <c r="B10" s="1817">
        <f>(B8-B9)</f>
        <v>141314</v>
      </c>
      <c r="C10" s="1817">
        <f>(C8-C9)</f>
        <v>42633</v>
      </c>
      <c r="D10" s="1817">
        <f>(D8-D9)</f>
        <v>-20754</v>
      </c>
      <c r="E10" s="1816">
        <f>(E8-E9)</f>
        <v>12182</v>
      </c>
      <c r="F10" s="1818">
        <f>SUM(F8-F9)</f>
        <v>175375</v>
      </c>
    </row>
    <row r="11" spans="1:8" s="1079" customFormat="1" ht="14.25" thickTop="1" thickBot="1" x14ac:dyDescent="0.25">
      <c r="A11" s="1081" t="s">
        <v>1984</v>
      </c>
      <c r="B11" s="1819">
        <f>'Acct Summary 7-8'!C81</f>
        <v>1165381</v>
      </c>
      <c r="C11" s="1819">
        <f>'Acct Summary 7-8'!D81</f>
        <v>101837</v>
      </c>
      <c r="D11" s="1819">
        <f>'Acct Summary 7-8'!F81</f>
        <v>148450</v>
      </c>
      <c r="E11" s="1819">
        <f>'Acct Summary 7-8'!I81</f>
        <v>415103</v>
      </c>
      <c r="F11" s="1820">
        <f>SUM(B11:E11)</f>
        <v>1830771</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D54" sqref="D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54092010026</v>
      </c>
    </row>
    <row r="3" spans="1:2" x14ac:dyDescent="0.2">
      <c r="A3" t="s">
        <v>956</v>
      </c>
      <c r="B3" s="138" t="str">
        <f>COVER!A15</f>
        <v>Vermilion</v>
      </c>
    </row>
    <row r="4" spans="1:2" x14ac:dyDescent="0.2">
      <c r="A4" t="s">
        <v>1007</v>
      </c>
      <c r="B4" s="138" t="str">
        <f>COVER!A17</f>
        <v>Potomac CUSD 10</v>
      </c>
    </row>
    <row r="5" spans="1:2" x14ac:dyDescent="0.2">
      <c r="A5" t="s">
        <v>704</v>
      </c>
      <c r="B5" s="138" t="str">
        <f>COVER!A38</f>
        <v>Jim Owens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065-019320</v>
      </c>
    </row>
    <row r="16" spans="1:2" x14ac:dyDescent="0.2">
      <c r="A16" t="s">
        <v>422</v>
      </c>
      <c r="B16" s="138" t="str">
        <f>COVER!T13</f>
        <v>Daughhetee and Parks Management Consulting PC</v>
      </c>
    </row>
    <row r="17" spans="1:2" x14ac:dyDescent="0.2">
      <c r="A17" t="s">
        <v>884</v>
      </c>
      <c r="B17" s="138" t="str">
        <f>COVER!T15</f>
        <v>Phyllis Parks</v>
      </c>
    </row>
    <row r="18" spans="1:2" x14ac:dyDescent="0.2">
      <c r="A18" t="s">
        <v>1150</v>
      </c>
      <c r="B18" s="138" t="str">
        <f>COVER!T17</f>
        <v>2200 Kickapoo Drive STE A</v>
      </c>
    </row>
    <row r="19" spans="1:2" x14ac:dyDescent="0.2">
      <c r="A19" t="s">
        <v>886</v>
      </c>
      <c r="B19" s="138" t="str">
        <f>COVER!T25</f>
        <v>pparkscpa@gmail.com</v>
      </c>
    </row>
    <row r="20" spans="1:2" x14ac:dyDescent="0.2">
      <c r="A20" t="s">
        <v>887</v>
      </c>
      <c r="B20" s="138" t="str">
        <f>COVER!T19</f>
        <v xml:space="preserve">Danville </v>
      </c>
    </row>
    <row r="21" spans="1:2" x14ac:dyDescent="0.2">
      <c r="A21" t="s">
        <v>479</v>
      </c>
      <c r="B21" s="138" t="str">
        <f>COVER!X19</f>
        <v>Illinois</v>
      </c>
    </row>
    <row r="22" spans="1:2" x14ac:dyDescent="0.2">
      <c r="A22" t="s">
        <v>888</v>
      </c>
      <c r="B22" s="138">
        <f>COVER!Z19</f>
        <v>61832</v>
      </c>
    </row>
    <row r="23" spans="1:2" x14ac:dyDescent="0.2">
      <c r="A23" t="s">
        <v>1152</v>
      </c>
      <c r="B23" s="138" t="str">
        <f>COVER!T21</f>
        <v>217-431-2727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1165381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1150286</v>
      </c>
      <c r="D92" s="2" t="str">
        <f t="shared" si="0"/>
        <v>Error?</v>
      </c>
    </row>
    <row r="93" spans="1:4" x14ac:dyDescent="0.2">
      <c r="A93" s="5">
        <v>32</v>
      </c>
      <c r="B93" s="138">
        <f>'Assets-Liab 5-6'!C41</f>
        <v>1165381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101837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101837</v>
      </c>
      <c r="D123" s="2" t="str">
        <f t="shared" si="0"/>
        <v>Error?</v>
      </c>
    </row>
    <row r="124" spans="1:4" x14ac:dyDescent="0.2">
      <c r="A124" s="5">
        <v>63</v>
      </c>
      <c r="B124" s="138">
        <f>'Assets-Liab 5-6'!D41</f>
        <v>101837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63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148450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148450</v>
      </c>
      <c r="D170" s="2" t="str">
        <f t="shared" si="1"/>
        <v>Error?</v>
      </c>
    </row>
    <row r="171" spans="1:4" x14ac:dyDescent="0.2">
      <c r="A171" s="5">
        <v>110</v>
      </c>
      <c r="B171" s="138">
        <f>'Assets-Liab 5-6'!F41</f>
        <v>148450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27691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27691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20595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20595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6010</v>
      </c>
      <c r="D273" s="2" t="str">
        <f t="shared" si="3"/>
        <v>Error?</v>
      </c>
    </row>
    <row r="274" spans="1:4" x14ac:dyDescent="0.2">
      <c r="A274" s="5">
        <v>213</v>
      </c>
      <c r="B274" s="138">
        <f>'Assets-Liab 5-6'!M17</f>
        <v>553939</v>
      </c>
      <c r="D274" s="2" t="str">
        <f t="shared" si="3"/>
        <v>Error?</v>
      </c>
    </row>
    <row r="275" spans="1:4" x14ac:dyDescent="0.2">
      <c r="A275" s="5">
        <v>214</v>
      </c>
      <c r="B275" s="138">
        <f>'Assets-Liab 5-6'!M18</f>
        <v>0</v>
      </c>
      <c r="D275" s="2" t="str">
        <f t="shared" si="3"/>
        <v>Error?</v>
      </c>
    </row>
    <row r="276" spans="1:4" x14ac:dyDescent="0.2">
      <c r="A276" s="5">
        <v>215</v>
      </c>
      <c r="B276" s="138">
        <f>'Assets-Liab 5-6'!M19</f>
        <v>20780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580729</v>
      </c>
      <c r="C279" s="2" t="s">
        <v>573</v>
      </c>
      <c r="D279" s="2" t="str">
        <f t="shared" si="3"/>
        <v>Error?</v>
      </c>
    </row>
    <row r="280" spans="1:4" x14ac:dyDescent="0.2">
      <c r="A280" s="5">
        <v>219</v>
      </c>
      <c r="B280" s="138">
        <f>'Assets-Liab 5-6'!M40</f>
        <v>580729</v>
      </c>
      <c r="D280" s="2" t="str">
        <f t="shared" si="3"/>
        <v>Error?</v>
      </c>
    </row>
    <row r="281" spans="1:4" x14ac:dyDescent="0.2">
      <c r="A281" s="5">
        <v>220</v>
      </c>
      <c r="B281" s="138">
        <f>'Assets-Liab 5-6'!M41</f>
        <v>580729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410000</v>
      </c>
      <c r="D283" s="2" t="str">
        <f t="shared" si="3"/>
        <v>Error?</v>
      </c>
    </row>
    <row r="284" spans="1:4" x14ac:dyDescent="0.2">
      <c r="A284" s="5">
        <v>223</v>
      </c>
      <c r="B284" s="138">
        <f>'Assets-Liab 5-6'!N23</f>
        <v>410000</v>
      </c>
      <c r="C284" s="2" t="s">
        <v>573</v>
      </c>
      <c r="D284" s="2" t="str">
        <f t="shared" si="3"/>
        <v>Error?</v>
      </c>
    </row>
    <row r="285" spans="1:4" x14ac:dyDescent="0.2">
      <c r="A285" s="5">
        <v>224</v>
      </c>
      <c r="B285" s="138">
        <f>'Assets-Liab 5-6'!N36</f>
        <v>410000</v>
      </c>
      <c r="D285" s="2" t="str">
        <f t="shared" si="3"/>
        <v>Error?</v>
      </c>
    </row>
    <row r="286" spans="1:4" x14ac:dyDescent="0.2">
      <c r="A286" s="10">
        <v>225</v>
      </c>
      <c r="D286" s="2" t="str">
        <f t="shared" si="3"/>
        <v>OK</v>
      </c>
    </row>
    <row r="287" spans="1:4" x14ac:dyDescent="0.2">
      <c r="A287" s="5">
        <v>226</v>
      </c>
      <c r="B287" s="138">
        <f>'Assets-Liab 5-6'!N37</f>
        <v>410000</v>
      </c>
      <c r="C287" s="2" t="s">
        <v>573</v>
      </c>
      <c r="D287" s="2" t="str">
        <f t="shared" si="3"/>
        <v>Error?</v>
      </c>
    </row>
    <row r="288" spans="1:4" x14ac:dyDescent="0.2">
      <c r="A288" s="5">
        <v>227</v>
      </c>
      <c r="B288" s="138">
        <f>'Assets-Liab 5-6'!N41</f>
        <v>410000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435793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23608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643840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15864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15864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1063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1063</v>
      </c>
      <c r="C731" s="2" t="s">
        <v>573</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46138</v>
      </c>
      <c r="D733" s="2" t="str">
        <f t="shared" si="10"/>
        <v>Error?</v>
      </c>
    </row>
    <row r="734" spans="1:4" x14ac:dyDescent="0.2">
      <c r="A734" s="5">
        <v>673</v>
      </c>
      <c r="B734" s="138">
        <f>'Expenditures 15-22'!C53</f>
        <v>47038</v>
      </c>
      <c r="C734" s="2" t="s">
        <v>573</v>
      </c>
      <c r="D734" s="2" t="str">
        <f t="shared" si="10"/>
        <v>Error?</v>
      </c>
    </row>
    <row r="735" spans="1:4" x14ac:dyDescent="0.2">
      <c r="A735" s="5">
        <v>674</v>
      </c>
      <c r="B735" s="138">
        <f>'Expenditures 15-22'!C55</f>
        <v>65589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65589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43328</v>
      </c>
      <c r="D739" s="2" t="str">
        <f t="shared" si="10"/>
        <v>Error?</v>
      </c>
    </row>
    <row r="740" spans="1:4" x14ac:dyDescent="0.2">
      <c r="A740" s="5">
        <v>679</v>
      </c>
      <c r="B740" s="138">
        <f>'Expenditures 15-22'!C61</f>
        <v>21250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66497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131075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260629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904469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53866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2211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79420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7615</v>
      </c>
      <c r="D791" s="2" t="str">
        <f t="shared" si="11"/>
        <v>Error?</v>
      </c>
    </row>
    <row r="792" spans="1:4" x14ac:dyDescent="0.2">
      <c r="A792" s="5">
        <v>731</v>
      </c>
      <c r="B792" s="138">
        <f>'Expenditures 15-22'!D53</f>
        <v>7615</v>
      </c>
      <c r="C792" s="2" t="s">
        <v>573</v>
      </c>
      <c r="D792" s="2" t="str">
        <f t="shared" si="11"/>
        <v>Error?</v>
      </c>
    </row>
    <row r="793" spans="1:4" x14ac:dyDescent="0.2">
      <c r="A793" s="5">
        <v>732</v>
      </c>
      <c r="B793" s="138">
        <f>'Expenditures 15-22'!D55</f>
        <v>4843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4843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12458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91878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5007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10546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1909</v>
      </c>
      <c r="D844" s="2" t="str">
        <f t="shared" si="12"/>
        <v>Error?</v>
      </c>
    </row>
    <row r="845" spans="1:4" x14ac:dyDescent="0.2">
      <c r="A845" s="5">
        <v>784</v>
      </c>
      <c r="B845" s="138">
        <f>'Expenditures 15-22'!E45</f>
        <v>4112</v>
      </c>
      <c r="D845" s="2" t="str">
        <f t="shared" si="12"/>
        <v>Error?</v>
      </c>
    </row>
    <row r="846" spans="1:4" x14ac:dyDescent="0.2">
      <c r="A846" s="5">
        <v>785</v>
      </c>
      <c r="B846" s="138">
        <f>'Expenditures 15-22'!E46</f>
        <v>8493</v>
      </c>
      <c r="D846" s="2" t="str">
        <f t="shared" si="12"/>
        <v>Error?</v>
      </c>
    </row>
    <row r="847" spans="1:4" x14ac:dyDescent="0.2">
      <c r="A847" s="5">
        <v>786</v>
      </c>
      <c r="B847" s="138">
        <f>'Expenditures 15-22'!E47</f>
        <v>14514</v>
      </c>
      <c r="C847" s="2" t="s">
        <v>573</v>
      </c>
      <c r="D847" s="2" t="str">
        <f t="shared" si="12"/>
        <v>Error?</v>
      </c>
    </row>
    <row r="848" spans="1:4" x14ac:dyDescent="0.2">
      <c r="A848" s="5">
        <v>787</v>
      </c>
      <c r="B848" s="138">
        <f>'Expenditures 15-22'!E49</f>
        <v>46406</v>
      </c>
      <c r="D848" s="2" t="str">
        <f t="shared" si="12"/>
        <v>Error?</v>
      </c>
    </row>
    <row r="849" spans="1:4" x14ac:dyDescent="0.2">
      <c r="A849" s="5">
        <v>788</v>
      </c>
      <c r="B849" s="138">
        <f>'Expenditures 15-22'!E50</f>
        <v>3995</v>
      </c>
      <c r="D849" s="2" t="str">
        <f t="shared" si="12"/>
        <v>Error?</v>
      </c>
    </row>
    <row r="850" spans="1:4" x14ac:dyDescent="0.2">
      <c r="A850" s="5">
        <v>789</v>
      </c>
      <c r="B850" s="138">
        <f>'Expenditures 15-22'!E53</f>
        <v>50401</v>
      </c>
      <c r="C850" s="2" t="s">
        <v>573</v>
      </c>
      <c r="D850" s="2" t="str">
        <f t="shared" si="12"/>
        <v>Error?</v>
      </c>
    </row>
    <row r="851" spans="1:4" x14ac:dyDescent="0.2">
      <c r="A851" s="5">
        <v>790</v>
      </c>
      <c r="B851" s="138">
        <f>'Expenditures 15-22'!E55</f>
        <v>1221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1221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7055</v>
      </c>
      <c r="D855" s="2" t="str">
        <f t="shared" si="12"/>
        <v>Error?</v>
      </c>
    </row>
    <row r="856" spans="1:4" x14ac:dyDescent="0.2">
      <c r="A856" s="5">
        <v>795</v>
      </c>
      <c r="B856" s="138">
        <f>'Expenditures 15-22'!E61</f>
        <v>3200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10886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77022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109392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11317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15978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67</v>
      </c>
      <c r="D902" s="2" t="str">
        <f t="shared" si="13"/>
        <v>Error?</v>
      </c>
    </row>
    <row r="903" spans="1:4" x14ac:dyDescent="0.2">
      <c r="A903" s="5">
        <v>842</v>
      </c>
      <c r="B903" s="138">
        <f>'Expenditures 15-22'!F45</f>
        <v>25093</v>
      </c>
      <c r="D903" s="2" t="str">
        <f t="shared" si="13"/>
        <v>Error?</v>
      </c>
    </row>
    <row r="904" spans="1:4" x14ac:dyDescent="0.2">
      <c r="A904" s="5">
        <v>843</v>
      </c>
      <c r="B904" s="138">
        <f>'Expenditures 15-22'!F46</f>
        <v>1421</v>
      </c>
      <c r="D904" s="2" t="str">
        <f t="shared" si="13"/>
        <v>Error?</v>
      </c>
    </row>
    <row r="905" spans="1:4" x14ac:dyDescent="0.2">
      <c r="A905" s="5">
        <v>844</v>
      </c>
      <c r="B905" s="138">
        <f>'Expenditures 15-22'!F47</f>
        <v>26581</v>
      </c>
      <c r="C905" s="2" t="s">
        <v>573</v>
      </c>
      <c r="D905" s="2" t="str">
        <f t="shared" si="13"/>
        <v>Error?</v>
      </c>
    </row>
    <row r="906" spans="1:4" x14ac:dyDescent="0.2">
      <c r="A906" s="5">
        <v>845</v>
      </c>
      <c r="B906" s="138">
        <f>'Expenditures 15-22'!F49</f>
        <v>299</v>
      </c>
      <c r="D906" s="2" t="str">
        <f t="shared" si="13"/>
        <v>Error?</v>
      </c>
    </row>
    <row r="907" spans="1:4" x14ac:dyDescent="0.2">
      <c r="A907" s="5">
        <v>846</v>
      </c>
      <c r="B907" s="138">
        <f>'Expenditures 15-22'!F50</f>
        <v>5832</v>
      </c>
      <c r="D907" s="2" t="str">
        <f t="shared" si="13"/>
        <v>Error?</v>
      </c>
    </row>
    <row r="908" spans="1:4" x14ac:dyDescent="0.2">
      <c r="A908" s="5">
        <v>847</v>
      </c>
      <c r="B908" s="138">
        <f>'Expenditures 15-22'!F53</f>
        <v>6131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41093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41366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74078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90056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25406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336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336</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5057</v>
      </c>
      <c r="D1023" s="2" t="str">
        <f t="shared" ref="D1023:D1086" si="15">IF(ISBLANK(B1023),"OK",IF(A1023-B1023=0,"OK","Error?"))</f>
        <v>Error?</v>
      </c>
    </row>
    <row r="1024" spans="1:4" x14ac:dyDescent="0.2">
      <c r="A1024" s="5">
        <v>963</v>
      </c>
      <c r="B1024" s="138">
        <f>'Expenditures 15-22'!H53</f>
        <v>5057</v>
      </c>
      <c r="C1024" s="2" t="s">
        <v>573</v>
      </c>
      <c r="D1024" s="2" t="str">
        <f t="shared" si="15"/>
        <v>Error?</v>
      </c>
    </row>
    <row r="1025" spans="1:4" x14ac:dyDescent="0.2">
      <c r="A1025" s="5">
        <v>964</v>
      </c>
      <c r="B1025" s="138">
        <f>'Expenditures 15-22'!H55</f>
        <v>667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6265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539447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571118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506515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35497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775190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15864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15864</v>
      </c>
      <c r="C1115" s="2" t="s">
        <v>573</v>
      </c>
      <c r="D1115" s="2" t="str">
        <f t="shared" si="16"/>
        <v>Error?</v>
      </c>
    </row>
    <row r="1116" spans="1:4" x14ac:dyDescent="0.2">
      <c r="A1116" s="5">
        <v>1055</v>
      </c>
      <c r="B1116" s="138">
        <f>'Expenditures 15-22'!K44</f>
        <v>2312</v>
      </c>
      <c r="C1116" s="2" t="s">
        <v>573</v>
      </c>
      <c r="D1116" s="2" t="str">
        <f t="shared" si="16"/>
        <v>Error?</v>
      </c>
    </row>
    <row r="1117" spans="1:4" x14ac:dyDescent="0.2">
      <c r="A1117" s="5">
        <v>1056</v>
      </c>
      <c r="B1117" s="138">
        <f>'Expenditures 15-22'!K45</f>
        <v>30393</v>
      </c>
      <c r="C1117" s="2" t="s">
        <v>573</v>
      </c>
      <c r="D1117" s="2" t="str">
        <f t="shared" si="16"/>
        <v>Error?</v>
      </c>
    </row>
    <row r="1118" spans="1:4" x14ac:dyDescent="0.2">
      <c r="A1118" s="5">
        <v>1057</v>
      </c>
      <c r="B1118" s="138">
        <f>'Expenditures 15-22'!K46</f>
        <v>9914</v>
      </c>
      <c r="C1118" s="2" t="s">
        <v>573</v>
      </c>
      <c r="D1118" s="2" t="str">
        <f t="shared" si="16"/>
        <v>Error?</v>
      </c>
    </row>
    <row r="1119" spans="1:4" x14ac:dyDescent="0.2">
      <c r="A1119" s="5">
        <v>1058</v>
      </c>
      <c r="B1119" s="138">
        <f>'Expenditures 15-22'!K47</f>
        <v>42619</v>
      </c>
      <c r="C1119" s="2" t="s">
        <v>573</v>
      </c>
      <c r="D1119" s="2" t="str">
        <f t="shared" si="16"/>
        <v>Error?</v>
      </c>
    </row>
    <row r="1120" spans="1:4" x14ac:dyDescent="0.2">
      <c r="A1120" s="5">
        <v>1059</v>
      </c>
      <c r="B1120" s="138">
        <f>'Expenditures 15-22'!K49</f>
        <v>47605</v>
      </c>
      <c r="C1120" s="2" t="s">
        <v>573</v>
      </c>
      <c r="D1120" s="2" t="str">
        <f t="shared" si="16"/>
        <v>Error?</v>
      </c>
    </row>
    <row r="1121" spans="1:4" x14ac:dyDescent="0.2">
      <c r="A1121" s="5">
        <v>1060</v>
      </c>
      <c r="B1121" s="138">
        <f>'Expenditures 15-22'!K50</f>
        <v>68637</v>
      </c>
      <c r="C1121" s="2" t="s">
        <v>573</v>
      </c>
      <c r="D1121" s="2" t="str">
        <f t="shared" si="16"/>
        <v>Error?</v>
      </c>
    </row>
    <row r="1122" spans="1:4" x14ac:dyDescent="0.2">
      <c r="A1122" s="5">
        <v>1061</v>
      </c>
      <c r="B1122" s="138">
        <f>'Expenditures 15-22'!K53</f>
        <v>116242</v>
      </c>
      <c r="C1122" s="2" t="s">
        <v>573</v>
      </c>
      <c r="D1122" s="2" t="str">
        <f t="shared" si="16"/>
        <v>Error?</v>
      </c>
    </row>
    <row r="1123" spans="1:4" x14ac:dyDescent="0.2">
      <c r="A1123" s="5">
        <v>1062</v>
      </c>
      <c r="B1123" s="138">
        <f>'Expenditures 15-22'!K55</f>
        <v>72320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72320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50656</v>
      </c>
      <c r="C1127" s="2" t="s">
        <v>573</v>
      </c>
      <c r="D1127" s="2" t="str">
        <f t="shared" si="16"/>
        <v>Error?</v>
      </c>
    </row>
    <row r="1128" spans="1:4" x14ac:dyDescent="0.2">
      <c r="A1128" s="5">
        <v>1067</v>
      </c>
      <c r="B1128" s="138">
        <f>'Expenditures 15-22'!K61</f>
        <v>24450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108426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183532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430577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561271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1767038</v>
      </c>
      <c r="C1152" s="2" t="s">
        <v>573</v>
      </c>
      <c r="D1152" s="2" t="str">
        <f t="shared" si="17"/>
        <v>Error?</v>
      </c>
    </row>
    <row r="1153" spans="1:4" x14ac:dyDescent="0.2">
      <c r="A1153" s="5">
        <v>1092</v>
      </c>
      <c r="B1153" s="138">
        <f>'Expenditures 15-22'!K115</f>
        <v>141314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31054</v>
      </c>
      <c r="D1237" s="2" t="str">
        <f t="shared" si="18"/>
        <v>Error?</v>
      </c>
    </row>
    <row r="1238" spans="1:4" x14ac:dyDescent="0.2">
      <c r="A1238" s="10">
        <v>1177</v>
      </c>
      <c r="D1238" s="2" t="str">
        <f t="shared" si="18"/>
        <v>OK</v>
      </c>
    </row>
    <row r="1239" spans="1:4" x14ac:dyDescent="0.2">
      <c r="A1239" s="5">
        <v>1178</v>
      </c>
      <c r="B1239" s="138">
        <f>'Expenditures 15-22'!E127</f>
        <v>31054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31054</v>
      </c>
      <c r="C1241" s="2" t="s">
        <v>573</v>
      </c>
      <c r="D1241" s="2" t="str">
        <f t="shared" si="18"/>
        <v>Error?</v>
      </c>
    </row>
    <row r="1242" spans="1:4" x14ac:dyDescent="0.2">
      <c r="A1242" s="5">
        <v>1181</v>
      </c>
      <c r="B1242" s="138">
        <f>'Expenditures 15-22'!E151</f>
        <v>31054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29769</v>
      </c>
      <c r="D1245" s="2" t="str">
        <f t="shared" si="18"/>
        <v>Error?</v>
      </c>
    </row>
    <row r="1246" spans="1:4" x14ac:dyDescent="0.2">
      <c r="A1246" s="10">
        <v>1185</v>
      </c>
      <c r="D1246" s="2" t="str">
        <f t="shared" si="18"/>
        <v>OK</v>
      </c>
    </row>
    <row r="1247" spans="1:4" x14ac:dyDescent="0.2">
      <c r="A1247" s="5">
        <v>1186</v>
      </c>
      <c r="B1247" s="138">
        <f>'Expenditures 15-22'!F127</f>
        <v>29769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29769</v>
      </c>
      <c r="C1249" s="2" t="s">
        <v>573</v>
      </c>
      <c r="D1249" s="2" t="str">
        <f t="shared" si="18"/>
        <v>Error?</v>
      </c>
    </row>
    <row r="1250" spans="1:4" x14ac:dyDescent="0.2">
      <c r="A1250" s="5">
        <v>1189</v>
      </c>
      <c r="B1250" s="138">
        <f>'Expenditures 15-22'!F151</f>
        <v>29769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5218</v>
      </c>
      <c r="D1262" s="2" t="str">
        <f t="shared" si="18"/>
        <v>Error?</v>
      </c>
    </row>
    <row r="1263" spans="1:4" x14ac:dyDescent="0.2">
      <c r="A1263" s="10">
        <v>1202</v>
      </c>
      <c r="D1263" s="2" t="str">
        <f t="shared" si="18"/>
        <v>OK</v>
      </c>
    </row>
    <row r="1264" spans="1:4" x14ac:dyDescent="0.2">
      <c r="A1264" s="5">
        <v>1203</v>
      </c>
      <c r="B1264" s="138">
        <f>'Expenditures 15-22'!H127</f>
        <v>5218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5218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5218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70464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70464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70464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70464</v>
      </c>
      <c r="C1288" s="2" t="s">
        <v>573</v>
      </c>
      <c r="D1288" s="2" t="str">
        <f t="shared" si="19"/>
        <v>Error?</v>
      </c>
    </row>
    <row r="1289" spans="1:4" x14ac:dyDescent="0.2">
      <c r="A1289" s="5">
        <v>1228</v>
      </c>
      <c r="B1289" s="138">
        <f>'Expenditures 15-22'!K152</f>
        <v>42633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20881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105000</v>
      </c>
      <c r="D1315" s="2" t="str">
        <f t="shared" si="19"/>
        <v>Error?</v>
      </c>
    </row>
    <row r="1316" spans="1:4" x14ac:dyDescent="0.2">
      <c r="A1316" s="5">
        <v>1255</v>
      </c>
      <c r="B1316" s="138">
        <f>'Expenditures 15-22'!H171</f>
        <v>1900</v>
      </c>
      <c r="D1316" s="2" t="str">
        <f t="shared" si="19"/>
        <v>Error?</v>
      </c>
    </row>
    <row r="1317" spans="1:4" x14ac:dyDescent="0.2">
      <c r="A1317" s="5">
        <v>1256</v>
      </c>
      <c r="B1317" s="138">
        <f>'Expenditures 15-22'!H172</f>
        <v>127781</v>
      </c>
      <c r="C1317" s="2" t="s">
        <v>573</v>
      </c>
      <c r="D1317" s="2" t="str">
        <f t="shared" si="19"/>
        <v>Error?</v>
      </c>
    </row>
    <row r="1318" spans="1:4" x14ac:dyDescent="0.2">
      <c r="A1318" s="5">
        <v>1257</v>
      </c>
      <c r="B1318" s="138">
        <f>'Expenditures 15-22'!H174</f>
        <v>127781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20881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105000</v>
      </c>
      <c r="C1329" s="2" t="s">
        <v>573</v>
      </c>
      <c r="D1329" s="2" t="str">
        <f t="shared" si="19"/>
        <v>Error?</v>
      </c>
    </row>
    <row r="1330" spans="1:4" x14ac:dyDescent="0.2">
      <c r="A1330" s="5">
        <v>1269</v>
      </c>
      <c r="B1330" s="138">
        <f>'Expenditures 15-22'!K171</f>
        <v>1900</v>
      </c>
      <c r="C1330" s="2" t="s">
        <v>573</v>
      </c>
      <c r="D1330" s="2" t="str">
        <f t="shared" si="19"/>
        <v>Error?</v>
      </c>
    </row>
    <row r="1331" spans="1:4" x14ac:dyDescent="0.2">
      <c r="A1331" s="5">
        <v>1270</v>
      </c>
      <c r="B1331" s="138">
        <f>'Expenditures 15-22'!K172</f>
        <v>127781</v>
      </c>
      <c r="C1331" s="2" t="s">
        <v>573</v>
      </c>
      <c r="D1331" s="2" t="str">
        <f t="shared" si="19"/>
        <v>Error?</v>
      </c>
    </row>
    <row r="1332" spans="1:4" x14ac:dyDescent="0.2">
      <c r="A1332" s="5">
        <v>1271</v>
      </c>
      <c r="B1332" s="138">
        <f>'Expenditures 15-22'!K174</f>
        <v>127781</v>
      </c>
      <c r="C1332" s="2" t="s">
        <v>573</v>
      </c>
      <c r="D1332" s="2" t="str">
        <f t="shared" si="19"/>
        <v>Error?</v>
      </c>
    </row>
    <row r="1333" spans="1:4" x14ac:dyDescent="0.2">
      <c r="A1333" s="5">
        <v>1272</v>
      </c>
      <c r="B1333" s="138">
        <f>'Expenditures 15-22'!K175</f>
        <v>29</v>
      </c>
      <c r="C1333" s="2" t="s">
        <v>573</v>
      </c>
      <c r="D1333" s="2" t="str">
        <f t="shared" si="19"/>
        <v>Error?</v>
      </c>
    </row>
    <row r="1334" spans="1:4" x14ac:dyDescent="0.2">
      <c r="A1334" s="10">
        <v>1273</v>
      </c>
      <c r="D1334" s="2" t="str">
        <f t="shared" si="19"/>
        <v>OK</v>
      </c>
    </row>
    <row r="1335" spans="1:4" x14ac:dyDescent="0.2">
      <c r="A1335" s="5">
        <v>1274</v>
      </c>
      <c r="B1335" s="138">
        <f>'Expenditures 15-22'!C182</f>
        <v>47743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47743</v>
      </c>
      <c r="C1339" s="2" t="s">
        <v>573</v>
      </c>
      <c r="D1339" s="2" t="str">
        <f t="shared" si="19"/>
        <v>Error?</v>
      </c>
    </row>
    <row r="1340" spans="1:4" x14ac:dyDescent="0.2">
      <c r="A1340" s="5">
        <v>1279</v>
      </c>
      <c r="B1340" s="138">
        <f>'Expenditures 15-22'!C210</f>
        <v>47743</v>
      </c>
      <c r="C1340" s="2" t="s">
        <v>573</v>
      </c>
      <c r="D1340" s="2" t="str">
        <f t="shared" si="19"/>
        <v>Error?</v>
      </c>
    </row>
    <row r="1341" spans="1:4" x14ac:dyDescent="0.2">
      <c r="A1341" s="5">
        <v>1280</v>
      </c>
      <c r="B1341" s="138">
        <f>'Expenditures 15-22'!D182</f>
        <v>1040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1040</v>
      </c>
      <c r="C1345" s="2" t="s">
        <v>573</v>
      </c>
      <c r="D1345" s="2" t="str">
        <f t="shared" si="20"/>
        <v>Error?</v>
      </c>
    </row>
    <row r="1346" spans="1:4" x14ac:dyDescent="0.2">
      <c r="A1346" s="5">
        <v>1285</v>
      </c>
      <c r="B1346" s="138">
        <f>'Expenditures 15-22'!D210</f>
        <v>1040</v>
      </c>
      <c r="C1346" s="2" t="s">
        <v>573</v>
      </c>
      <c r="D1346" s="2" t="str">
        <f t="shared" si="20"/>
        <v>Error?</v>
      </c>
    </row>
    <row r="1347" spans="1:4" x14ac:dyDescent="0.2">
      <c r="A1347" s="5">
        <v>1286</v>
      </c>
      <c r="B1347" s="138">
        <f>'Expenditures 15-22'!E182</f>
        <v>30988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30988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30988</v>
      </c>
      <c r="C1353" s="2" t="s">
        <v>573</v>
      </c>
      <c r="D1353" s="2" t="str">
        <f t="shared" si="20"/>
        <v>Error?</v>
      </c>
    </row>
    <row r="1354" spans="1:4" x14ac:dyDescent="0.2">
      <c r="A1354" s="5">
        <v>1293</v>
      </c>
      <c r="B1354" s="138">
        <f>'Expenditures 15-22'!F182</f>
        <v>11112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11112</v>
      </c>
      <c r="C1358" s="2" t="s">
        <v>573</v>
      </c>
      <c r="D1358" s="2" t="str">
        <f t="shared" si="20"/>
        <v>Error?</v>
      </c>
    </row>
    <row r="1359" spans="1:4" x14ac:dyDescent="0.2">
      <c r="A1359" s="5">
        <v>1298</v>
      </c>
      <c r="B1359" s="138">
        <f>'Expenditures 15-22'!F210</f>
        <v>11112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487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487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487</v>
      </c>
      <c r="C1376" s="2" t="s">
        <v>573</v>
      </c>
      <c r="D1376" s="2" t="str">
        <f t="shared" si="20"/>
        <v>Error?</v>
      </c>
    </row>
    <row r="1377" spans="1:4" x14ac:dyDescent="0.2">
      <c r="A1377" s="5">
        <v>1316</v>
      </c>
      <c r="B1377" s="138">
        <f>'Expenditures 15-22'!K182</f>
        <v>91370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91370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91370</v>
      </c>
      <c r="C1388" s="2" t="s">
        <v>573</v>
      </c>
      <c r="D1388" s="2" t="str">
        <f t="shared" si="20"/>
        <v>Error?</v>
      </c>
    </row>
    <row r="1389" spans="1:4" x14ac:dyDescent="0.2">
      <c r="A1389" s="5">
        <v>1328</v>
      </c>
      <c r="B1389" s="138">
        <f>'Expenditures 15-22'!K211</f>
        <v>-20754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14833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230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230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v>
      </c>
      <c r="C1421" s="2" t="s">
        <v>573</v>
      </c>
      <c r="D1421" s="2" t="str">
        <f t="shared" si="21"/>
        <v>Error?</v>
      </c>
    </row>
    <row r="1422" spans="1:4" x14ac:dyDescent="0.2">
      <c r="A1422" s="5">
        <v>1361</v>
      </c>
      <c r="B1422" s="138">
        <f>'Expenditures 15-22'!D245</f>
        <v>730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730</v>
      </c>
      <c r="C1424" s="2" t="s">
        <v>573</v>
      </c>
      <c r="D1424" s="2" t="str">
        <f t="shared" si="21"/>
        <v>Error?</v>
      </c>
    </row>
    <row r="1425" spans="1:4" x14ac:dyDescent="0.2">
      <c r="A1425" s="5">
        <v>1364</v>
      </c>
      <c r="B1425" s="138">
        <f>'Expenditures 15-22'!D259</f>
        <v>3945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3945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4937</v>
      </c>
      <c r="D1431" s="2" t="str">
        <f t="shared" si="21"/>
        <v>Error?</v>
      </c>
    </row>
    <row r="1432" spans="1:4" x14ac:dyDescent="0.2">
      <c r="A1432" s="5">
        <v>1371</v>
      </c>
      <c r="B1432" s="138">
        <f>'Expenditures 15-22'!D267</f>
        <v>3170</v>
      </c>
      <c r="D1432" s="2" t="str">
        <f t="shared" si="21"/>
        <v>Error?</v>
      </c>
    </row>
    <row r="1433" spans="1:4" x14ac:dyDescent="0.2">
      <c r="A1433" s="5">
        <v>1372</v>
      </c>
      <c r="B1433" s="138">
        <f>'Expenditures 15-22'!D268</f>
        <v>8349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22847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27767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42600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819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14833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230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230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v>
      </c>
      <c r="C1485" s="2" t="s">
        <v>573</v>
      </c>
      <c r="D1485" s="2" t="str">
        <f t="shared" si="22"/>
        <v>Error?</v>
      </c>
    </row>
    <row r="1486" spans="1:4" x14ac:dyDescent="0.2">
      <c r="A1486" s="5">
        <v>1425</v>
      </c>
      <c r="B1486" s="138">
        <f>'Expenditures 15-22'!K245</f>
        <v>730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730</v>
      </c>
      <c r="C1488" s="2" t="s">
        <v>573</v>
      </c>
      <c r="D1488" s="2" t="str">
        <f t="shared" si="22"/>
        <v>Error?</v>
      </c>
    </row>
    <row r="1489" spans="1:4" x14ac:dyDescent="0.2">
      <c r="A1489" s="5">
        <v>1428</v>
      </c>
      <c r="B1489" s="138">
        <f>'Expenditures 15-22'!K259</f>
        <v>3945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3945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6391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4937</v>
      </c>
      <c r="C1495" s="2" t="s">
        <v>573</v>
      </c>
      <c r="D1495" s="2" t="str">
        <f t="shared" si="22"/>
        <v>Error?</v>
      </c>
    </row>
    <row r="1496" spans="1:4" x14ac:dyDescent="0.2">
      <c r="A1496" s="5">
        <v>1435</v>
      </c>
      <c r="B1496" s="138">
        <f>'Expenditures 15-22'!K267</f>
        <v>3170</v>
      </c>
      <c r="C1496" s="2" t="s">
        <v>573</v>
      </c>
      <c r="D1496" s="2" t="str">
        <f t="shared" si="22"/>
        <v>Error?</v>
      </c>
    </row>
    <row r="1497" spans="1:4" x14ac:dyDescent="0.2">
      <c r="A1497" s="5">
        <v>1436</v>
      </c>
      <c r="B1497" s="138">
        <f>'Expenditures 15-22'!K268</f>
        <v>8349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22847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27767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42600</v>
      </c>
      <c r="C1517" s="2" t="s">
        <v>573</v>
      </c>
      <c r="D1517" s="2" t="str">
        <f t="shared" si="22"/>
        <v>Error?</v>
      </c>
    </row>
    <row r="1518" spans="1:4" x14ac:dyDescent="0.2">
      <c r="A1518" s="5">
        <v>1457</v>
      </c>
      <c r="B1518" s="138">
        <f>'Expenditures 15-22'!K296</f>
        <v>20681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10550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1024067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1165381</v>
      </c>
      <c r="C1630" s="2" t="s">
        <v>573</v>
      </c>
      <c r="D1630" s="2" t="str">
        <f t="shared" si="24"/>
        <v>Error?</v>
      </c>
    </row>
    <row r="1631" spans="1:4" x14ac:dyDescent="0.2">
      <c r="A1631" s="5">
        <v>1570</v>
      </c>
      <c r="B1631" s="138">
        <f>'Acct Summary 7-8'!D79</f>
        <v>59204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101837</v>
      </c>
      <c r="C1644" s="2" t="s">
        <v>573</v>
      </c>
      <c r="D1644" s="2" t="str">
        <f t="shared" si="24"/>
        <v>Error?</v>
      </c>
    </row>
    <row r="1645" spans="1:4" x14ac:dyDescent="0.2">
      <c r="A1645" s="5">
        <v>1584</v>
      </c>
      <c r="B1645" s="138">
        <f>'Acct Summary 7-8'!E79</f>
        <v>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v>
      </c>
      <c r="C1658" s="2" t="s">
        <v>573</v>
      </c>
      <c r="D1658" s="2" t="str">
        <f t="shared" si="24"/>
        <v>Error?</v>
      </c>
    </row>
    <row r="1659" spans="1:4" x14ac:dyDescent="0.2">
      <c r="A1659" s="5">
        <v>1598</v>
      </c>
      <c r="B1659" s="138">
        <f>'Acct Summary 7-8'!F79</f>
        <v>169204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148450</v>
      </c>
      <c r="C1672" s="2" t="s">
        <v>573</v>
      </c>
      <c r="D1672" s="2" t="str">
        <f t="shared" si="25"/>
        <v>Error?</v>
      </c>
    </row>
    <row r="1673" spans="1:4" x14ac:dyDescent="0.2">
      <c r="A1673" s="5">
        <v>1612</v>
      </c>
      <c r="B1673" s="138">
        <f>'Acct Summary 7-8'!G79</f>
        <v>7010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27691</v>
      </c>
      <c r="C1686" s="2" t="s">
        <v>573</v>
      </c>
      <c r="D1686" s="2" t="str">
        <f t="shared" si="25"/>
        <v>Error?</v>
      </c>
    </row>
    <row r="1687" spans="1:4" x14ac:dyDescent="0.2">
      <c r="A1687" s="5">
        <v>1626</v>
      </c>
      <c r="B1687" s="138">
        <f>'Acct Summary 7-8'!H79</f>
        <v>10045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20595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562891</v>
      </c>
      <c r="C1744" s="2" t="s">
        <v>573</v>
      </c>
      <c r="D1744" s="2" t="str">
        <f t="shared" si="26"/>
        <v>Error?</v>
      </c>
    </row>
    <row r="1745" spans="1:5" x14ac:dyDescent="0.2">
      <c r="A1745" s="5">
        <v>1684</v>
      </c>
      <c r="B1745" s="138">
        <f>'Tax Sched 23'!B5</f>
        <v>104239</v>
      </c>
      <c r="C1745" s="2" t="s">
        <v>573</v>
      </c>
      <c r="D1745" s="2" t="str">
        <f t="shared" si="26"/>
        <v>Error?</v>
      </c>
    </row>
    <row r="1746" spans="1:5" x14ac:dyDescent="0.2">
      <c r="A1746" s="5">
        <v>1685</v>
      </c>
      <c r="B1746" s="138">
        <f>'Tax Sched 23'!B6</f>
        <v>125204</v>
      </c>
      <c r="C1746" s="2" t="s">
        <v>573</v>
      </c>
      <c r="D1746" s="2" t="str">
        <f t="shared" si="26"/>
        <v>Error?</v>
      </c>
    </row>
    <row r="1747" spans="1:5" x14ac:dyDescent="0.2">
      <c r="A1747" s="5">
        <v>1686</v>
      </c>
      <c r="B1747" s="138">
        <f>'Tax Sched 23'!B7</f>
        <v>41696</v>
      </c>
      <c r="C1747" s="2" t="s">
        <v>573</v>
      </c>
      <c r="D1747" s="2" t="str">
        <f t="shared" si="26"/>
        <v>Error?</v>
      </c>
    </row>
    <row r="1748" spans="1:5" x14ac:dyDescent="0.2">
      <c r="A1748" s="5">
        <v>1687</v>
      </c>
      <c r="B1748" s="138">
        <f>'Tax Sched 23'!B8</f>
        <v>25863</v>
      </c>
      <c r="C1748" s="2" t="s">
        <v>573</v>
      </c>
      <c r="D1748" s="2" t="str">
        <f t="shared" si="26"/>
        <v>Error?</v>
      </c>
    </row>
    <row r="1749" spans="1:5" x14ac:dyDescent="0.2">
      <c r="A1749" s="5">
        <v>1688</v>
      </c>
      <c r="B1749" s="138">
        <f>'Tax Sched 23'!B10</f>
        <v>10424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10421</v>
      </c>
      <c r="C1751" s="2" t="s">
        <v>573</v>
      </c>
      <c r="D1751" s="2" t="str">
        <f t="shared" si="26"/>
        <v>Error?</v>
      </c>
    </row>
    <row r="1752" spans="1:5" x14ac:dyDescent="0.2">
      <c r="A1752" s="5">
        <v>1691</v>
      </c>
      <c r="B1752" s="138">
        <f>'Tax Sched 23'!B11</f>
        <v>99462</v>
      </c>
      <c r="C1752" s="2" t="s">
        <v>573</v>
      </c>
      <c r="D1752" s="2" t="str">
        <f t="shared" si="26"/>
        <v>Error?</v>
      </c>
    </row>
    <row r="1753" spans="1:5" x14ac:dyDescent="0.2">
      <c r="A1753" s="5">
        <v>1692</v>
      </c>
      <c r="B1753" s="138">
        <f>'Tax Sched 23'!B12</f>
        <v>10424</v>
      </c>
      <c r="C1753" s="2" t="s">
        <v>573</v>
      </c>
      <c r="D1753" s="2" t="str">
        <f t="shared" si="26"/>
        <v>Error?</v>
      </c>
    </row>
    <row r="1754" spans="1:5" x14ac:dyDescent="0.2">
      <c r="A1754" s="5">
        <v>1693</v>
      </c>
      <c r="B1754" s="138">
        <f>'Tax Sched 23'!B14</f>
        <v>8339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1031454</v>
      </c>
      <c r="C1759" s="2" t="s">
        <v>573</v>
      </c>
      <c r="D1759" s="2" t="str">
        <f t="shared" si="26"/>
        <v>Error?</v>
      </c>
    </row>
    <row r="1760" spans="1:5" x14ac:dyDescent="0.2">
      <c r="A1760" s="5">
        <v>1699</v>
      </c>
      <c r="B1760" s="138">
        <f>'Tax Sched 23'!D4</f>
        <v>562891</v>
      </c>
      <c r="C1760" s="2" t="s">
        <v>573</v>
      </c>
      <c r="D1760" s="2" t="str">
        <f t="shared" si="26"/>
        <v>Error?</v>
      </c>
    </row>
    <row r="1761" spans="1:5" x14ac:dyDescent="0.2">
      <c r="A1761" s="5">
        <v>1700</v>
      </c>
      <c r="B1761" s="138">
        <f>'Tax Sched 23'!D5</f>
        <v>104239</v>
      </c>
      <c r="C1761" s="2" t="s">
        <v>573</v>
      </c>
      <c r="D1761" s="2" t="str">
        <f t="shared" si="26"/>
        <v>Error?</v>
      </c>
    </row>
    <row r="1762" spans="1:5" s="8" customFormat="1" x14ac:dyDescent="0.2">
      <c r="A1762" s="5">
        <v>1701</v>
      </c>
      <c r="B1762" s="138">
        <f>'Tax Sched 23'!D6</f>
        <v>125204</v>
      </c>
      <c r="C1762" s="2" t="s">
        <v>573</v>
      </c>
      <c r="D1762" s="2" t="str">
        <f t="shared" si="26"/>
        <v>Error?</v>
      </c>
      <c r="E1762" s="9"/>
    </row>
    <row r="1763" spans="1:5" x14ac:dyDescent="0.2">
      <c r="A1763" s="5">
        <v>1702</v>
      </c>
      <c r="B1763" s="138">
        <f>'Tax Sched 23'!D7</f>
        <v>41696</v>
      </c>
      <c r="C1763" s="2" t="s">
        <v>573</v>
      </c>
      <c r="D1763" s="2" t="str">
        <f t="shared" si="26"/>
        <v>Error?</v>
      </c>
    </row>
    <row r="1764" spans="1:5" x14ac:dyDescent="0.2">
      <c r="A1764" s="5">
        <v>1703</v>
      </c>
      <c r="B1764" s="138">
        <f>'Tax Sched 23'!D8</f>
        <v>25863</v>
      </c>
      <c r="C1764" s="2" t="s">
        <v>573</v>
      </c>
      <c r="D1764" s="2" t="str">
        <f t="shared" si="26"/>
        <v>Error?</v>
      </c>
    </row>
    <row r="1765" spans="1:5" x14ac:dyDescent="0.2">
      <c r="A1765" s="5">
        <v>1704</v>
      </c>
      <c r="B1765" s="138">
        <f>'Tax Sched 23'!D10</f>
        <v>10424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10421</v>
      </c>
      <c r="C1767" s="2" t="s">
        <v>573</v>
      </c>
      <c r="D1767" s="2" t="str">
        <f t="shared" si="26"/>
        <v>Error?</v>
      </c>
    </row>
    <row r="1768" spans="1:5" x14ac:dyDescent="0.2">
      <c r="A1768" s="5">
        <v>1707</v>
      </c>
      <c r="B1768" s="138">
        <f>'Tax Sched 23'!D11</f>
        <v>99462</v>
      </c>
      <c r="C1768" s="2" t="s">
        <v>573</v>
      </c>
      <c r="D1768" s="2" t="str">
        <f t="shared" si="26"/>
        <v>Error?</v>
      </c>
    </row>
    <row r="1769" spans="1:5" x14ac:dyDescent="0.2">
      <c r="A1769" s="5">
        <v>1708</v>
      </c>
      <c r="B1769" s="138">
        <f>'Tax Sched 23'!D12</f>
        <v>10424</v>
      </c>
      <c r="C1769" s="2" t="s">
        <v>573</v>
      </c>
      <c r="D1769" s="2" t="str">
        <f t="shared" si="26"/>
        <v>Error?</v>
      </c>
    </row>
    <row r="1770" spans="1:5" x14ac:dyDescent="0.2">
      <c r="A1770" s="5">
        <v>1709</v>
      </c>
      <c r="B1770" s="138">
        <f>'Tax Sched 23'!D14</f>
        <v>8339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1031454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598854</v>
      </c>
      <c r="C1792" s="2" t="s">
        <v>573</v>
      </c>
      <c r="D1792" s="2" t="str">
        <f t="shared" si="27"/>
        <v>Error?</v>
      </c>
    </row>
    <row r="1793" spans="1:4" x14ac:dyDescent="0.2">
      <c r="A1793" s="5">
        <v>1732</v>
      </c>
      <c r="B1793" s="138">
        <f>'Tax Sched 23'!F5</f>
        <v>110898</v>
      </c>
      <c r="C1793" s="2" t="s">
        <v>573</v>
      </c>
      <c r="D1793" s="2" t="str">
        <f t="shared" si="27"/>
        <v>Error?</v>
      </c>
    </row>
    <row r="1794" spans="1:4" x14ac:dyDescent="0.2">
      <c r="A1794" s="5">
        <v>1733</v>
      </c>
      <c r="B1794" s="138">
        <f>'Tax Sched 23'!F6</f>
        <v>121043</v>
      </c>
      <c r="C1794" s="2" t="s">
        <v>573</v>
      </c>
      <c r="D1794" s="2" t="str">
        <f t="shared" si="27"/>
        <v>Error?</v>
      </c>
    </row>
    <row r="1795" spans="1:4" x14ac:dyDescent="0.2">
      <c r="A1795" s="5">
        <v>1734</v>
      </c>
      <c r="B1795" s="138">
        <f>'Tax Sched 23'!F7</f>
        <v>44360</v>
      </c>
      <c r="C1795" s="2" t="s">
        <v>573</v>
      </c>
      <c r="D1795" s="2" t="str">
        <f t="shared" si="27"/>
        <v>Error?</v>
      </c>
    </row>
    <row r="1796" spans="1:4" x14ac:dyDescent="0.2">
      <c r="A1796" s="5">
        <v>1735</v>
      </c>
      <c r="B1796" s="138">
        <f>'Tax Sched 23'!F8</f>
        <v>26501</v>
      </c>
      <c r="C1796" s="2" t="s">
        <v>573</v>
      </c>
      <c r="D1796" s="2" t="str">
        <f t="shared" si="27"/>
        <v>Error?</v>
      </c>
    </row>
    <row r="1797" spans="1:4" x14ac:dyDescent="0.2">
      <c r="A1797" s="5">
        <v>1736</v>
      </c>
      <c r="B1797" s="138">
        <f>'Tax Sched 23'!F10</f>
        <v>11037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11090</v>
      </c>
      <c r="C1799" s="2" t="s">
        <v>573</v>
      </c>
      <c r="D1799" s="2" t="str">
        <f t="shared" si="27"/>
        <v>Error?</v>
      </c>
    </row>
    <row r="1800" spans="1:4" x14ac:dyDescent="0.2">
      <c r="A1800" s="5">
        <v>1739</v>
      </c>
      <c r="B1800" s="138">
        <f>'Tax Sched 23'!F11</f>
        <v>100500</v>
      </c>
      <c r="C1800" s="2" t="s">
        <v>573</v>
      </c>
      <c r="D1800" s="2" t="str">
        <f t="shared" si="27"/>
        <v>Error?</v>
      </c>
    </row>
    <row r="1801" spans="1:4" x14ac:dyDescent="0.2">
      <c r="A1801" s="5">
        <v>1740</v>
      </c>
      <c r="B1801" s="138">
        <f>'Tax Sched 23'!F12</f>
        <v>11090</v>
      </c>
      <c r="C1801" s="2" t="s">
        <v>573</v>
      </c>
      <c r="D1801" s="2" t="str">
        <f t="shared" si="27"/>
        <v>Error?</v>
      </c>
    </row>
    <row r="1802" spans="1:4" x14ac:dyDescent="0.2">
      <c r="A1802" s="5">
        <v>1741</v>
      </c>
      <c r="B1802" s="138">
        <f>'Tax Sched 23'!F14</f>
        <v>8874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1077248</v>
      </c>
      <c r="C1807" s="2" t="s">
        <v>573</v>
      </c>
      <c r="D1807" s="2" t="str">
        <f t="shared" si="27"/>
        <v>Error?</v>
      </c>
    </row>
    <row r="1808" spans="1:4" x14ac:dyDescent="0.2">
      <c r="A1808" s="5">
        <v>1747</v>
      </c>
      <c r="B1808" s="138">
        <f>'Tax Sched 23'!E4</f>
        <v>598854</v>
      </c>
      <c r="D1808" s="2" t="str">
        <f t="shared" si="27"/>
        <v>Error?</v>
      </c>
    </row>
    <row r="1809" spans="1:4" x14ac:dyDescent="0.2">
      <c r="A1809" s="5">
        <v>1748</v>
      </c>
      <c r="B1809" s="138">
        <f>'Tax Sched 23'!E5</f>
        <v>110898</v>
      </c>
      <c r="D1809" s="2" t="str">
        <f t="shared" si="27"/>
        <v>Error?</v>
      </c>
    </row>
    <row r="1810" spans="1:4" x14ac:dyDescent="0.2">
      <c r="A1810" s="5">
        <v>1749</v>
      </c>
      <c r="B1810" s="138">
        <f>'Tax Sched 23'!E6</f>
        <v>121043</v>
      </c>
      <c r="D1810" s="2" t="str">
        <f t="shared" si="27"/>
        <v>Error?</v>
      </c>
    </row>
    <row r="1811" spans="1:4" x14ac:dyDescent="0.2">
      <c r="A1811" s="5">
        <v>1750</v>
      </c>
      <c r="B1811" s="138">
        <f>'Tax Sched 23'!E7</f>
        <v>44360</v>
      </c>
      <c r="D1811" s="2" t="str">
        <f t="shared" si="27"/>
        <v>Error?</v>
      </c>
    </row>
    <row r="1812" spans="1:4" x14ac:dyDescent="0.2">
      <c r="A1812" s="5">
        <v>1751</v>
      </c>
      <c r="B1812" s="138">
        <f>'Tax Sched 23'!E8</f>
        <v>26501</v>
      </c>
      <c r="D1812" s="2" t="str">
        <f t="shared" si="27"/>
        <v>Error?</v>
      </c>
    </row>
    <row r="1813" spans="1:4" x14ac:dyDescent="0.2">
      <c r="A1813" s="5">
        <v>1752</v>
      </c>
      <c r="B1813" s="138">
        <f>'Tax Sched 23'!E10</f>
        <v>11037</v>
      </c>
      <c r="D1813" s="2" t="str">
        <f t="shared" si="27"/>
        <v>Error?</v>
      </c>
    </row>
    <row r="1814" spans="1:4" x14ac:dyDescent="0.2">
      <c r="A1814" s="10">
        <v>1753</v>
      </c>
      <c r="D1814" s="2" t="str">
        <f t="shared" si="27"/>
        <v>OK</v>
      </c>
    </row>
    <row r="1815" spans="1:4" x14ac:dyDescent="0.2">
      <c r="A1815" s="5">
        <v>1754</v>
      </c>
      <c r="B1815" s="138">
        <f>'Tax Sched 23'!E9</f>
        <v>11090</v>
      </c>
      <c r="D1815" s="2" t="str">
        <f t="shared" si="27"/>
        <v>Error?</v>
      </c>
    </row>
    <row r="1816" spans="1:4" x14ac:dyDescent="0.2">
      <c r="A1816" s="5">
        <v>1755</v>
      </c>
      <c r="B1816" s="138">
        <f>'Tax Sched 23'!E11</f>
        <v>100500</v>
      </c>
      <c r="D1816" s="2" t="str">
        <f t="shared" si="27"/>
        <v>Error?</v>
      </c>
    </row>
    <row r="1817" spans="1:4" x14ac:dyDescent="0.2">
      <c r="A1817" s="5">
        <v>1756</v>
      </c>
      <c r="B1817" s="138">
        <f>'Tax Sched 23'!E12</f>
        <v>11090</v>
      </c>
      <c r="D1817" s="2" t="str">
        <f t="shared" si="27"/>
        <v>Error?</v>
      </c>
    </row>
    <row r="1818" spans="1:4" x14ac:dyDescent="0.2">
      <c r="A1818" s="5">
        <v>1757</v>
      </c>
      <c r="B1818" s="138">
        <f>'Tax Sched 23'!E14</f>
        <v>8874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1077248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6010</v>
      </c>
      <c r="D2008" s="2" t="str">
        <f t="shared" si="30"/>
        <v>Error?</v>
      </c>
    </row>
    <row r="2009" spans="1:4" x14ac:dyDescent="0.2">
      <c r="A2009" s="5">
        <v>1948</v>
      </c>
      <c r="B2009" s="138">
        <f>'Cap Outlay Deprec 26'!C8</f>
        <v>521835</v>
      </c>
      <c r="D2009" s="2" t="str">
        <f t="shared" si="30"/>
        <v>Error?</v>
      </c>
    </row>
    <row r="2010" spans="1:4" x14ac:dyDescent="0.2">
      <c r="A2010" s="5">
        <v>1949</v>
      </c>
      <c r="B2010" s="138">
        <f>'Cap Outlay Deprec 26'!C10</f>
        <v>735960</v>
      </c>
      <c r="D2010" s="2" t="str">
        <f t="shared" si="30"/>
        <v>Error?</v>
      </c>
    </row>
    <row r="2011" spans="1:4" x14ac:dyDescent="0.2">
      <c r="A2011" s="5">
        <v>1950</v>
      </c>
      <c r="B2011" s="138">
        <f>'Cap Outlay Deprec 26'!C12</f>
        <v>4286</v>
      </c>
      <c r="D2011" s="2" t="str">
        <f t="shared" si="30"/>
        <v>Error?</v>
      </c>
    </row>
    <row r="2012" spans="1:4" x14ac:dyDescent="0.2">
      <c r="A2012" s="5">
        <v>1951</v>
      </c>
      <c r="B2012" s="138">
        <f>'Cap Outlay Deprec 26'!C13</f>
        <v>105325</v>
      </c>
      <c r="D2012" s="2" t="str">
        <f t="shared" si="30"/>
        <v>Error?</v>
      </c>
    </row>
    <row r="2013" spans="1:4" x14ac:dyDescent="0.2">
      <c r="A2013" s="5">
        <v>1952</v>
      </c>
      <c r="B2013" s="138">
        <f>'Cap Outlay Deprec 26'!C16</f>
        <v>1450022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6010</v>
      </c>
      <c r="C2026" s="2" t="s">
        <v>573</v>
      </c>
      <c r="D2026" s="2" t="str">
        <f t="shared" si="30"/>
        <v>Error?</v>
      </c>
    </row>
    <row r="2027" spans="1:4" x14ac:dyDescent="0.2">
      <c r="A2027" s="5">
        <v>1966</v>
      </c>
      <c r="B2027" s="138">
        <f>'Cap Outlay Deprec 26'!F8</f>
        <v>521835</v>
      </c>
      <c r="C2027" s="2" t="s">
        <v>573</v>
      </c>
      <c r="D2027" s="2" t="str">
        <f t="shared" si="30"/>
        <v>Error?</v>
      </c>
    </row>
    <row r="2028" spans="1:4" x14ac:dyDescent="0.2">
      <c r="A2028" s="5">
        <v>1967</v>
      </c>
      <c r="B2028" s="138">
        <f>'Cap Outlay Deprec 26'!F10</f>
        <v>735960</v>
      </c>
      <c r="C2028" s="2" t="s">
        <v>573</v>
      </c>
      <c r="D2028" s="2" t="str">
        <f t="shared" si="30"/>
        <v>Error?</v>
      </c>
    </row>
    <row r="2029" spans="1:4" x14ac:dyDescent="0.2">
      <c r="A2029" s="5">
        <v>1968</v>
      </c>
      <c r="B2029" s="138">
        <f>'Cap Outlay Deprec 26'!F12</f>
        <v>4286</v>
      </c>
      <c r="C2029" s="2" t="s">
        <v>573</v>
      </c>
      <c r="D2029" s="2" t="str">
        <f t="shared" si="30"/>
        <v>Error?</v>
      </c>
    </row>
    <row r="2030" spans="1:4" x14ac:dyDescent="0.2">
      <c r="A2030" s="5">
        <v>1969</v>
      </c>
      <c r="B2030" s="138">
        <f>'Cap Outlay Deprec 26'!F13</f>
        <v>105325</v>
      </c>
      <c r="C2030" s="2" t="s">
        <v>573</v>
      </c>
      <c r="D2030" s="2" t="str">
        <f t="shared" si="30"/>
        <v>Error?</v>
      </c>
    </row>
    <row r="2031" spans="1:4" x14ac:dyDescent="0.2">
      <c r="A2031" s="5">
        <v>1970</v>
      </c>
      <c r="B2031" s="138">
        <f>'Cap Outlay Deprec 26'!F16</f>
        <v>1450022</v>
      </c>
      <c r="C2031" s="2" t="s">
        <v>573</v>
      </c>
      <c r="D2031" s="2" t="str">
        <f t="shared" si="30"/>
        <v>Error?</v>
      </c>
    </row>
    <row r="2032" spans="1:4" x14ac:dyDescent="0.2">
      <c r="A2032" s="10">
        <v>1971</v>
      </c>
      <c r="D2032" s="2" t="str">
        <f t="shared" si="30"/>
        <v>OK</v>
      </c>
    </row>
    <row r="2033" spans="1:4" x14ac:dyDescent="0.2">
      <c r="A2033" s="5">
        <v>1972</v>
      </c>
      <c r="B2033" s="138">
        <f>'Cap Outlay Deprec 26'!H8</f>
        <v>217196</v>
      </c>
      <c r="D2033" s="2" t="str">
        <f t="shared" si="30"/>
        <v>Error?</v>
      </c>
    </row>
    <row r="2034" spans="1:4" x14ac:dyDescent="0.2">
      <c r="A2034" s="5">
        <v>1973</v>
      </c>
      <c r="B2034" s="138">
        <f>'Cap Outlay Deprec 26'!H10</f>
        <v>434198</v>
      </c>
      <c r="D2034" s="2" t="str">
        <f t="shared" si="30"/>
        <v>Error?</v>
      </c>
    </row>
    <row r="2035" spans="1:4" x14ac:dyDescent="0.2">
      <c r="A2035" s="5">
        <v>1974</v>
      </c>
      <c r="B2035" s="138">
        <f>'Cap Outlay Deprec 26'!H12</f>
        <v>4286</v>
      </c>
      <c r="D2035" s="2" t="str">
        <f t="shared" si="30"/>
        <v>Error?</v>
      </c>
    </row>
    <row r="2036" spans="1:4" x14ac:dyDescent="0.2">
      <c r="A2036" s="5">
        <v>1975</v>
      </c>
      <c r="B2036" s="138">
        <f>'Cap Outlay Deprec 26'!H13</f>
        <v>105325</v>
      </c>
      <c r="D2036" s="2" t="str">
        <f t="shared" si="30"/>
        <v>Error?</v>
      </c>
    </row>
    <row r="2037" spans="1:4" x14ac:dyDescent="0.2">
      <c r="A2037" s="5">
        <v>1976</v>
      </c>
      <c r="B2037" s="138">
        <f>'Cap Outlay Deprec 26'!H16</f>
        <v>810004</v>
      </c>
      <c r="C2037" s="2" t="s">
        <v>573</v>
      </c>
      <c r="D2037" s="2" t="str">
        <f t="shared" si="30"/>
        <v>Error?</v>
      </c>
    </row>
    <row r="2038" spans="1:4" x14ac:dyDescent="0.2">
      <c r="A2038" s="10">
        <v>1977</v>
      </c>
      <c r="D2038" s="2" t="str">
        <f t="shared" si="30"/>
        <v>OK</v>
      </c>
    </row>
    <row r="2039" spans="1:4" x14ac:dyDescent="0.2">
      <c r="A2039" s="5">
        <v>1978</v>
      </c>
      <c r="B2039" s="138">
        <f>'Cap Outlay Deprec 26'!I8</f>
        <v>17923</v>
      </c>
      <c r="D2039" s="2" t="str">
        <f t="shared" si="30"/>
        <v>Error?</v>
      </c>
    </row>
    <row r="2040" spans="1:4" x14ac:dyDescent="0.2">
      <c r="A2040" s="5">
        <v>1979</v>
      </c>
      <c r="B2040" s="138">
        <f>'Cap Outlay Deprec 26'!I10</f>
        <v>34539</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59289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235119</v>
      </c>
      <c r="C2051" s="2" t="s">
        <v>573</v>
      </c>
      <c r="D2051" s="2" t="str">
        <f t="shared" si="31"/>
        <v>Error?</v>
      </c>
    </row>
    <row r="2052" spans="1:4" x14ac:dyDescent="0.2">
      <c r="A2052" s="5">
        <v>1991</v>
      </c>
      <c r="B2052" s="138">
        <f>'Cap Outlay Deprec 26'!K10</f>
        <v>468737</v>
      </c>
      <c r="C2052" s="2" t="s">
        <v>573</v>
      </c>
      <c r="D2052" s="2" t="str">
        <f t="shared" si="31"/>
        <v>Error?</v>
      </c>
    </row>
    <row r="2053" spans="1:4" x14ac:dyDescent="0.2">
      <c r="A2053" s="5">
        <v>1992</v>
      </c>
      <c r="B2053" s="138">
        <f>'Cap Outlay Deprec 26'!K12</f>
        <v>4286</v>
      </c>
      <c r="C2053" s="2" t="s">
        <v>573</v>
      </c>
      <c r="D2053" s="2" t="str">
        <f t="shared" si="31"/>
        <v>Error?</v>
      </c>
    </row>
    <row r="2054" spans="1:4" x14ac:dyDescent="0.2">
      <c r="A2054" s="5">
        <v>1993</v>
      </c>
      <c r="B2054" s="138">
        <f>'Cap Outlay Deprec 26'!K13</f>
        <v>105325</v>
      </c>
      <c r="C2054" s="2" t="s">
        <v>573</v>
      </c>
      <c r="D2054" s="2" t="str">
        <f t="shared" si="31"/>
        <v>Error?</v>
      </c>
    </row>
    <row r="2055" spans="1:4" x14ac:dyDescent="0.2">
      <c r="A2055" s="5">
        <v>1994</v>
      </c>
      <c r="B2055" s="138">
        <f>'Cap Outlay Deprec 26'!K16</f>
        <v>869293</v>
      </c>
      <c r="C2055" s="2" t="s">
        <v>573</v>
      </c>
      <c r="D2055" s="2" t="str">
        <f t="shared" si="31"/>
        <v>Error?</v>
      </c>
    </row>
    <row r="2056" spans="1:4" x14ac:dyDescent="0.2">
      <c r="A2056" s="5">
        <v>1995</v>
      </c>
      <c r="B2056" s="138">
        <f>'Cap Outlay Deprec 26'!L5</f>
        <v>6010</v>
      </c>
      <c r="C2056" s="2" t="s">
        <v>573</v>
      </c>
      <c r="D2056" s="2" t="str">
        <f t="shared" si="31"/>
        <v>Error?</v>
      </c>
    </row>
    <row r="2057" spans="1:4" x14ac:dyDescent="0.2">
      <c r="A2057" s="5">
        <v>1996</v>
      </c>
      <c r="B2057" s="138">
        <f>'Cap Outlay Deprec 26'!L8</f>
        <v>286716</v>
      </c>
      <c r="C2057" s="2" t="s">
        <v>573</v>
      </c>
      <c r="D2057" s="2" t="str">
        <f t="shared" si="31"/>
        <v>Error?</v>
      </c>
    </row>
    <row r="2058" spans="1:4" x14ac:dyDescent="0.2">
      <c r="A2058" s="5">
        <v>1997</v>
      </c>
      <c r="B2058" s="138">
        <f>'Cap Outlay Deprec 26'!L10</f>
        <v>267223</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580729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21824</v>
      </c>
      <c r="C2088" s="2" t="s">
        <v>573</v>
      </c>
      <c r="D2088" s="2" t="str">
        <f t="shared" si="31"/>
        <v>Error?</v>
      </c>
    </row>
    <row r="2089" spans="1:4" x14ac:dyDescent="0.2">
      <c r="A2089" s="5">
        <v>2028</v>
      </c>
      <c r="B2089" s="138">
        <f>'Expenditures 15-22'!K92</f>
        <v>539447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15095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27691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20595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780184</v>
      </c>
      <c r="C2551" s="2" t="s">
        <v>573</v>
      </c>
      <c r="D2551" s="2" t="str">
        <f t="shared" si="38"/>
        <v>Error?</v>
      </c>
    </row>
    <row r="2552" spans="1:4" x14ac:dyDescent="0.2">
      <c r="A2552" s="10">
        <v>2491</v>
      </c>
      <c r="D2552" s="2" t="str">
        <f t="shared" si="38"/>
        <v>OK</v>
      </c>
    </row>
    <row r="2553" spans="1:4" x14ac:dyDescent="0.2">
      <c r="A2553" s="5">
        <v>2492</v>
      </c>
      <c r="B2553" s="138">
        <f>'Acct Summary 7-8'!C6</f>
        <v>998175</v>
      </c>
      <c r="C2553" s="2" t="s">
        <v>573</v>
      </c>
      <c r="D2553" s="2" t="str">
        <f t="shared" si="38"/>
        <v>Error?</v>
      </c>
    </row>
    <row r="2554" spans="1:4" x14ac:dyDescent="0.2">
      <c r="A2554" s="5">
        <v>2493</v>
      </c>
      <c r="B2554" s="138">
        <f>'Acct Summary 7-8'!C7</f>
        <v>129993</v>
      </c>
      <c r="C2554" s="2" t="s">
        <v>573</v>
      </c>
      <c r="D2554" s="2" t="str">
        <f t="shared" si="38"/>
        <v>Error?</v>
      </c>
    </row>
    <row r="2555" spans="1:4" x14ac:dyDescent="0.2">
      <c r="A2555" s="5">
        <v>2494</v>
      </c>
      <c r="B2555" s="138">
        <f>'Acct Summary 7-8'!C8</f>
        <v>1908352</v>
      </c>
      <c r="C2555" s="2" t="s">
        <v>573</v>
      </c>
      <c r="D2555" s="2" t="str">
        <f t="shared" si="38"/>
        <v>Error?</v>
      </c>
    </row>
    <row r="2556" spans="1:4" x14ac:dyDescent="0.2">
      <c r="A2556" s="5">
        <v>2495</v>
      </c>
      <c r="B2556" s="138">
        <f>'Acct Summary 7-8'!C12</f>
        <v>775190</v>
      </c>
      <c r="C2556" s="2" t="s">
        <v>573</v>
      </c>
      <c r="D2556" s="2" t="str">
        <f t="shared" si="38"/>
        <v>Error?</v>
      </c>
    </row>
    <row r="2557" spans="1:4" x14ac:dyDescent="0.2">
      <c r="A2557" s="5">
        <v>2496</v>
      </c>
      <c r="B2557" s="138">
        <f>'Acct Summary 7-8'!C13</f>
        <v>430577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561271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1767038</v>
      </c>
      <c r="C2561" s="2" t="s">
        <v>573</v>
      </c>
      <c r="D2561" s="2" t="str">
        <f t="shared" si="39"/>
        <v>Error?</v>
      </c>
    </row>
    <row r="2562" spans="1:4" x14ac:dyDescent="0.2">
      <c r="A2562" s="5">
        <v>2501</v>
      </c>
      <c r="B2562" s="138">
        <f>'Acct Summary 7-8'!C20</f>
        <v>141314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113097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113097</v>
      </c>
      <c r="C2568" s="2" t="s">
        <v>573</v>
      </c>
      <c r="D2568" s="2" t="str">
        <f t="shared" si="39"/>
        <v>Error?</v>
      </c>
    </row>
    <row r="2569" spans="1:4" x14ac:dyDescent="0.2">
      <c r="A2569" s="5">
        <v>2508</v>
      </c>
      <c r="B2569" s="138">
        <f>'Acct Summary 7-8'!D13</f>
        <v>70464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70464</v>
      </c>
      <c r="C2573" s="2" t="s">
        <v>573</v>
      </c>
      <c r="D2573" s="2" t="str">
        <f t="shared" si="39"/>
        <v>Error?</v>
      </c>
    </row>
    <row r="2574" spans="1:4" x14ac:dyDescent="0.2">
      <c r="A2574" s="5">
        <v>2513</v>
      </c>
      <c r="B2574" s="138">
        <f>'Acct Summary 7-8'!D20</f>
        <v>42633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43205</v>
      </c>
      <c r="C2591" s="2" t="s">
        <v>573</v>
      </c>
      <c r="D2591" s="2" t="str">
        <f t="shared" si="39"/>
        <v>Error?</v>
      </c>
    </row>
    <row r="2592" spans="1:4" x14ac:dyDescent="0.2">
      <c r="A2592" s="10">
        <v>2531</v>
      </c>
      <c r="D2592" s="2" t="str">
        <f t="shared" si="39"/>
        <v>OK</v>
      </c>
    </row>
    <row r="2593" spans="1:4" x14ac:dyDescent="0.2">
      <c r="A2593" s="5">
        <v>2532</v>
      </c>
      <c r="B2593" s="138">
        <f>'Acct Summary 7-8'!F6</f>
        <v>27411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70616</v>
      </c>
      <c r="C2595" s="2" t="s">
        <v>573</v>
      </c>
      <c r="D2595" s="2" t="str">
        <f t="shared" si="39"/>
        <v>Error?</v>
      </c>
    </row>
    <row r="2596" spans="1:4" x14ac:dyDescent="0.2">
      <c r="A2596" s="5">
        <v>2535</v>
      </c>
      <c r="B2596" s="138">
        <f>'Acct Summary 7-8'!F13</f>
        <v>91370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91370</v>
      </c>
      <c r="C2600" s="2" t="s">
        <v>573</v>
      </c>
      <c r="D2600" s="2" t="str">
        <f t="shared" si="39"/>
        <v>Error?</v>
      </c>
    </row>
    <row r="2601" spans="1:4" x14ac:dyDescent="0.2">
      <c r="A2601" s="5">
        <v>2540</v>
      </c>
      <c r="B2601" s="138">
        <f>'Acct Summary 7-8'!F20</f>
        <v>-20754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63281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63281</v>
      </c>
      <c r="C2606" s="2" t="s">
        <v>573</v>
      </c>
      <c r="D2606" s="2" t="str">
        <f t="shared" si="39"/>
        <v>Error?</v>
      </c>
    </row>
    <row r="2607" spans="1:4" x14ac:dyDescent="0.2">
      <c r="A2607" s="5">
        <v>2546</v>
      </c>
      <c r="B2607" s="138">
        <f>'Acct Summary 7-8'!G12</f>
        <v>14833</v>
      </c>
      <c r="C2607" s="2" t="s">
        <v>573</v>
      </c>
      <c r="D2607" s="2" t="str">
        <f t="shared" si="39"/>
        <v>Error?</v>
      </c>
    </row>
    <row r="2608" spans="1:4" x14ac:dyDescent="0.2">
      <c r="A2608" s="5">
        <v>2547</v>
      </c>
      <c r="B2608" s="138">
        <f>'Acct Summary 7-8'!G13</f>
        <v>27767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42600</v>
      </c>
      <c r="C2612" s="2" t="s">
        <v>573</v>
      </c>
      <c r="D2612" s="2" t="str">
        <f t="shared" si="39"/>
        <v>Error?</v>
      </c>
    </row>
    <row r="2613" spans="1:4" x14ac:dyDescent="0.2">
      <c r="A2613" s="5">
        <v>2552</v>
      </c>
      <c r="B2613" s="138">
        <f>'Acct Summary 7-8'!G20</f>
        <v>20681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125310</v>
      </c>
      <c r="C2630" s="2" t="s">
        <v>573</v>
      </c>
      <c r="D2630" s="2" t="str">
        <f t="shared" si="40"/>
        <v>Error?</v>
      </c>
    </row>
    <row r="2631" spans="1:4" x14ac:dyDescent="0.2">
      <c r="A2631" s="5">
        <v>2570</v>
      </c>
      <c r="B2631" s="138">
        <f>'Acct Summary 7-8'!E6</f>
        <v>2500</v>
      </c>
      <c r="C2631" s="2" t="s">
        <v>573</v>
      </c>
      <c r="D2631" s="2" t="str">
        <f t="shared" si="40"/>
        <v>Error?</v>
      </c>
    </row>
    <row r="2632" spans="1:4" x14ac:dyDescent="0.2">
      <c r="A2632" s="5">
        <v>2571</v>
      </c>
      <c r="B2632" s="138">
        <f>'Acct Summary 7-8'!E8</f>
        <v>127810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127781</v>
      </c>
      <c r="C2634" s="2" t="s">
        <v>573</v>
      </c>
      <c r="D2634" s="2" t="str">
        <f t="shared" si="40"/>
        <v>Error?</v>
      </c>
    </row>
    <row r="2635" spans="1:4" x14ac:dyDescent="0.2">
      <c r="A2635" s="5">
        <v>2574</v>
      </c>
      <c r="B2635" s="138">
        <f>'Acct Summary 7-8'!E17</f>
        <v>127781</v>
      </c>
      <c r="C2635" s="2" t="s">
        <v>573</v>
      </c>
      <c r="D2635" s="2" t="str">
        <f t="shared" si="40"/>
        <v>Error?</v>
      </c>
    </row>
    <row r="2636" spans="1:4" x14ac:dyDescent="0.2">
      <c r="A2636" s="5">
        <v>2575</v>
      </c>
      <c r="B2636" s="138">
        <f>'Acct Summary 7-8'!E20</f>
        <v>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10550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10550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10550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21824</v>
      </c>
      <c r="C2789" s="2" t="s">
        <v>573</v>
      </c>
      <c r="D2789" s="2" t="str">
        <f t="shared" si="42"/>
        <v>Error?</v>
      </c>
    </row>
    <row r="2790" spans="1:4" x14ac:dyDescent="0.2">
      <c r="A2790" s="5">
        <v>2729</v>
      </c>
      <c r="B2790" s="138">
        <f>'Expenditures 15-22'!E102</f>
        <v>21824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415103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18371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415103</v>
      </c>
      <c r="D2912" s="2" t="str">
        <f t="shared" si="44"/>
        <v>Error?</v>
      </c>
    </row>
    <row r="2913" spans="1:4" x14ac:dyDescent="0.2">
      <c r="A2913" s="5">
        <v>2852</v>
      </c>
      <c r="B2913" s="138">
        <f>'Assets-Liab 5-6'!I41</f>
        <v>415103</v>
      </c>
      <c r="C2913" s="2" t="s">
        <v>573</v>
      </c>
      <c r="D2913" s="2" t="str">
        <f t="shared" si="44"/>
        <v>Error?</v>
      </c>
    </row>
    <row r="2914" spans="1:4" x14ac:dyDescent="0.2">
      <c r="A2914" s="5">
        <v>2853</v>
      </c>
      <c r="B2914" s="138">
        <f>'Assets-Liab 5-6'!L33</f>
        <v>18371</v>
      </c>
      <c r="D2914" s="2" t="str">
        <f t="shared" si="44"/>
        <v>Error?</v>
      </c>
    </row>
    <row r="2915" spans="1:4" x14ac:dyDescent="0.2">
      <c r="A2915" s="10">
        <v>2854</v>
      </c>
      <c r="D2915" s="2" t="str">
        <f t="shared" si="44"/>
        <v>OK</v>
      </c>
    </row>
    <row r="2916" spans="1:4" x14ac:dyDescent="0.2">
      <c r="A2916" s="5">
        <v>2855</v>
      </c>
      <c r="B2916" s="138">
        <f>'Assets-Liab 5-6'!L34</f>
        <v>18371</v>
      </c>
      <c r="C2916" s="2" t="s">
        <v>573</v>
      </c>
      <c r="D2916" s="2" t="str">
        <f t="shared" si="44"/>
        <v>Error?</v>
      </c>
    </row>
    <row r="2917" spans="1:4" x14ac:dyDescent="0.2">
      <c r="A2917" s="5">
        <v>2856</v>
      </c>
      <c r="B2917" s="138">
        <f>'Assets-Liab 5-6'!L41</f>
        <v>18371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21189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635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21189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635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59966</v>
      </c>
      <c r="D3055" s="2" t="str">
        <f t="shared" si="46"/>
        <v>Error?</v>
      </c>
    </row>
    <row r="3056" spans="1:4" x14ac:dyDescent="0.2">
      <c r="A3056" s="5">
        <v>2995</v>
      </c>
      <c r="B3056" s="138">
        <f>'Expenditures 15-22'!D10</f>
        <v>13367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287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73620</v>
      </c>
      <c r="C3062" s="2" t="s">
        <v>573</v>
      </c>
      <c r="D3062" s="2" t="str">
        <f t="shared" si="46"/>
        <v>Error?</v>
      </c>
    </row>
    <row r="3063" spans="1:4" x14ac:dyDescent="0.2">
      <c r="A3063" s="10">
        <v>3002</v>
      </c>
      <c r="D3063" s="2" t="str">
        <f t="shared" si="46"/>
        <v>OK</v>
      </c>
    </row>
    <row r="3064" spans="1:4" x14ac:dyDescent="0.2">
      <c r="A3064" s="5">
        <v>3003</v>
      </c>
      <c r="B3064" s="138">
        <f>'Expenditures 15-22'!D219</f>
        <v>1110</v>
      </c>
      <c r="D3064" s="2" t="str">
        <f t="shared" si="46"/>
        <v>Error?</v>
      </c>
    </row>
    <row r="3065" spans="1:4" x14ac:dyDescent="0.2">
      <c r="A3065" s="5">
        <v>3004</v>
      </c>
      <c r="B3065" s="138">
        <f>'Expenditures 15-22'!K219</f>
        <v>1110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12182</v>
      </c>
      <c r="C3225" s="2" t="s">
        <v>573</v>
      </c>
      <c r="D3225" s="2" t="str">
        <f t="shared" si="49"/>
        <v>Error?</v>
      </c>
    </row>
    <row r="3226" spans="1:4" x14ac:dyDescent="0.2">
      <c r="A3226" s="5">
        <v>3165</v>
      </c>
      <c r="B3226" s="138">
        <f>'Acct Summary 7-8'!I8</f>
        <v>12182</v>
      </c>
      <c r="C3226" s="2" t="s">
        <v>573</v>
      </c>
      <c r="D3226" s="2" t="str">
        <f t="shared" si="49"/>
        <v>Error?</v>
      </c>
    </row>
    <row r="3227" spans="1:4" x14ac:dyDescent="0.2">
      <c r="A3227" s="5">
        <v>3166</v>
      </c>
      <c r="B3227" s="138">
        <f>'Acct Summary 7-8'!I20</f>
        <v>12182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141314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42633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-20754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20681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10550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12182</v>
      </c>
      <c r="C3320" s="2" t="s">
        <v>573</v>
      </c>
      <c r="D3320" s="2" t="str">
        <f t="shared" si="50"/>
        <v>Error?</v>
      </c>
    </row>
    <row r="3321" spans="1:4" x14ac:dyDescent="0.2">
      <c r="A3321" s="5">
        <v>3260</v>
      </c>
      <c r="B3321" s="138">
        <f>'Acct Summary 7-8'!I79</f>
        <v>402921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415103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58521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63633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8174</v>
      </c>
      <c r="D3387" s="2" t="str">
        <f t="shared" si="51"/>
        <v>Error?</v>
      </c>
    </row>
    <row r="3388" spans="1:4" x14ac:dyDescent="0.2">
      <c r="A3388" s="5">
        <v>3327</v>
      </c>
      <c r="B3388" s="138">
        <f>'Expenditures 15-22'!D217</f>
        <v>2745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8174</v>
      </c>
      <c r="C3390" s="2" t="s">
        <v>573</v>
      </c>
      <c r="D3390" s="2" t="str">
        <f t="shared" si="51"/>
        <v>Error?</v>
      </c>
    </row>
    <row r="3391" spans="1:4" x14ac:dyDescent="0.2">
      <c r="A3391" s="5">
        <v>3330</v>
      </c>
      <c r="B3391" s="138">
        <f>'Expenditures 15-22'!K217</f>
        <v>2745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1161729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101837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63</v>
      </c>
      <c r="D3417" s="2" t="str">
        <f t="shared" si="52"/>
        <v>Error?</v>
      </c>
    </row>
    <row r="3418" spans="1:4" x14ac:dyDescent="0.2">
      <c r="A3418" s="10">
        <v>3357</v>
      </c>
      <c r="D3418" s="2" t="str">
        <f t="shared" si="52"/>
        <v>OK</v>
      </c>
    </row>
    <row r="3419" spans="1:4" x14ac:dyDescent="0.2">
      <c r="A3419" s="5">
        <v>3358</v>
      </c>
      <c r="B3419" s="138">
        <f>'Assets-Liab 5-6'!F4</f>
        <v>148450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27691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20595</v>
      </c>
      <c r="D3425" s="2" t="str">
        <f t="shared" si="52"/>
        <v>Error?</v>
      </c>
    </row>
    <row r="3426" spans="1:4" x14ac:dyDescent="0.2">
      <c r="A3426" s="10">
        <v>3365</v>
      </c>
      <c r="D3426" s="2" t="str">
        <f t="shared" si="52"/>
        <v>OK</v>
      </c>
    </row>
    <row r="3427" spans="1:4" x14ac:dyDescent="0.2">
      <c r="A3427" s="5">
        <v>3366</v>
      </c>
      <c r="B3427" s="138">
        <f>'Assets-Liab 5-6'!I4</f>
        <v>415103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18371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32491</v>
      </c>
      <c r="C3446" s="2" t="s">
        <v>573</v>
      </c>
      <c r="D3446" s="2" t="str">
        <f t="shared" si="52"/>
        <v>Error?</v>
      </c>
    </row>
    <row r="3447" spans="1:4" x14ac:dyDescent="0.2">
      <c r="A3447" s="5">
        <v>3386</v>
      </c>
      <c r="B3447" s="138">
        <f>'Tax Sched 23'!D16</f>
        <v>32491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33001</v>
      </c>
      <c r="C3449" s="2" t="s">
        <v>573</v>
      </c>
      <c r="D3449" s="2" t="str">
        <f t="shared" si="52"/>
        <v>Error?</v>
      </c>
    </row>
    <row r="3450" spans="1:4" x14ac:dyDescent="0.2">
      <c r="A3450" s="5">
        <v>3389</v>
      </c>
      <c r="B3450" s="138">
        <f>'Tax Sched 23'!E16</f>
        <v>33001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70777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70777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70777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70777</v>
      </c>
      <c r="C3568" s="2" t="s">
        <v>573</v>
      </c>
      <c r="D3568" s="2" t="str">
        <f t="shared" si="54"/>
        <v>Error?</v>
      </c>
    </row>
    <row r="3569" spans="1:4" x14ac:dyDescent="0.2">
      <c r="A3569" s="5">
        <v>3508</v>
      </c>
      <c r="B3569" s="138">
        <f>'Acct Summary 7-8'!K4</f>
        <v>10746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10746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10746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10746</v>
      </c>
      <c r="C3588" s="2" t="s">
        <v>573</v>
      </c>
      <c r="D3588" s="2" t="str">
        <f t="shared" si="55"/>
        <v>Error?</v>
      </c>
    </row>
    <row r="3589" spans="1:4" x14ac:dyDescent="0.2">
      <c r="A3589" s="5">
        <v>3528</v>
      </c>
      <c r="B3589" s="138">
        <f>'Acct Summary 7-8'!K79</f>
        <v>60031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70777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459280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2367632</v>
      </c>
      <c r="C4122" s="2" t="s">
        <v>573</v>
      </c>
      <c r="D4122" s="2" t="str">
        <f t="shared" si="63"/>
        <v>Error?</v>
      </c>
    </row>
    <row r="4123" spans="1:4" x14ac:dyDescent="0.2">
      <c r="A4123" s="5">
        <v>4062</v>
      </c>
      <c r="B4123" s="138">
        <f>'Acct Summary 7-8'!D10</f>
        <v>113097</v>
      </c>
      <c r="C4123" s="2" t="s">
        <v>573</v>
      </c>
      <c r="D4123" s="2" t="str">
        <f t="shared" si="63"/>
        <v>Error?</v>
      </c>
    </row>
    <row r="4124" spans="1:4" x14ac:dyDescent="0.2">
      <c r="A4124" s="5">
        <v>4063</v>
      </c>
      <c r="B4124" s="138">
        <f>'Acct Summary 7-8'!E10</f>
        <v>127810</v>
      </c>
      <c r="C4124" s="2" t="s">
        <v>573</v>
      </c>
      <c r="D4124" s="2" t="str">
        <f t="shared" si="63"/>
        <v>Error?</v>
      </c>
    </row>
    <row r="4125" spans="1:4" x14ac:dyDescent="0.2">
      <c r="A4125" s="5">
        <v>4064</v>
      </c>
      <c r="B4125" s="138">
        <f>'Acct Summary 7-8'!F10</f>
        <v>70616</v>
      </c>
      <c r="C4125" s="2" t="s">
        <v>573</v>
      </c>
      <c r="D4125" s="2" t="str">
        <f t="shared" si="63"/>
        <v>Error?</v>
      </c>
    </row>
    <row r="4126" spans="1:4" x14ac:dyDescent="0.2">
      <c r="A4126" s="5">
        <v>4065</v>
      </c>
      <c r="B4126" s="138">
        <f>'Acct Summary 7-8'!G10</f>
        <v>63281</v>
      </c>
      <c r="C4126" s="2" t="s">
        <v>573</v>
      </c>
      <c r="D4126" s="2" t="str">
        <f t="shared" si="63"/>
        <v>Error?</v>
      </c>
    </row>
    <row r="4127" spans="1:4" x14ac:dyDescent="0.2">
      <c r="A4127" s="5">
        <v>4066</v>
      </c>
      <c r="B4127" s="138">
        <f>'Acct Summary 7-8'!H10</f>
        <v>10550</v>
      </c>
      <c r="C4127" s="2" t="s">
        <v>573</v>
      </c>
      <c r="D4127" s="2" t="str">
        <f t="shared" si="63"/>
        <v>Error?</v>
      </c>
    </row>
    <row r="4128" spans="1:4" x14ac:dyDescent="0.2">
      <c r="A4128" s="5">
        <v>4067</v>
      </c>
      <c r="B4128" s="138">
        <f>'Acct Summary 7-8'!I10</f>
        <v>12182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10746</v>
      </c>
      <c r="C4130" s="2" t="s">
        <v>573</v>
      </c>
      <c r="D4130" s="2" t="str">
        <f t="shared" si="63"/>
        <v>Error?</v>
      </c>
    </row>
    <row r="4131" spans="1:4" x14ac:dyDescent="0.2">
      <c r="A4131" s="5">
        <v>4070</v>
      </c>
      <c r="B4131" s="138">
        <f>'Acct Summary 7-8'!C18</f>
        <v>459280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2226318</v>
      </c>
      <c r="C4136" s="2" t="s">
        <v>573</v>
      </c>
      <c r="D4136" s="2" t="str">
        <f t="shared" si="63"/>
        <v>Error?</v>
      </c>
    </row>
    <row r="4137" spans="1:4" x14ac:dyDescent="0.2">
      <c r="A4137" s="5">
        <v>4076</v>
      </c>
      <c r="B4137" s="138">
        <f>'Acct Summary 7-8'!D19</f>
        <v>70464</v>
      </c>
      <c r="C4137" s="2" t="s">
        <v>573</v>
      </c>
      <c r="D4137" s="2" t="str">
        <f t="shared" si="63"/>
        <v>Error?</v>
      </c>
    </row>
    <row r="4138" spans="1:4" x14ac:dyDescent="0.2">
      <c r="A4138" s="5">
        <v>4077</v>
      </c>
      <c r="B4138" s="138">
        <f>'Acct Summary 7-8'!E19</f>
        <v>127781</v>
      </c>
      <c r="C4138" s="2" t="s">
        <v>573</v>
      </c>
      <c r="D4138" s="2" t="str">
        <f t="shared" si="63"/>
        <v>Error?</v>
      </c>
    </row>
    <row r="4139" spans="1:4" x14ac:dyDescent="0.2">
      <c r="A4139" s="5">
        <v>4078</v>
      </c>
      <c r="B4139" s="138">
        <f>'Acct Summary 7-8'!F19</f>
        <v>91370</v>
      </c>
      <c r="C4139" s="2" t="s">
        <v>573</v>
      </c>
      <c r="D4139" s="2" t="str">
        <f t="shared" si="63"/>
        <v>Error?</v>
      </c>
    </row>
    <row r="4140" spans="1:4" x14ac:dyDescent="0.2">
      <c r="A4140" s="5">
        <v>4079</v>
      </c>
      <c r="B4140" s="138">
        <f>'Acct Summary 7-8'!G19</f>
        <v>42600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410000</v>
      </c>
      <c r="C4171" s="2" t="s">
        <v>573</v>
      </c>
      <c r="D4171" s="2" t="str">
        <f t="shared" si="64"/>
        <v>Error?</v>
      </c>
    </row>
    <row r="4172" spans="1:4" x14ac:dyDescent="0.2">
      <c r="A4172" s="5">
        <v>4111</v>
      </c>
      <c r="B4172" s="138">
        <f>'Short-Term Long-Term Debt 24'!J49</f>
        <v>410000</v>
      </c>
      <c r="C4172" s="2" t="s">
        <v>573</v>
      </c>
      <c r="D4172" s="2" t="str">
        <f t="shared" si="64"/>
        <v>Error?</v>
      </c>
    </row>
    <row r="4173" spans="1:4" x14ac:dyDescent="0.2">
      <c r="A4173" s="5">
        <v>4112</v>
      </c>
      <c r="B4173" s="138">
        <f>'Short-Term Long-Term Debt 24'!H49</f>
        <v>105000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2679.8700000000003</v>
      </c>
      <c r="C4265" s="2" t="s">
        <v>573</v>
      </c>
      <c r="D4265" s="2" t="str">
        <f t="shared" si="65"/>
        <v>Error?</v>
      </c>
      <c r="E4265" s="128"/>
    </row>
    <row r="4266" spans="1:5" x14ac:dyDescent="0.2">
      <c r="A4266" s="12">
        <v>4205</v>
      </c>
      <c r="B4266" s="138">
        <f>('FP Info 3'!F10)*100000</f>
        <v>541.66999999999996</v>
      </c>
      <c r="C4266" s="2" t="s">
        <v>573</v>
      </c>
      <c r="D4266" s="2" t="str">
        <f t="shared" si="65"/>
        <v>Error?</v>
      </c>
      <c r="E4266" s="128"/>
    </row>
    <row r="4267" spans="1:5" x14ac:dyDescent="0.2">
      <c r="A4267" s="12">
        <v>4206</v>
      </c>
      <c r="B4267" s="138">
        <f>('FP Info 3'!H10)*100000</f>
        <v>198.51000000000002</v>
      </c>
      <c r="C4267" s="2" t="s">
        <v>573</v>
      </c>
      <c r="D4267" s="2" t="str">
        <f t="shared" si="65"/>
        <v>Error?</v>
      </c>
      <c r="E4267" s="128"/>
    </row>
    <row r="4268" spans="1:5" x14ac:dyDescent="0.2">
      <c r="A4268" s="12">
        <v>4207</v>
      </c>
      <c r="B4268" s="138">
        <f>('FP Info 3'!J10)*100000</f>
        <v>3420</v>
      </c>
      <c r="C4268" s="2" t="s">
        <v>573</v>
      </c>
      <c r="D4268" s="2" t="str">
        <f t="shared" si="65"/>
        <v>Error?</v>
      </c>
    </row>
    <row r="4269" spans="1:5" x14ac:dyDescent="0.2">
      <c r="A4269" s="12">
        <v>4208</v>
      </c>
      <c r="B4269" s="138">
        <f>'FP Info 3'!J16</f>
        <v>1830771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3869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493.82000000000005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50488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22346349</v>
      </c>
      <c r="D4995" s="2" t="str">
        <f t="shared" si="77"/>
        <v>Error?</v>
      </c>
    </row>
    <row r="4996" spans="1:4" x14ac:dyDescent="0.2">
      <c r="A4996" s="12">
        <v>4935</v>
      </c>
      <c r="B4996" s="138">
        <f>'FP Info 3'!H31</f>
        <v>1541898.0810000002</v>
      </c>
      <c r="D4996" s="2" t="str">
        <f t="shared" si="77"/>
        <v>Error?</v>
      </c>
    </row>
    <row r="4997" spans="1:4" x14ac:dyDescent="0.2">
      <c r="A4997" s="12">
        <v>4936</v>
      </c>
      <c r="B4997" s="138">
        <f>'FP Info 3'!H37</f>
        <v>410000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562891</v>
      </c>
      <c r="D5061" s="2" t="str">
        <f t="shared" si="78"/>
        <v>Error?</v>
      </c>
    </row>
    <row r="5062" spans="1:4" x14ac:dyDescent="0.2">
      <c r="A5062" s="10">
        <v>5001</v>
      </c>
      <c r="D5062" s="2" t="str">
        <f t="shared" si="78"/>
        <v>OK</v>
      </c>
    </row>
    <row r="5063" spans="1:4" x14ac:dyDescent="0.2">
      <c r="A5063" s="5">
        <v>5002</v>
      </c>
      <c r="B5063" s="138">
        <f>'Revenues 9-14'!C7</f>
        <v>8339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571230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103398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103398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14225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14225</v>
      </c>
      <c r="C5090" s="2" t="s">
        <v>573</v>
      </c>
      <c r="D5090" s="2" t="str">
        <f t="shared" si="78"/>
        <v>Error?</v>
      </c>
    </row>
    <row r="5091" spans="1:4" x14ac:dyDescent="0.2">
      <c r="A5091" s="5">
        <v>5030</v>
      </c>
      <c r="B5091" s="138">
        <f>'Revenues 9-14'!C70</f>
        <v>134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295</v>
      </c>
      <c r="D5093" s="2" t="str">
        <f t="shared" si="78"/>
        <v>Error?</v>
      </c>
    </row>
    <row r="5094" spans="1:4" x14ac:dyDescent="0.2">
      <c r="A5094" s="5">
        <v>5033</v>
      </c>
      <c r="B5094" s="138">
        <f>'Revenues 9-14'!C73</f>
        <v>1445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25408</v>
      </c>
      <c r="C5096" s="2" t="s">
        <v>573</v>
      </c>
      <c r="D5096" s="2" t="str">
        <f t="shared" si="78"/>
        <v>Error?</v>
      </c>
    </row>
    <row r="5097" spans="1:4" x14ac:dyDescent="0.2">
      <c r="A5097" s="5">
        <v>5036</v>
      </c>
      <c r="B5097" s="138">
        <f>'Revenues 9-14'!C77</f>
        <v>4623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4773</v>
      </c>
      <c r="C5102" s="2" t="s">
        <v>573</v>
      </c>
      <c r="D5102" s="2" t="str">
        <f t="shared" si="78"/>
        <v>Error?</v>
      </c>
    </row>
    <row r="5103" spans="1:4" x14ac:dyDescent="0.2">
      <c r="A5103" s="5">
        <v>5042</v>
      </c>
      <c r="B5103" s="138">
        <f>'Revenues 9-14'!C84</f>
        <v>2790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2790</v>
      </c>
      <c r="C5112" s="2" t="s">
        <v>573</v>
      </c>
      <c r="D5112" s="2" t="str">
        <f t="shared" si="78"/>
        <v>Error?</v>
      </c>
    </row>
    <row r="5113" spans="1:4" x14ac:dyDescent="0.2">
      <c r="A5113" s="5">
        <v>5052</v>
      </c>
      <c r="B5113" s="138">
        <f>'Revenues 9-14'!C95</f>
        <v>35</v>
      </c>
      <c r="D5113" s="2" t="str">
        <f t="shared" si="78"/>
        <v>Error?</v>
      </c>
    </row>
    <row r="5114" spans="1:4" x14ac:dyDescent="0.2">
      <c r="A5114" s="5">
        <v>5053</v>
      </c>
      <c r="B5114" s="138">
        <f>'Revenues 9-14'!C96</f>
        <v>7709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21</v>
      </c>
      <c r="D5118" s="2" t="str">
        <f t="shared" si="78"/>
        <v>Error?</v>
      </c>
    </row>
    <row r="5119" spans="1:4" x14ac:dyDescent="0.2">
      <c r="A5119" s="5">
        <v>5058</v>
      </c>
      <c r="B5119" s="138">
        <f>'Revenues 9-14'!C107</f>
        <v>107</v>
      </c>
      <c r="D5119" s="2" t="str">
        <f t="shared" ref="D5119:D5182" si="79">IF(ISBLANK(B5119),"OK",IF(A5119-B5119=0,"OK","Error?"))</f>
        <v>Error?</v>
      </c>
    </row>
    <row r="5120" spans="1:4" x14ac:dyDescent="0.2">
      <c r="A5120" s="5">
        <v>5059</v>
      </c>
      <c r="B5120" s="138">
        <f>'Revenues 9-14'!C108</f>
        <v>58360</v>
      </c>
      <c r="C5120" s="2" t="s">
        <v>573</v>
      </c>
      <c r="D5120" s="2" t="str">
        <f t="shared" si="79"/>
        <v>Error?</v>
      </c>
    </row>
    <row r="5121" spans="1:4" x14ac:dyDescent="0.2">
      <c r="A5121" s="5">
        <v>5060</v>
      </c>
      <c r="B5121" s="138">
        <f>'Revenues 9-14'!C109</f>
        <v>780184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997402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997402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773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773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998175</v>
      </c>
      <c r="C5223" s="2" t="s">
        <v>573</v>
      </c>
      <c r="D5223" s="2" t="str">
        <f t="shared" si="80"/>
        <v>Error?</v>
      </c>
    </row>
    <row r="5224" spans="1:4" x14ac:dyDescent="0.2">
      <c r="A5224" s="5">
        <v>5163</v>
      </c>
      <c r="B5224" s="138">
        <f>'Revenues 9-14'!C173</f>
        <v>37108</v>
      </c>
      <c r="D5224" s="2" t="str">
        <f t="shared" si="80"/>
        <v>Error?</v>
      </c>
    </row>
    <row r="5225" spans="1:4" x14ac:dyDescent="0.2">
      <c r="A5225" s="5">
        <v>5164</v>
      </c>
      <c r="B5225" s="138">
        <f>'Revenues 9-14'!C175</f>
        <v>37108</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30683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12932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43615</v>
      </c>
      <c r="C5246" s="2" t="s">
        <v>573</v>
      </c>
      <c r="D5246" s="2" t="str">
        <f t="shared" si="80"/>
        <v>Error?</v>
      </c>
    </row>
    <row r="5247" spans="1:4" x14ac:dyDescent="0.2">
      <c r="A5247" s="5">
        <v>5186</v>
      </c>
      <c r="B5247" s="138">
        <f>'Revenues 9-14'!C200</f>
        <v>40608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40608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4793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4793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92885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129993</v>
      </c>
      <c r="C5326" s="2" t="s">
        <v>573</v>
      </c>
      <c r="D5326" s="2" t="str">
        <f t="shared" si="82"/>
        <v>Error?</v>
      </c>
    </row>
    <row r="5327" spans="1:5" x14ac:dyDescent="0.2">
      <c r="A5327" s="5">
        <v>5266</v>
      </c>
      <c r="B5327" s="138">
        <f>'Revenues 9-14'!C268</f>
        <v>1908352</v>
      </c>
      <c r="C5327" s="2" t="s">
        <v>573</v>
      </c>
      <c r="D5327" s="2" t="str">
        <f t="shared" si="82"/>
        <v>Error?</v>
      </c>
    </row>
    <row r="5328" spans="1:5" x14ac:dyDescent="0.2">
      <c r="A5328" s="5">
        <v>5267</v>
      </c>
      <c r="B5328" s="138">
        <f>'Revenues 9-14'!D5</f>
        <v>104239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104239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8042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8042</v>
      </c>
      <c r="C5339" s="2" t="s">
        <v>573</v>
      </c>
      <c r="D5339" s="2" t="str">
        <f t="shared" si="82"/>
        <v>Error?</v>
      </c>
    </row>
    <row r="5340" spans="1:4" x14ac:dyDescent="0.2">
      <c r="A5340" s="5">
        <v>5279</v>
      </c>
      <c r="B5340" s="138">
        <f>'Revenues 9-14'!D65</f>
        <v>581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235</v>
      </c>
      <c r="C5355" s="2" t="s">
        <v>573</v>
      </c>
      <c r="D5355" s="2" t="str">
        <f t="shared" si="82"/>
        <v>Error?</v>
      </c>
    </row>
    <row r="5356" spans="1:4" x14ac:dyDescent="0.2">
      <c r="A5356" s="5">
        <v>5295</v>
      </c>
      <c r="B5356" s="138">
        <f>'Revenues 9-14'!D109</f>
        <v>113097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113097</v>
      </c>
      <c r="C5508" s="2" t="s">
        <v>573</v>
      </c>
      <c r="D5508" s="2" t="str">
        <f t="shared" si="85"/>
        <v>Error?</v>
      </c>
    </row>
    <row r="5509" spans="1:4" x14ac:dyDescent="0.2">
      <c r="A5509" s="5">
        <v>5448</v>
      </c>
      <c r="B5509" s="138">
        <f>'Revenues 9-14'!E5</f>
        <v>125204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125204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125310</v>
      </c>
      <c r="C5527" s="2" t="s">
        <v>573</v>
      </c>
      <c r="D5527" s="2" t="str">
        <f t="shared" si="85"/>
        <v>Error?</v>
      </c>
    </row>
    <row r="5528" spans="1:4" x14ac:dyDescent="0.2">
      <c r="A5528" s="5">
        <v>5467</v>
      </c>
      <c r="B5528" s="138">
        <f>'Revenues 9-14'!E117</f>
        <v>2500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2500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2500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127810</v>
      </c>
      <c r="C5552" s="2" t="s">
        <v>573</v>
      </c>
      <c r="D5552" s="2" t="str">
        <f t="shared" si="85"/>
        <v>Error?</v>
      </c>
    </row>
    <row r="5553" spans="1:4" x14ac:dyDescent="0.2">
      <c r="A5553" s="5">
        <v>5492</v>
      </c>
      <c r="B5553" s="138">
        <f>'Revenues 9-14'!F5</f>
        <v>41696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41696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1509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1509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43205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27411</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27411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27411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27411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70616</v>
      </c>
      <c r="C5720" s="2" t="s">
        <v>573</v>
      </c>
      <c r="D5720" s="2" t="str">
        <f t="shared" si="88"/>
        <v>Error?</v>
      </c>
    </row>
    <row r="5721" spans="1:4" x14ac:dyDescent="0.2">
      <c r="A5721" s="5">
        <v>5660</v>
      </c>
      <c r="B5721" s="138">
        <f>'Revenues 9-14'!G5</f>
        <v>25863</v>
      </c>
      <c r="D5721" s="2" t="str">
        <f t="shared" si="88"/>
        <v>Error?</v>
      </c>
    </row>
    <row r="5722" spans="1:4" x14ac:dyDescent="0.2">
      <c r="A5722" s="5">
        <v>5661</v>
      </c>
      <c r="B5722" s="138">
        <f>'Revenues 9-14'!G7</f>
        <v>0</v>
      </c>
      <c r="D5722" s="2" t="str">
        <f t="shared" si="88"/>
        <v>Error?</v>
      </c>
    </row>
    <row r="5723" spans="1:4" x14ac:dyDescent="0.2">
      <c r="A5723" s="5">
        <v>5662</v>
      </c>
      <c r="B5723" s="138">
        <f>'Revenues 9-14'!G8</f>
        <v>32491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58354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3447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3447</v>
      </c>
      <c r="C5730" s="2" t="s">
        <v>573</v>
      </c>
      <c r="D5730" s="2" t="str">
        <f t="shared" si="88"/>
        <v>Error?</v>
      </c>
    </row>
    <row r="5731" spans="1:4" x14ac:dyDescent="0.2">
      <c r="A5731" s="5">
        <v>5670</v>
      </c>
      <c r="B5731" s="138">
        <f>'Revenues 9-14'!G65</f>
        <v>1480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1480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63281</v>
      </c>
      <c r="C5870" s="2" t="s">
        <v>573</v>
      </c>
      <c r="D5870" s="2" t="str">
        <f t="shared" si="90"/>
        <v>Error?</v>
      </c>
    </row>
    <row r="5871" spans="1:4" x14ac:dyDescent="0.2">
      <c r="A5871" s="5">
        <v>5810</v>
      </c>
      <c r="B5871" s="138">
        <f>'Revenues 9-14'!H5</f>
        <v>10421</v>
      </c>
      <c r="D5871" s="2" t="str">
        <f t="shared" si="90"/>
        <v>Error?</v>
      </c>
    </row>
    <row r="5872" spans="1:4" x14ac:dyDescent="0.2">
      <c r="A5872" s="5">
        <v>5811</v>
      </c>
      <c r="B5872" s="138">
        <f>'Revenues 9-14'!H11</f>
        <v>0</v>
      </c>
      <c r="D5872" s="2" t="str">
        <f t="shared" si="90"/>
        <v>Error?</v>
      </c>
    </row>
    <row r="5873" spans="1:4" x14ac:dyDescent="0.2">
      <c r="A5873" s="5">
        <v>5812</v>
      </c>
      <c r="B5873" s="138">
        <f>'Revenues 9-14'!H12</f>
        <v>10421</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10550</v>
      </c>
      <c r="C5915" s="2" t="s">
        <v>573</v>
      </c>
      <c r="D5915" s="2" t="str">
        <f t="shared" si="91"/>
        <v>Error?</v>
      </c>
    </row>
    <row r="5916" spans="1:4" x14ac:dyDescent="0.2">
      <c r="A5916" s="5">
        <v>5855</v>
      </c>
      <c r="B5916" s="138">
        <f>'Revenues 9-14'!I5</f>
        <v>10424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10424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1758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12182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10424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10424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322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10746</v>
      </c>
      <c r="C6023" s="2" t="s">
        <v>573</v>
      </c>
      <c r="D6023" s="2" t="str">
        <f t="shared" si="93"/>
        <v>Error?</v>
      </c>
    </row>
    <row r="6024" spans="1:5" x14ac:dyDescent="0.2">
      <c r="A6024" s="5">
        <v>5963</v>
      </c>
      <c r="B6024" s="138">
        <f>'Revenues 9-14'!G109</f>
        <v>63281</v>
      </c>
      <c r="C6024" s="2" t="s">
        <v>573</v>
      </c>
      <c r="D6024" s="2" t="str">
        <f t="shared" si="93"/>
        <v>Error?</v>
      </c>
    </row>
    <row r="6025" spans="1:5" x14ac:dyDescent="0.2">
      <c r="A6025" s="5">
        <v>5964</v>
      </c>
      <c r="B6025" s="138">
        <f>'Revenues 9-14'!H109</f>
        <v>10550</v>
      </c>
      <c r="C6025" s="2" t="s">
        <v>573</v>
      </c>
      <c r="D6025" s="2" t="str">
        <f t="shared" si="93"/>
        <v>Error?</v>
      </c>
    </row>
    <row r="6026" spans="1:5" x14ac:dyDescent="0.2">
      <c r="A6026" s="5">
        <v>5965</v>
      </c>
      <c r="B6026" s="138">
        <f>'Revenues 9-14'!I109</f>
        <v>12182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10746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23534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145.1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3652</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9790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9790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9790</v>
      </c>
      <c r="D6216" s="2" t="str">
        <f t="shared" si="96"/>
        <v>Error?</v>
      </c>
      <c r="E6216" s="2" t="s">
        <v>190</v>
      </c>
    </row>
    <row r="6217" spans="1:5" x14ac:dyDescent="0.2">
      <c r="A6217">
        <v>6156</v>
      </c>
      <c r="B6217" s="138">
        <f>'Assets-Liab 5-6'!J4</f>
        <v>9790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99999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99999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99999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114167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114167</v>
      </c>
      <c r="D6229" s="2" t="str">
        <f t="shared" si="96"/>
        <v>Error?</v>
      </c>
      <c r="E6229" s="2" t="s">
        <v>190</v>
      </c>
    </row>
    <row r="6230" spans="1:5" x14ac:dyDescent="0.2">
      <c r="A6230">
        <v>6169</v>
      </c>
      <c r="B6230" s="138">
        <f>'Acct Summary 7-8'!J20</f>
        <v>-14168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-14168</v>
      </c>
      <c r="D6263" s="2" t="str">
        <f t="shared" si="96"/>
        <v>Error?</v>
      </c>
      <c r="E6263" s="2" t="s">
        <v>190</v>
      </c>
    </row>
    <row r="6264" spans="1:5" x14ac:dyDescent="0.2">
      <c r="A6264">
        <v>6203</v>
      </c>
      <c r="B6264" s="138">
        <f>'Acct Summary 7-8'!J79</f>
        <v>23958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9790</v>
      </c>
      <c r="D6266" s="2" t="str">
        <f t="shared" si="96"/>
        <v>Error?</v>
      </c>
      <c r="E6266" s="2" t="s">
        <v>190</v>
      </c>
    </row>
    <row r="6267" spans="1:5" x14ac:dyDescent="0.2">
      <c r="A6267">
        <v>6206</v>
      </c>
      <c r="B6267" s="138">
        <f>'Acct Summary 7-8'!C82</f>
        <v>141314</v>
      </c>
      <c r="D6267" s="2" t="str">
        <f t="shared" si="96"/>
        <v>Error?</v>
      </c>
      <c r="E6267" s="2" t="s">
        <v>190</v>
      </c>
    </row>
    <row r="6268" spans="1:5" x14ac:dyDescent="0.2">
      <c r="A6268">
        <v>6207</v>
      </c>
      <c r="B6268" s="138">
        <f>'Acct Summary 7-8'!D82</f>
        <v>42633</v>
      </c>
      <c r="D6268" s="2" t="str">
        <f t="shared" si="96"/>
        <v>Error?</v>
      </c>
      <c r="E6268" s="2" t="s">
        <v>190</v>
      </c>
    </row>
    <row r="6269" spans="1:5" x14ac:dyDescent="0.2">
      <c r="A6269">
        <v>6208</v>
      </c>
      <c r="B6269" s="138">
        <f>'Acct Summary 7-8'!E82</f>
        <v>29</v>
      </c>
      <c r="D6269" s="2" t="str">
        <f t="shared" si="96"/>
        <v>Error?</v>
      </c>
      <c r="E6269" s="2" t="s">
        <v>190</v>
      </c>
    </row>
    <row r="6270" spans="1:5" x14ac:dyDescent="0.2">
      <c r="A6270">
        <v>6209</v>
      </c>
      <c r="B6270" s="138">
        <f>'Acct Summary 7-8'!F82</f>
        <v>-20754</v>
      </c>
      <c r="D6270" s="2" t="str">
        <f t="shared" si="96"/>
        <v>Error?</v>
      </c>
      <c r="E6270" s="2" t="s">
        <v>190</v>
      </c>
    </row>
    <row r="6271" spans="1:5" x14ac:dyDescent="0.2">
      <c r="A6271">
        <v>6210</v>
      </c>
      <c r="B6271" s="138">
        <f>'Acct Summary 7-8'!G82</f>
        <v>20681</v>
      </c>
      <c r="D6271" s="2" t="str">
        <f t="shared" ref="D6271:D6334" si="97">IF(ISBLANK(B6271),"OK",IF(A6271-B6271=0,"OK","Error?"))</f>
        <v>Error?</v>
      </c>
      <c r="E6271" s="2" t="s">
        <v>190</v>
      </c>
    </row>
    <row r="6272" spans="1:5" x14ac:dyDescent="0.2">
      <c r="A6272">
        <v>6211</v>
      </c>
      <c r="B6272" s="138">
        <f>'Acct Summary 7-8'!H82</f>
        <v>10550</v>
      </c>
      <c r="D6272" s="2" t="str">
        <f t="shared" si="97"/>
        <v>Error?</v>
      </c>
      <c r="E6272" s="2" t="s">
        <v>190</v>
      </c>
    </row>
    <row r="6273" spans="1:5" x14ac:dyDescent="0.2">
      <c r="A6273">
        <v>6212</v>
      </c>
      <c r="B6273" s="138">
        <f>'Acct Summary 7-8'!I82</f>
        <v>12182</v>
      </c>
      <c r="D6273" s="2" t="str">
        <f t="shared" si="97"/>
        <v>Error?</v>
      </c>
      <c r="E6273" s="2" t="s">
        <v>190</v>
      </c>
    </row>
    <row r="6274" spans="1:5" x14ac:dyDescent="0.2">
      <c r="A6274">
        <v>6213</v>
      </c>
      <c r="B6274" s="138">
        <f>'Acct Summary 7-8'!J82</f>
        <v>-14168</v>
      </c>
      <c r="D6274" s="2" t="str">
        <f t="shared" si="97"/>
        <v>Error?</v>
      </c>
      <c r="E6274" s="2" t="s">
        <v>190</v>
      </c>
    </row>
    <row r="6275" spans="1:5" x14ac:dyDescent="0.2">
      <c r="A6275">
        <v>6214</v>
      </c>
      <c r="B6275" s="138">
        <f>'Acct Summary 7-8'!K82</f>
        <v>10746</v>
      </c>
      <c r="D6275" s="2" t="str">
        <f t="shared" si="97"/>
        <v>Error?</v>
      </c>
      <c r="E6275" s="2" t="s">
        <v>190</v>
      </c>
    </row>
    <row r="6276" spans="1:5" x14ac:dyDescent="0.2">
      <c r="A6276">
        <v>6215</v>
      </c>
      <c r="B6276" s="138">
        <f>'Acct Summary 7-8'!C83</f>
        <v>0.12125991413966762</v>
      </c>
      <c r="D6276" s="2" t="str">
        <f t="shared" si="97"/>
        <v>Error?</v>
      </c>
      <c r="E6276" s="2" t="s">
        <v>190</v>
      </c>
    </row>
    <row r="6277" spans="1:5" x14ac:dyDescent="0.2">
      <c r="A6277">
        <v>6216</v>
      </c>
      <c r="B6277" s="138">
        <f>'Acct Summary 7-8'!D83</f>
        <v>0.41863959071850115</v>
      </c>
      <c r="D6277" s="2" t="str">
        <f t="shared" si="97"/>
        <v>Error?</v>
      </c>
      <c r="E6277" s="2" t="s">
        <v>190</v>
      </c>
    </row>
    <row r="6278" spans="1:5" x14ac:dyDescent="0.2">
      <c r="A6278">
        <v>6217</v>
      </c>
      <c r="B6278" s="138">
        <f>'Acct Summary 7-8'!E83</f>
        <v>0.46031746031746029</v>
      </c>
      <c r="D6278" s="2" t="str">
        <f t="shared" si="97"/>
        <v>Error?</v>
      </c>
      <c r="E6278" s="2" t="s">
        <v>190</v>
      </c>
    </row>
    <row r="6279" spans="1:5" x14ac:dyDescent="0.2">
      <c r="A6279">
        <v>6218</v>
      </c>
      <c r="B6279" s="138">
        <f>'Acct Summary 7-8'!F83</f>
        <v>-0.1398046480296396</v>
      </c>
      <c r="D6279" s="2" t="str">
        <f t="shared" si="97"/>
        <v>Error?</v>
      </c>
      <c r="E6279" s="2" t="s">
        <v>190</v>
      </c>
    </row>
    <row r="6280" spans="1:5" x14ac:dyDescent="0.2">
      <c r="A6280">
        <v>6219</v>
      </c>
      <c r="B6280" s="138">
        <f>'Acct Summary 7-8'!G83</f>
        <v>0.74684915676573616</v>
      </c>
      <c r="D6280" s="2" t="str">
        <f t="shared" si="97"/>
        <v>Error?</v>
      </c>
      <c r="E6280" s="2" t="s">
        <v>190</v>
      </c>
    </row>
    <row r="6281" spans="1:5" x14ac:dyDescent="0.2">
      <c r="A6281">
        <v>6220</v>
      </c>
      <c r="B6281" s="138">
        <f>'Acct Summary 7-8'!H83</f>
        <v>0.51226025734401559</v>
      </c>
      <c r="D6281" s="2" t="str">
        <f t="shared" si="97"/>
        <v>Error?</v>
      </c>
      <c r="E6281" s="2" t="s">
        <v>190</v>
      </c>
    </row>
    <row r="6282" spans="1:5" x14ac:dyDescent="0.2">
      <c r="A6282">
        <v>6221</v>
      </c>
      <c r="B6282" s="138">
        <f>'Acct Summary 7-8'!I83</f>
        <v>2.9346933170803391E-2</v>
      </c>
      <c r="D6282" s="2" t="str">
        <f t="shared" si="97"/>
        <v>Error?</v>
      </c>
      <c r="E6282" s="2" t="s">
        <v>190</v>
      </c>
    </row>
    <row r="6283" spans="1:5" x14ac:dyDescent="0.2">
      <c r="A6283">
        <v>6222</v>
      </c>
      <c r="B6283" s="138">
        <f>'Acct Summary 7-8'!J83</f>
        <v>-1.4471910112359549</v>
      </c>
      <c r="D6283" s="2" t="str">
        <f t="shared" si="97"/>
        <v>Error?</v>
      </c>
      <c r="E6283" s="2" t="s">
        <v>190</v>
      </c>
    </row>
    <row r="6284" spans="1:5" x14ac:dyDescent="0.2">
      <c r="A6284">
        <v>6223</v>
      </c>
      <c r="B6284" s="138">
        <f>'Acct Summary 7-8'!K83</f>
        <v>0.15182898399197478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99462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99462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99999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26455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27772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44403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23750</v>
      </c>
      <c r="D6896" s="2" t="str">
        <f t="shared" si="106"/>
        <v>Error?</v>
      </c>
    </row>
    <row r="6897" spans="1:4" x14ac:dyDescent="0.2">
      <c r="A6897">
        <v>6836</v>
      </c>
      <c r="B6897" s="138">
        <f>'Expenditures 15-22'!K30</f>
        <v>23750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507665</v>
      </c>
      <c r="D6981" s="2" t="str">
        <f t="shared" si="108"/>
        <v>Error?</v>
      </c>
    </row>
    <row r="6982" spans="1:4" x14ac:dyDescent="0.2">
      <c r="A6982">
        <v>6921</v>
      </c>
      <c r="B6982" s="138">
        <f>'Expenditures 15-22'!K85</f>
        <v>507665</v>
      </c>
      <c r="D6982" s="2" t="str">
        <f t="shared" si="108"/>
        <v>Error?</v>
      </c>
    </row>
    <row r="6983" spans="1:4" x14ac:dyDescent="0.2">
      <c r="A6983">
        <v>6922</v>
      </c>
      <c r="B6983" s="138">
        <f>'Expenditures 15-22'!H86</f>
        <v>31782</v>
      </c>
      <c r="D6983" s="2" t="str">
        <f t="shared" si="108"/>
        <v>Error?</v>
      </c>
    </row>
    <row r="6984" spans="1:4" x14ac:dyDescent="0.2">
      <c r="A6984">
        <v>6923</v>
      </c>
      <c r="B6984" s="138">
        <f>'Expenditures 15-22'!K86</f>
        <v>31782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539447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4423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4423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4423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114167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4423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99999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1562</v>
      </c>
      <c r="D7073" s="2" t="str">
        <f t="shared" si="109"/>
        <v>Error?</v>
      </c>
    </row>
    <row r="7074" spans="1:4" x14ac:dyDescent="0.2">
      <c r="A7074">
        <v>7013</v>
      </c>
      <c r="B7074" s="138">
        <f>'Expenditures 15-22'!K216</f>
        <v>1562</v>
      </c>
      <c r="D7074" s="2" t="str">
        <f t="shared" si="109"/>
        <v>Error?</v>
      </c>
    </row>
    <row r="7075" spans="1:4" x14ac:dyDescent="0.2">
      <c r="A7075">
        <v>7014</v>
      </c>
      <c r="B7075" s="138">
        <f>'Expenditures 15-22'!D218</f>
        <v>423</v>
      </c>
      <c r="D7075" s="2" t="str">
        <f t="shared" si="109"/>
        <v>Error?</v>
      </c>
    </row>
    <row r="7076" spans="1:4" x14ac:dyDescent="0.2">
      <c r="A7076">
        <v>7015</v>
      </c>
      <c r="B7076" s="138">
        <f>'Expenditures 15-22'!K218</f>
        <v>423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15342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15342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92975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92975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5850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5850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114167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114167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114167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114167</v>
      </c>
      <c r="D7224" s="2" t="str">
        <f t="shared" si="111"/>
        <v>Error?</v>
      </c>
    </row>
    <row r="7225" spans="1:4" x14ac:dyDescent="0.2">
      <c r="A7225">
        <v>7164</v>
      </c>
      <c r="B7225" s="138">
        <f>'Expenditures 15-22'!K343</f>
        <v>-14168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1317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39497</v>
      </c>
      <c r="D7251" s="2" t="str">
        <f t="shared" si="112"/>
        <v>Error?</v>
      </c>
    </row>
    <row r="7252" spans="1:4" x14ac:dyDescent="0.2">
      <c r="A7252">
        <f t="shared" si="113"/>
        <v>7191</v>
      </c>
      <c r="B7252" s="138">
        <f>'Expenditures 15-22'!D9</f>
        <v>4884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76606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76606</v>
      </c>
      <c r="D7618" s="2" t="str">
        <f t="shared" si="124"/>
        <v>Error?</v>
      </c>
      <c r="E7618" s="2" t="s">
        <v>19</v>
      </c>
    </row>
    <row r="7619" spans="1:5" x14ac:dyDescent="0.2">
      <c r="A7619">
        <f t="shared" si="123"/>
        <v>7558</v>
      </c>
      <c r="B7619" s="138">
        <f>'Cap Outlay Deprec 26'!H14</f>
        <v>48999</v>
      </c>
      <c r="D7619" s="2" t="str">
        <f t="shared" si="124"/>
        <v>Error?</v>
      </c>
      <c r="E7619" s="2" t="s">
        <v>19</v>
      </c>
    </row>
    <row r="7620" spans="1:5" x14ac:dyDescent="0.2">
      <c r="A7620">
        <f t="shared" si="123"/>
        <v>7559</v>
      </c>
      <c r="B7620" s="138">
        <f>'Cap Outlay Deprec 26'!I14</f>
        <v>6827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55826</v>
      </c>
      <c r="D7622" s="2" t="str">
        <f t="shared" si="124"/>
        <v>Error?</v>
      </c>
      <c r="E7622" s="2" t="s">
        <v>19</v>
      </c>
    </row>
    <row r="7623" spans="1:5" x14ac:dyDescent="0.2">
      <c r="A7623">
        <f t="shared" si="123"/>
        <v>7562</v>
      </c>
      <c r="B7623" s="138">
        <f>'Cap Outlay Deprec 26'!L14</f>
        <v>20780</v>
      </c>
      <c r="D7623" s="2" t="str">
        <f t="shared" si="124"/>
        <v>Error?</v>
      </c>
      <c r="E7623" s="2" t="s">
        <v>19</v>
      </c>
    </row>
    <row r="7624" spans="1:5" x14ac:dyDescent="0.2">
      <c r="A7624">
        <f t="shared" si="123"/>
        <v>7563</v>
      </c>
      <c r="B7624" s="138">
        <f>'Cap Outlay Deprec 26'!F17</f>
        <v>4548</v>
      </c>
      <c r="D7624" s="2" t="str">
        <f t="shared" si="124"/>
        <v>Error?</v>
      </c>
      <c r="E7624" s="2" t="s">
        <v>19</v>
      </c>
    </row>
    <row r="7625" spans="1:5" x14ac:dyDescent="0.2">
      <c r="A7625">
        <f t="shared" si="123"/>
        <v>7564</v>
      </c>
      <c r="B7625" s="138">
        <f>'Cap Outlay Deprec 26'!I17</f>
        <v>454.8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59743.8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1988</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Potomac CUSD 10</v>
      </c>
      <c r="B7" s="2382"/>
      <c r="C7" s="2382"/>
      <c r="D7" s="2419"/>
      <c r="E7" s="2420">
        <f>COVER!A13</f>
        <v>54092010026</v>
      </c>
      <c r="F7" s="2421"/>
      <c r="G7" s="2388" t="str">
        <f>COVER!T23</f>
        <v>065-019320</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Daughhetee and Parks Management Consulting PC</v>
      </c>
      <c r="H9" s="2395"/>
      <c r="I9" s="2395"/>
      <c r="J9" s="2395"/>
      <c r="K9" s="2395"/>
      <c r="L9" s="2396"/>
    </row>
    <row r="10" spans="1:29" ht="13.5" customHeight="1" x14ac:dyDescent="0.2">
      <c r="A10" s="2378" t="str">
        <f>COVER!A38</f>
        <v>Jim Owens</v>
      </c>
      <c r="B10" s="2379"/>
      <c r="C10" s="2379"/>
      <c r="D10" s="2379"/>
      <c r="E10" s="2379"/>
      <c r="F10" s="2380"/>
      <c r="G10" s="2394" t="str">
        <f>COVER!T17</f>
        <v>2200 Kickapoo Drive STE A</v>
      </c>
      <c r="H10" s="2407"/>
      <c r="I10" s="2407"/>
      <c r="J10" s="2407"/>
      <c r="K10" s="2407"/>
      <c r="L10" s="2408"/>
    </row>
    <row r="11" spans="1:29" ht="13.5" customHeight="1" x14ac:dyDescent="0.2">
      <c r="A11" s="1184" t="s">
        <v>1519</v>
      </c>
      <c r="B11" s="1185"/>
      <c r="C11" s="1186"/>
      <c r="D11" s="1191"/>
      <c r="E11" s="1186"/>
      <c r="F11" s="1190"/>
      <c r="G11" s="2394" t="str">
        <f>COVER!T19</f>
        <v xml:space="preserve">Danville </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pparkscpa@gmail.com</v>
      </c>
      <c r="J13" s="2416"/>
      <c r="K13" s="2416"/>
      <c r="L13" s="2417"/>
    </row>
    <row r="14" spans="1:29" ht="13.5" customHeight="1" x14ac:dyDescent="0.2">
      <c r="A14" s="2394" t="str">
        <f>COVER!A19</f>
        <v>7915 U.S. 136</v>
      </c>
      <c r="B14" s="2407"/>
      <c r="C14" s="2407"/>
      <c r="D14" s="2407"/>
      <c r="E14" s="2407"/>
      <c r="F14" s="2408"/>
      <c r="G14" s="1195" t="s">
        <v>1185</v>
      </c>
      <c r="H14" s="1193"/>
      <c r="I14" s="1193"/>
      <c r="J14" s="1193"/>
      <c r="K14" s="1193"/>
      <c r="L14" s="1194"/>
    </row>
    <row r="15" spans="1:29" ht="13.5" customHeight="1" x14ac:dyDescent="0.2">
      <c r="A15" s="2394" t="str">
        <f>COVER!A21</f>
        <v>Potomac , Illinois</v>
      </c>
      <c r="B15" s="2407"/>
      <c r="C15" s="2407"/>
      <c r="D15" s="2407"/>
      <c r="E15" s="2407"/>
      <c r="F15" s="2408"/>
      <c r="G15" s="2404" t="str">
        <f>COVER!T15</f>
        <v>Phyllis Parks</v>
      </c>
      <c r="H15" s="2405"/>
      <c r="I15" s="2405"/>
      <c r="J15" s="2405"/>
      <c r="K15" s="2405"/>
      <c r="L15" s="2406"/>
    </row>
    <row r="16" spans="1:29" ht="12.2" customHeight="1" x14ac:dyDescent="0.2">
      <c r="A16" s="2384">
        <f>COVER!A25</f>
        <v>61865</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217-431-2727</v>
      </c>
      <c r="H18" s="2382"/>
      <c r="I18" s="2382"/>
      <c r="J18" s="2382"/>
      <c r="K18" s="2381" t="str">
        <f>COVER!X21</f>
        <v>217-431-3273</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Potomac CUSD 10</v>
      </c>
      <c r="B1" s="2418"/>
      <c r="C1" s="2418"/>
      <c r="D1" s="2418"/>
    </row>
    <row r="2" spans="1:11" s="1212" customFormat="1" ht="12.75" x14ac:dyDescent="0.2">
      <c r="A2" s="2423">
        <f>'Single Audit Cover'!E7</f>
        <v>54092010026</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2" sqref="A42:B4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Potomac CUSD 10</v>
      </c>
      <c r="B1" s="2426"/>
      <c r="C1" s="2426"/>
      <c r="D1" s="2426"/>
      <c r="E1" s="2426"/>
    </row>
    <row r="2" spans="1:5" x14ac:dyDescent="0.2">
      <c r="A2" s="2427">
        <f>'Single Audit Cover'!E7</f>
        <v>54092010026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129993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129993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129993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129993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Potomac CUSD 10</v>
      </c>
      <c r="C1" s="2430"/>
      <c r="D1" s="2430"/>
      <c r="E1" s="2430"/>
      <c r="F1" s="2430"/>
      <c r="G1" s="2430"/>
      <c r="H1" s="2430"/>
      <c r="I1" s="2430"/>
      <c r="J1" s="2430"/>
      <c r="K1" s="2430"/>
      <c r="L1" s="2430"/>
      <c r="M1" s="2430"/>
    </row>
    <row r="2" spans="2:14" ht="15" x14ac:dyDescent="0.2">
      <c r="B2" s="2431">
        <f>'Single Audit Cover'!E7</f>
        <v>54092010026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Potomac CUSD 10</v>
      </c>
      <c r="B1" s="2435"/>
      <c r="C1" s="2435"/>
      <c r="D1" s="2435"/>
      <c r="E1" s="2435"/>
      <c r="F1" s="2435"/>
    </row>
    <row r="2" spans="1:7" ht="13.5" customHeight="1" x14ac:dyDescent="0.2">
      <c r="A2" s="2431">
        <f>'Single Audit Cover'!E7</f>
        <v>54092010026</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1" colorId="8" zoomScale="110" zoomScaleNormal="110" workbookViewId="0">
      <selection activeCell="L119" sqref="L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2090</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Potomac CUSD 10</v>
      </c>
      <c r="C1" s="2451"/>
      <c r="D1" s="2451"/>
      <c r="E1" s="2451"/>
      <c r="F1" s="2451"/>
      <c r="G1" s="2451"/>
      <c r="H1" s="2451"/>
      <c r="I1" s="2451"/>
      <c r="J1" s="1406"/>
    </row>
    <row r="2" spans="2:10" s="317" customFormat="1" ht="12.75" customHeight="1" x14ac:dyDescent="0.2">
      <c r="B2" s="2452">
        <f>'Single Audit Cover'!E7</f>
        <v>54092010026</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2063</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Potomac CUSD 10</v>
      </c>
      <c r="C1" s="2450"/>
      <c r="D1" s="2450"/>
      <c r="E1" s="2450"/>
      <c r="F1" s="2450"/>
      <c r="G1" s="2450"/>
      <c r="H1" s="2450"/>
      <c r="I1" s="2450"/>
      <c r="J1" s="2450"/>
      <c r="K1" s="2450"/>
      <c r="L1" s="1371"/>
      <c r="M1" s="1371"/>
    </row>
    <row r="2" spans="1:13" ht="12" customHeight="1" x14ac:dyDescent="0.2">
      <c r="B2" s="2452">
        <f>'Single Audit Cover'!E7</f>
        <v>54092010026</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Potomac CUSD 10</v>
      </c>
      <c r="C1" s="2477"/>
      <c r="D1" s="2477"/>
      <c r="E1" s="2477"/>
      <c r="F1" s="2477"/>
      <c r="G1" s="2477"/>
      <c r="H1" s="2477"/>
      <c r="I1" s="2477"/>
      <c r="J1" s="2477"/>
      <c r="K1" s="2477"/>
      <c r="L1" s="1449"/>
    </row>
    <row r="2" spans="1:12" ht="12.75" customHeight="1" x14ac:dyDescent="0.2">
      <c r="B2" s="2478">
        <f>'Single Audit Cover'!E7</f>
        <v>54092010026</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Potomac CUSD 10</v>
      </c>
      <c r="C1" s="2450"/>
      <c r="D1" s="2450"/>
      <c r="E1" s="1469"/>
    </row>
    <row r="2" spans="2:5" s="1279" customFormat="1" ht="12.75" customHeight="1" x14ac:dyDescent="0.2">
      <c r="B2" s="2452">
        <f>'Single Audit Cover'!E7</f>
        <v>54092010026</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L29" sqref="L29:L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22346349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2.6798700000000002E-2</v>
      </c>
      <c r="E10" s="356" t="s">
        <v>1005</v>
      </c>
      <c r="F10" s="355">
        <v>5.4167E-3</v>
      </c>
      <c r="G10" s="356" t="s">
        <v>1005</v>
      </c>
      <c r="H10" s="355">
        <v>1.9851000000000001E-3</v>
      </c>
      <c r="I10" s="356" t="s">
        <v>1006</v>
      </c>
      <c r="J10" s="1732">
        <f>ROUND(D10+F10+H10,5)</f>
        <v>3.4200000000000001E-2</v>
      </c>
      <c r="K10" s="222"/>
      <c r="L10" s="355">
        <v>4.9382000000000002E-3</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2104247</v>
      </c>
      <c r="E16" s="356"/>
      <c r="F16" s="1733">
        <f>SUM('Acct Summary 7-8'!C17,'Acct Summary 7-8'!D17,'Acct Summary 7-8'!F17)</f>
        <v>1928872</v>
      </c>
      <c r="G16" s="356"/>
      <c r="H16" s="1733">
        <f>SUM(D16-F16)</f>
        <v>175375</v>
      </c>
      <c r="I16" s="222"/>
      <c r="J16" s="1733">
        <f>SUM('Acct Summary 7-8'!C81,'Acct Summary 7-8'!D81,'Acct Summary 7-8'!F81,'Acct Summary 7-8'!I81)</f>
        <v>1830771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1541898.0810000002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24" sqref="F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Potomac CUSD 10</v>
      </c>
      <c r="E7" s="391"/>
      <c r="G7" s="252"/>
      <c r="H7" s="387"/>
      <c r="I7" s="387"/>
      <c r="J7" s="387"/>
      <c r="K7" s="387"/>
      <c r="L7" s="329"/>
      <c r="M7" s="329"/>
      <c r="N7" s="329"/>
      <c r="O7" s="329"/>
      <c r="P7" s="329"/>
    </row>
    <row r="8" spans="1:18" ht="12.75" x14ac:dyDescent="0.2">
      <c r="A8" s="329"/>
      <c r="B8" s="329"/>
      <c r="C8" s="389" t="s">
        <v>1125</v>
      </c>
      <c r="D8" s="392">
        <f>COVER!A13</f>
        <v>54092010026</v>
      </c>
      <c r="E8" s="393"/>
      <c r="G8" s="329"/>
      <c r="H8" s="329"/>
      <c r="I8" s="329"/>
      <c r="J8" s="329"/>
      <c r="K8" s="329"/>
      <c r="L8" s="329"/>
      <c r="M8" s="329"/>
      <c r="N8" s="329"/>
      <c r="O8" s="329"/>
      <c r="P8" s="329"/>
    </row>
    <row r="9" spans="1:18" ht="12.75" x14ac:dyDescent="0.2">
      <c r="A9" s="329"/>
      <c r="B9" s="329"/>
      <c r="C9" s="389" t="s">
        <v>713</v>
      </c>
      <c r="D9" s="394" t="str">
        <f>COVER!A15</f>
        <v>Vermilion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1830771</v>
      </c>
      <c r="I12" s="404"/>
      <c r="J12" s="404"/>
      <c r="K12" s="405">
        <f>TRUNC((H12/H13*100000),5)/100000</f>
        <v>0.87003616969999997</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2104247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1928872</v>
      </c>
      <c r="I17" s="404"/>
      <c r="J17" s="416"/>
      <c r="K17" s="405">
        <f>TRUNC((H17/H18*100000),5)/100000</f>
        <v>0.91665664719999995</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2104247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1827119</v>
      </c>
      <c r="I24" s="422"/>
      <c r="J24" s="422"/>
      <c r="K24" s="423">
        <f>TRUNC(((H24/H25*100000)/100000),2)</f>
        <v>341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5357.9777800000002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649608.36543000001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410000</v>
      </c>
      <c r="I32" s="420"/>
      <c r="J32" s="420"/>
      <c r="K32" s="423">
        <f>TRUNC(100-((((H32/H33*100))*100)/100),2)</f>
        <v>73.400000000000006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1541898.0810000002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1161729</v>
      </c>
      <c r="D4" s="466">
        <v>101837</v>
      </c>
      <c r="E4" s="466">
        <v>63</v>
      </c>
      <c r="F4" s="466">
        <v>148450</v>
      </c>
      <c r="G4" s="466">
        <v>27691</v>
      </c>
      <c r="H4" s="466">
        <v>20595</v>
      </c>
      <c r="I4" s="466">
        <v>415103</v>
      </c>
      <c r="J4" s="467">
        <v>9790</v>
      </c>
      <c r="K4" s="466">
        <v>70777</v>
      </c>
      <c r="L4" s="466">
        <v>18371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3652</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1165381</v>
      </c>
      <c r="D13" s="1737">
        <f t="shared" ref="D13:L13" si="0">SUM(D4:D12)</f>
        <v>101837</v>
      </c>
      <c r="E13" s="1737">
        <f t="shared" si="0"/>
        <v>63</v>
      </c>
      <c r="F13" s="1737">
        <f t="shared" si="0"/>
        <v>148450</v>
      </c>
      <c r="G13" s="1737">
        <f t="shared" si="0"/>
        <v>27691</v>
      </c>
      <c r="H13" s="1737">
        <f t="shared" si="0"/>
        <v>20595</v>
      </c>
      <c r="I13" s="1737">
        <f t="shared" si="0"/>
        <v>415103</v>
      </c>
      <c r="J13" s="1737">
        <f t="shared" si="0"/>
        <v>9790</v>
      </c>
      <c r="K13" s="1737">
        <f t="shared" si="0"/>
        <v>70777</v>
      </c>
      <c r="L13" s="1737">
        <f t="shared" si="0"/>
        <v>18371</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6010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26'!L10+'Cap Outlay Deprec 26'!L8</f>
        <v>553939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26'!L14</f>
        <v>20780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410000</v>
      </c>
    </row>
    <row r="23" spans="1:14" ht="13.5" customHeight="1" thickBot="1" x14ac:dyDescent="0.25">
      <c r="A23" s="1736" t="s">
        <v>643</v>
      </c>
      <c r="B23" s="1741"/>
      <c r="C23" s="468"/>
      <c r="D23" s="468"/>
      <c r="E23" s="468"/>
      <c r="F23" s="468"/>
      <c r="G23" s="468"/>
      <c r="H23" s="468"/>
      <c r="I23" s="468"/>
      <c r="J23" s="468"/>
      <c r="K23" s="468"/>
      <c r="L23" s="468"/>
      <c r="M23" s="1688">
        <f>SUM(M15:M22)</f>
        <v>580729</v>
      </c>
      <c r="N23" s="1688">
        <f>SUM(N21:N22)</f>
        <v>410000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18371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18371</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410000</v>
      </c>
    </row>
    <row r="37" spans="1:14" ht="13.5" thickBot="1" x14ac:dyDescent="0.25">
      <c r="A37" s="1736" t="s">
        <v>653</v>
      </c>
      <c r="B37" s="1741"/>
      <c r="C37" s="477"/>
      <c r="D37" s="477"/>
      <c r="E37" s="477"/>
      <c r="F37" s="477"/>
      <c r="G37" s="477"/>
      <c r="H37" s="477"/>
      <c r="I37" s="477"/>
      <c r="J37" s="477"/>
      <c r="K37" s="477"/>
      <c r="L37" s="480"/>
      <c r="M37" s="468"/>
      <c r="N37" s="1688">
        <f>SUM(N36:N36)</f>
        <v>410000</v>
      </c>
    </row>
    <row r="38" spans="1:14" s="329" customFormat="1" ht="13.5" customHeight="1" thickTop="1" x14ac:dyDescent="0.2">
      <c r="A38" s="496" t="s">
        <v>420</v>
      </c>
      <c r="B38" s="483">
        <v>714</v>
      </c>
      <c r="C38" s="466">
        <v>15095</v>
      </c>
      <c r="D38" s="466"/>
      <c r="E38" s="466">
        <f>'Acct Summary 7-8'!E81</f>
        <v>63</v>
      </c>
      <c r="F38" s="466"/>
      <c r="G38" s="466">
        <f>'Acct Summary 7-8'!G81</f>
        <v>27691</v>
      </c>
      <c r="H38" s="466">
        <f>'Acct Summary 7-8'!H81</f>
        <v>20595</v>
      </c>
      <c r="I38" s="466"/>
      <c r="J38" s="467">
        <f>'Acct Summary 7-8'!J81</f>
        <v>9790</v>
      </c>
      <c r="K38" s="466">
        <f>'Acct Summary 7-8'!K81</f>
        <v>70777</v>
      </c>
      <c r="L38" s="481"/>
      <c r="M38" s="497"/>
      <c r="N38" s="497"/>
    </row>
    <row r="39" spans="1:14" s="329" customFormat="1" ht="13.5" customHeight="1" x14ac:dyDescent="0.2">
      <c r="A39" s="496" t="s">
        <v>342</v>
      </c>
      <c r="B39" s="483">
        <v>730</v>
      </c>
      <c r="C39" s="466">
        <f>'Acct Summary 7-8'!C81-15095</f>
        <v>1150286</v>
      </c>
      <c r="D39" s="466">
        <f>'Acct Summary 7-8'!D81</f>
        <v>101837</v>
      </c>
      <c r="E39" s="466"/>
      <c r="F39" s="466">
        <f>'Acct Summary 7-8'!F81</f>
        <v>148450</v>
      </c>
      <c r="G39" s="466"/>
      <c r="H39" s="466"/>
      <c r="I39" s="466">
        <f>'Acct Summary 7-8'!I81</f>
        <v>415103</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580729</v>
      </c>
      <c r="N40" s="497"/>
    </row>
    <row r="41" spans="1:14" ht="13.5" customHeight="1" thickBot="1" x14ac:dyDescent="0.25">
      <c r="A41" s="1736" t="s">
        <v>655</v>
      </c>
      <c r="B41" s="1706"/>
      <c r="C41" s="1688">
        <f>(SUM(C34,C37,C38,C39))</f>
        <v>1165381</v>
      </c>
      <c r="D41" s="1688">
        <f t="shared" ref="D41:L41" si="2">SUM(D34,D37,D38:D39)</f>
        <v>101837</v>
      </c>
      <c r="E41" s="1688">
        <f t="shared" si="2"/>
        <v>63</v>
      </c>
      <c r="F41" s="1688">
        <f t="shared" si="2"/>
        <v>148450</v>
      </c>
      <c r="G41" s="1688">
        <f t="shared" si="2"/>
        <v>27691</v>
      </c>
      <c r="H41" s="1688">
        <f t="shared" si="2"/>
        <v>20595</v>
      </c>
      <c r="I41" s="1688">
        <f t="shared" si="2"/>
        <v>415103</v>
      </c>
      <c r="J41" s="1688">
        <f t="shared" si="2"/>
        <v>9790</v>
      </c>
      <c r="K41" s="1688">
        <f t="shared" si="2"/>
        <v>70777</v>
      </c>
      <c r="L41" s="1688">
        <f t="shared" si="2"/>
        <v>18371</v>
      </c>
      <c r="M41" s="1688">
        <f>SUM(M40)</f>
        <v>580729</v>
      </c>
      <c r="N41" s="1688">
        <f>SUM(N37)</f>
        <v>410000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780184</v>
      </c>
      <c r="D4" s="1742">
        <f>'Revenues 9-14'!D109</f>
        <v>113097</v>
      </c>
      <c r="E4" s="1742">
        <f>'Revenues 9-14'!E109</f>
        <v>125310</v>
      </c>
      <c r="F4" s="1742">
        <f>'Revenues 9-14'!F109</f>
        <v>43205</v>
      </c>
      <c r="G4" s="1742">
        <f>'Revenues 9-14'!G109</f>
        <v>63281</v>
      </c>
      <c r="H4" s="1742">
        <f>'Revenues 9-14'!H109</f>
        <v>10550</v>
      </c>
      <c r="I4" s="1742">
        <f>'Revenues 9-14'!I109</f>
        <v>12182</v>
      </c>
      <c r="J4" s="1742">
        <f>'Revenues 9-14'!J109</f>
        <v>99999</v>
      </c>
      <c r="K4" s="1742">
        <f>'Revenues 9-14'!K109</f>
        <v>10746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998175</v>
      </c>
      <c r="D6" s="1743">
        <f>'Revenues 9-14'!D170</f>
        <v>0</v>
      </c>
      <c r="E6" s="1743">
        <f>'Revenues 9-14'!E170</f>
        <v>2500</v>
      </c>
      <c r="F6" s="1743">
        <f>'Revenues 9-14'!F170</f>
        <v>27411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129993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1908352</v>
      </c>
      <c r="D8" s="1688">
        <f t="shared" ref="D8:K8" si="0">SUM(D4:D7)</f>
        <v>113097</v>
      </c>
      <c r="E8" s="1688">
        <f t="shared" si="0"/>
        <v>127810</v>
      </c>
      <c r="F8" s="1688">
        <f t="shared" si="0"/>
        <v>70616</v>
      </c>
      <c r="G8" s="1688">
        <f t="shared" si="0"/>
        <v>63281</v>
      </c>
      <c r="H8" s="1688">
        <f t="shared" si="0"/>
        <v>10550</v>
      </c>
      <c r="I8" s="1688">
        <f t="shared" si="0"/>
        <v>12182</v>
      </c>
      <c r="J8" s="1688">
        <f t="shared" si="0"/>
        <v>99999</v>
      </c>
      <c r="K8" s="1688">
        <f t="shared" si="0"/>
        <v>10746</v>
      </c>
      <c r="L8" s="347"/>
    </row>
    <row r="9" spans="1:13" ht="15.75" thickTop="1" x14ac:dyDescent="0.2">
      <c r="A9" s="514" t="s">
        <v>1653</v>
      </c>
      <c r="B9" s="515">
        <v>3998</v>
      </c>
      <c r="C9" s="481">
        <v>459280</v>
      </c>
      <c r="D9" s="516"/>
      <c r="E9" s="481"/>
      <c r="F9" s="481"/>
      <c r="G9" s="517"/>
      <c r="H9" s="481"/>
      <c r="I9" s="509" t="s">
        <v>1169</v>
      </c>
      <c r="J9" s="478"/>
      <c r="K9" s="481"/>
      <c r="L9" s="347"/>
    </row>
    <row r="10" spans="1:13" s="519" customFormat="1" ht="13.5" thickBot="1" x14ac:dyDescent="0.25">
      <c r="A10" s="1736" t="s">
        <v>1173</v>
      </c>
      <c r="B10" s="1709"/>
      <c r="C10" s="1688">
        <f>SUM(C8:C9)</f>
        <v>2367632</v>
      </c>
      <c r="D10" s="1688">
        <f t="shared" ref="D10:K10" si="1">SUM(D8:D9)</f>
        <v>113097</v>
      </c>
      <c r="E10" s="1688">
        <f t="shared" si="1"/>
        <v>127810</v>
      </c>
      <c r="F10" s="1688">
        <f t="shared" si="1"/>
        <v>70616</v>
      </c>
      <c r="G10" s="1688">
        <f t="shared" si="1"/>
        <v>63281</v>
      </c>
      <c r="H10" s="1688">
        <f t="shared" si="1"/>
        <v>10550</v>
      </c>
      <c r="I10" s="1688">
        <f t="shared" si="1"/>
        <v>12182</v>
      </c>
      <c r="J10" s="1688">
        <f t="shared" si="1"/>
        <v>99999</v>
      </c>
      <c r="K10" s="1688">
        <f t="shared" si="1"/>
        <v>10746</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775190</v>
      </c>
      <c r="D12" s="520" t="s">
        <v>1169</v>
      </c>
      <c r="E12" s="468" t="s">
        <v>1169</v>
      </c>
      <c r="F12" s="468" t="s">
        <v>1169</v>
      </c>
      <c r="G12" s="1742">
        <f>'Expenditures 15-22'!K229</f>
        <v>14833</v>
      </c>
      <c r="H12" s="521"/>
      <c r="I12" s="468" t="s">
        <v>1169</v>
      </c>
      <c r="J12" s="468" t="s">
        <v>1169</v>
      </c>
      <c r="K12" s="521" t="s">
        <v>1169</v>
      </c>
      <c r="L12" s="347"/>
    </row>
    <row r="13" spans="1:13" ht="15.75" customHeight="1" x14ac:dyDescent="0.2">
      <c r="A13" s="1576" t="s">
        <v>457</v>
      </c>
      <c r="B13" s="1578">
        <v>2000</v>
      </c>
      <c r="C13" s="1743">
        <f>'Expenditures 15-22'!K74</f>
        <v>430577</v>
      </c>
      <c r="D13" s="1743">
        <f>'Expenditures 15-22'!K129</f>
        <v>70464</v>
      </c>
      <c r="E13" s="469" t="s">
        <v>1169</v>
      </c>
      <c r="F13" s="1743">
        <f>'Expenditures 15-22'!K184</f>
        <v>91370</v>
      </c>
      <c r="G13" s="1743">
        <f>'Expenditures 15-22'!K279</f>
        <v>27767</v>
      </c>
      <c r="H13" s="1743">
        <f>'Expenditures 15-22'!K303</f>
        <v>0</v>
      </c>
      <c r="I13" s="468" t="s">
        <v>1169</v>
      </c>
      <c r="J13" s="1743">
        <f>'Expenditures 15-22'!K330</f>
        <v>114167</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561271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127781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1767038</v>
      </c>
      <c r="D17" s="1688">
        <f t="shared" si="2"/>
        <v>70464</v>
      </c>
      <c r="E17" s="1688">
        <f t="shared" si="2"/>
        <v>127781</v>
      </c>
      <c r="F17" s="1688">
        <f t="shared" si="2"/>
        <v>91370</v>
      </c>
      <c r="G17" s="1688">
        <f t="shared" si="2"/>
        <v>42600</v>
      </c>
      <c r="H17" s="1688">
        <f t="shared" si="2"/>
        <v>0</v>
      </c>
      <c r="I17" s="468"/>
      <c r="J17" s="1688">
        <f>SUM(J12:J16)</f>
        <v>114167</v>
      </c>
      <c r="K17" s="1688">
        <f>SUM(K12:K16)</f>
        <v>0</v>
      </c>
      <c r="L17" s="347"/>
    </row>
    <row r="18" spans="1:12" ht="15" customHeight="1" thickTop="1" x14ac:dyDescent="0.2">
      <c r="A18" s="1744" t="s">
        <v>1654</v>
      </c>
      <c r="B18" s="1745">
        <v>4180</v>
      </c>
      <c r="C18" s="1742">
        <f t="shared" ref="C18:H18" si="3">C9</f>
        <v>459280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2226318</v>
      </c>
      <c r="D19" s="1688">
        <f t="shared" si="4"/>
        <v>70464</v>
      </c>
      <c r="E19" s="1688">
        <f t="shared" si="4"/>
        <v>127781</v>
      </c>
      <c r="F19" s="1688">
        <f t="shared" si="4"/>
        <v>91370</v>
      </c>
      <c r="G19" s="1688">
        <f t="shared" si="4"/>
        <v>42600</v>
      </c>
      <c r="H19" s="1688">
        <f t="shared" si="4"/>
        <v>0</v>
      </c>
      <c r="I19" s="468"/>
      <c r="J19" s="1688">
        <f>SUM(J17:J18)</f>
        <v>114167</v>
      </c>
      <c r="K19" s="1688">
        <f>SUM(K17:K18)</f>
        <v>0</v>
      </c>
      <c r="L19" s="347"/>
    </row>
    <row r="20" spans="1:12" ht="16.5" thickTop="1" thickBot="1" x14ac:dyDescent="0.25">
      <c r="A20" s="2123" t="s">
        <v>1655</v>
      </c>
      <c r="B20" s="2124"/>
      <c r="C20" s="1746">
        <f>C8-C17</f>
        <v>141314</v>
      </c>
      <c r="D20" s="1746">
        <f t="shared" ref="D20:K20" si="5">D8-D17</f>
        <v>42633</v>
      </c>
      <c r="E20" s="1746">
        <f t="shared" si="5"/>
        <v>29</v>
      </c>
      <c r="F20" s="1746">
        <f t="shared" si="5"/>
        <v>-20754</v>
      </c>
      <c r="G20" s="1746">
        <f t="shared" si="5"/>
        <v>20681</v>
      </c>
      <c r="H20" s="1746">
        <f t="shared" si="5"/>
        <v>10550</v>
      </c>
      <c r="I20" s="1746">
        <f t="shared" si="5"/>
        <v>12182</v>
      </c>
      <c r="J20" s="1746">
        <f t="shared" si="5"/>
        <v>-14168</v>
      </c>
      <c r="K20" s="1746">
        <f t="shared" si="5"/>
        <v>10746</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141314</v>
      </c>
      <c r="D78" s="1702">
        <f t="shared" si="9"/>
        <v>42633</v>
      </c>
      <c r="E78" s="1702">
        <f t="shared" si="9"/>
        <v>29</v>
      </c>
      <c r="F78" s="1702">
        <f t="shared" si="9"/>
        <v>-20754</v>
      </c>
      <c r="G78" s="1702">
        <f t="shared" si="9"/>
        <v>20681</v>
      </c>
      <c r="H78" s="1702">
        <f t="shared" si="9"/>
        <v>10550</v>
      </c>
      <c r="I78" s="1702">
        <f t="shared" si="9"/>
        <v>12182</v>
      </c>
      <c r="J78" s="1702">
        <f t="shared" si="9"/>
        <v>-14168</v>
      </c>
      <c r="K78" s="1702">
        <f t="shared" si="9"/>
        <v>10746</v>
      </c>
      <c r="L78" s="533"/>
    </row>
    <row r="79" spans="1:12" ht="13.5" thickTop="1" x14ac:dyDescent="0.2">
      <c r="A79" s="1494" t="s">
        <v>1948</v>
      </c>
      <c r="B79" s="534"/>
      <c r="C79" s="478">
        <v>1024067</v>
      </c>
      <c r="D79" s="535">
        <v>59204</v>
      </c>
      <c r="E79" s="535">
        <v>34</v>
      </c>
      <c r="F79" s="535">
        <v>169204</v>
      </c>
      <c r="G79" s="535">
        <v>7010</v>
      </c>
      <c r="H79" s="535">
        <v>10045</v>
      </c>
      <c r="I79" s="535">
        <v>402921</v>
      </c>
      <c r="J79" s="535">
        <v>23958</v>
      </c>
      <c r="K79" s="535">
        <v>60031</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1949</v>
      </c>
      <c r="B81" s="2118"/>
      <c r="C81" s="1688">
        <f>(SUM(C78:C80))</f>
        <v>1165381</v>
      </c>
      <c r="D81" s="1688">
        <f>SUM(D78:D80)</f>
        <v>101837</v>
      </c>
      <c r="E81" s="1688">
        <f t="shared" ref="E81:K81" si="10">SUM(E78:E80)</f>
        <v>63</v>
      </c>
      <c r="F81" s="1688">
        <f t="shared" si="10"/>
        <v>148450</v>
      </c>
      <c r="G81" s="1688">
        <f t="shared" si="10"/>
        <v>27691</v>
      </c>
      <c r="H81" s="1688">
        <f t="shared" si="10"/>
        <v>20595</v>
      </c>
      <c r="I81" s="1688">
        <f t="shared" si="10"/>
        <v>415103</v>
      </c>
      <c r="J81" s="1688">
        <f t="shared" si="10"/>
        <v>9790</v>
      </c>
      <c r="K81" s="1688">
        <f t="shared" si="10"/>
        <v>70777</v>
      </c>
      <c r="L81" s="347"/>
    </row>
    <row r="82" spans="1:12" ht="0.75" customHeight="1" thickTop="1" thickBot="1" x14ac:dyDescent="0.25">
      <c r="A82" s="536" t="s">
        <v>343</v>
      </c>
      <c r="B82" s="537"/>
      <c r="C82" s="538">
        <f>(C81-C79)</f>
        <v>141314</v>
      </c>
      <c r="D82" s="538">
        <f t="shared" ref="D82:K82" si="11">(D81-D79)</f>
        <v>42633</v>
      </c>
      <c r="E82" s="538">
        <f t="shared" si="11"/>
        <v>29</v>
      </c>
      <c r="F82" s="538">
        <f t="shared" si="11"/>
        <v>-20754</v>
      </c>
      <c r="G82" s="538">
        <f t="shared" si="11"/>
        <v>20681</v>
      </c>
      <c r="H82" s="538">
        <f t="shared" si="11"/>
        <v>10550</v>
      </c>
      <c r="I82" s="538">
        <f t="shared" si="11"/>
        <v>12182</v>
      </c>
      <c r="J82" s="538">
        <f t="shared" si="11"/>
        <v>-14168</v>
      </c>
      <c r="K82" s="538">
        <f t="shared" si="11"/>
        <v>10746</v>
      </c>
    </row>
    <row r="83" spans="1:12" ht="14.25" hidden="1" thickTop="1" thickBot="1" x14ac:dyDescent="0.25">
      <c r="A83" s="539" t="s">
        <v>344</v>
      </c>
      <c r="B83" s="464"/>
      <c r="C83" s="540">
        <f>C82/C81</f>
        <v>0.12125991413966762</v>
      </c>
      <c r="D83" s="540">
        <f t="shared" ref="D83:K83" si="12">D82/D81</f>
        <v>0.41863959071850115</v>
      </c>
      <c r="E83" s="540">
        <f t="shared" si="12"/>
        <v>0.46031746031746029</v>
      </c>
      <c r="F83" s="540">
        <f t="shared" si="12"/>
        <v>-0.1398046480296396</v>
      </c>
      <c r="G83" s="540">
        <f t="shared" si="12"/>
        <v>0.74684915676573616</v>
      </c>
      <c r="H83" s="540">
        <f t="shared" si="12"/>
        <v>0.51226025734401559</v>
      </c>
      <c r="I83" s="540">
        <f t="shared" si="12"/>
        <v>2.9346933170803391E-2</v>
      </c>
      <c r="J83" s="540">
        <f t="shared" si="12"/>
        <v>-1.4471910112359549</v>
      </c>
      <c r="K83" s="540">
        <f t="shared" si="12"/>
        <v>0.15182898399197478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8" activePane="bottomLeft" state="frozen"/>
      <selection pane="bottomLeft" activeCell="C72" sqref="C7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562891</v>
      </c>
      <c r="D5" s="481">
        <v>104239</v>
      </c>
      <c r="E5" s="466">
        <v>125204</v>
      </c>
      <c r="F5" s="548">
        <v>41696</v>
      </c>
      <c r="G5" s="466">
        <v>25863</v>
      </c>
      <c r="H5" s="466">
        <v>10421</v>
      </c>
      <c r="I5" s="466">
        <v>10424</v>
      </c>
      <c r="J5" s="467">
        <v>99462</v>
      </c>
      <c r="K5" s="466">
        <v>10424</v>
      </c>
    </row>
    <row r="6" spans="1:12" ht="15" x14ac:dyDescent="0.2">
      <c r="A6" s="463" t="s">
        <v>1662</v>
      </c>
      <c r="B6" s="470">
        <v>1130</v>
      </c>
      <c r="C6" s="466"/>
      <c r="D6" s="466"/>
      <c r="E6" s="475"/>
      <c r="F6" s="475"/>
      <c r="G6" s="468"/>
      <c r="H6" s="468"/>
      <c r="I6" s="468"/>
      <c r="J6" s="468"/>
      <c r="K6" s="468"/>
    </row>
    <row r="7" spans="1:12" x14ac:dyDescent="0.2">
      <c r="A7" s="463" t="s">
        <v>110</v>
      </c>
      <c r="B7" s="549">
        <v>1140</v>
      </c>
      <c r="C7" s="466">
        <v>8339</v>
      </c>
      <c r="D7" s="466"/>
      <c r="E7" s="468"/>
      <c r="F7" s="467"/>
      <c r="G7" s="467"/>
      <c r="H7" s="467"/>
      <c r="I7" s="468"/>
      <c r="J7" s="468"/>
      <c r="K7" s="468"/>
    </row>
    <row r="8" spans="1:12" x14ac:dyDescent="0.2">
      <c r="A8" s="463" t="s">
        <v>413</v>
      </c>
      <c r="B8" s="470">
        <v>1150</v>
      </c>
      <c r="C8" s="475"/>
      <c r="D8" s="475"/>
      <c r="E8" s="477"/>
      <c r="F8" s="477"/>
      <c r="G8" s="481">
        <v>32491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571230</v>
      </c>
      <c r="D12" s="1707">
        <f t="shared" si="0"/>
        <v>104239</v>
      </c>
      <c r="E12" s="1707">
        <f t="shared" si="0"/>
        <v>125204</v>
      </c>
      <c r="F12" s="1707">
        <f t="shared" si="0"/>
        <v>41696</v>
      </c>
      <c r="G12" s="1707">
        <f t="shared" si="0"/>
        <v>58354</v>
      </c>
      <c r="H12" s="1707">
        <f t="shared" si="0"/>
        <v>10421</v>
      </c>
      <c r="I12" s="1707">
        <f t="shared" si="0"/>
        <v>10424</v>
      </c>
      <c r="J12" s="1707">
        <f t="shared" si="0"/>
        <v>99462</v>
      </c>
      <c r="K12" s="1688">
        <f t="shared" si="0"/>
        <v>10424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103398</v>
      </c>
      <c r="D16" s="466">
        <v>8042</v>
      </c>
      <c r="E16" s="466"/>
      <c r="F16" s="466"/>
      <c r="G16" s="466">
        <v>3447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103398</v>
      </c>
      <c r="D18" s="1710">
        <f t="shared" ref="D18:K18" si="1">SUM(D14:D17)</f>
        <v>8042</v>
      </c>
      <c r="E18" s="1710">
        <f t="shared" si="1"/>
        <v>0</v>
      </c>
      <c r="F18" s="1710">
        <f t="shared" si="1"/>
        <v>0</v>
      </c>
      <c r="G18" s="1710">
        <f t="shared" si="1"/>
        <v>3447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14225</v>
      </c>
      <c r="D65" s="466">
        <v>581</v>
      </c>
      <c r="E65" s="466">
        <v>106</v>
      </c>
      <c r="F65" s="467">
        <v>1509</v>
      </c>
      <c r="G65" s="466">
        <v>1480</v>
      </c>
      <c r="H65" s="466">
        <v>129</v>
      </c>
      <c r="I65" s="466">
        <v>1758</v>
      </c>
      <c r="J65" s="467">
        <v>537</v>
      </c>
      <c r="K65" s="466">
        <v>322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14225</v>
      </c>
      <c r="D67" s="1688">
        <f t="shared" ref="D67:K67" si="2">SUM(D65:D66)</f>
        <v>581</v>
      </c>
      <c r="E67" s="1688">
        <f t="shared" si="2"/>
        <v>106</v>
      </c>
      <c r="F67" s="1688">
        <f t="shared" si="2"/>
        <v>1509</v>
      </c>
      <c r="G67" s="1688">
        <f t="shared" si="2"/>
        <v>1480</v>
      </c>
      <c r="H67" s="1688">
        <f t="shared" si="2"/>
        <v>129</v>
      </c>
      <c r="I67" s="1688">
        <f t="shared" si="2"/>
        <v>1758</v>
      </c>
      <c r="J67" s="1688">
        <f t="shared" si="2"/>
        <v>537</v>
      </c>
      <c r="K67" s="1688">
        <f t="shared" si="2"/>
        <v>322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23534</v>
      </c>
      <c r="D69" s="468"/>
      <c r="E69" s="468"/>
      <c r="F69" s="468"/>
      <c r="G69" s="468"/>
      <c r="H69" s="468"/>
      <c r="I69" s="468"/>
      <c r="J69" s="468"/>
      <c r="K69" s="468"/>
    </row>
    <row r="70" spans="1:11" ht="12.75" customHeight="1" x14ac:dyDescent="0.2">
      <c r="A70" s="463" t="s">
        <v>997</v>
      </c>
      <c r="B70" s="470">
        <v>1612</v>
      </c>
      <c r="C70" s="551">
        <v>134</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295</v>
      </c>
      <c r="D72" s="468"/>
      <c r="E72" s="468"/>
      <c r="F72" s="468"/>
      <c r="G72" s="468"/>
      <c r="H72" s="468"/>
      <c r="I72" s="468"/>
      <c r="J72" s="468"/>
      <c r="K72" s="468"/>
    </row>
    <row r="73" spans="1:11" ht="12.75" customHeight="1" x14ac:dyDescent="0.2">
      <c r="A73" s="463" t="s">
        <v>998</v>
      </c>
      <c r="B73" s="470">
        <v>1620</v>
      </c>
      <c r="C73" s="551">
        <v>1445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25408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4623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4773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2790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2790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35</v>
      </c>
      <c r="D95" s="551">
        <v>235</v>
      </c>
      <c r="E95" s="521"/>
      <c r="F95" s="521"/>
      <c r="G95" s="521"/>
      <c r="H95" s="521"/>
      <c r="I95" s="521"/>
      <c r="J95" s="521"/>
      <c r="K95" s="521"/>
    </row>
    <row r="96" spans="1:11" ht="12.75" customHeight="1" x14ac:dyDescent="0.2">
      <c r="A96" s="463" t="s">
        <v>391</v>
      </c>
      <c r="B96" s="470">
        <v>1920</v>
      </c>
      <c r="C96" s="551">
        <v>7709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50488</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21</v>
      </c>
      <c r="D106" s="489"/>
      <c r="E106" s="467"/>
      <c r="F106" s="467"/>
      <c r="G106" s="467"/>
      <c r="H106" s="467"/>
      <c r="I106" s="521"/>
      <c r="J106" s="467"/>
      <c r="K106" s="467"/>
    </row>
    <row r="107" spans="1:12" ht="12.75" customHeight="1" x14ac:dyDescent="0.2">
      <c r="A107" s="463" t="s">
        <v>78</v>
      </c>
      <c r="B107" s="470">
        <v>1999</v>
      </c>
      <c r="C107" s="551">
        <v>107</v>
      </c>
      <c r="D107" s="466"/>
      <c r="E107" s="466"/>
      <c r="F107" s="466"/>
      <c r="G107" s="466"/>
      <c r="H107" s="466"/>
      <c r="I107" s="466"/>
      <c r="J107" s="467"/>
      <c r="K107" s="466"/>
    </row>
    <row r="108" spans="1:12" ht="12.75" customHeight="1" thickBot="1" x14ac:dyDescent="0.25">
      <c r="A108" s="1708" t="s">
        <v>487</v>
      </c>
      <c r="B108" s="1712"/>
      <c r="C108" s="1707">
        <f>SUM(C95:C107)</f>
        <v>58360</v>
      </c>
      <c r="D108" s="1707">
        <f t="shared" ref="D108:K108" si="3">SUM(D95:D107)</f>
        <v>235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780184</v>
      </c>
      <c r="D109" s="1715">
        <f t="shared" si="4"/>
        <v>113097</v>
      </c>
      <c r="E109" s="1715">
        <f t="shared" si="4"/>
        <v>125310</v>
      </c>
      <c r="F109" s="1715">
        <f t="shared" si="4"/>
        <v>43205</v>
      </c>
      <c r="G109" s="1715">
        <f t="shared" si="4"/>
        <v>63281</v>
      </c>
      <c r="H109" s="1715">
        <f t="shared" si="4"/>
        <v>10550</v>
      </c>
      <c r="I109" s="1715">
        <f t="shared" si="4"/>
        <v>12182</v>
      </c>
      <c r="J109" s="1715">
        <f t="shared" si="4"/>
        <v>99999</v>
      </c>
      <c r="K109" s="1702">
        <f t="shared" si="4"/>
        <v>10746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997402</v>
      </c>
      <c r="D117" s="481"/>
      <c r="E117" s="466">
        <v>2500</v>
      </c>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997402</v>
      </c>
      <c r="D122" s="1707">
        <f t="shared" si="5"/>
        <v>0</v>
      </c>
      <c r="E122" s="1707">
        <f t="shared" si="5"/>
        <v>2500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773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27411</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27411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773</v>
      </c>
      <c r="D169" s="1722">
        <f t="shared" si="6"/>
        <v>0</v>
      </c>
      <c r="E169" s="1722">
        <f t="shared" si="6"/>
        <v>0</v>
      </c>
      <c r="F169" s="1722">
        <f t="shared" si="6"/>
        <v>27411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998175</v>
      </c>
      <c r="D170" s="1715">
        <f t="shared" si="7"/>
        <v>0</v>
      </c>
      <c r="E170" s="1715">
        <f t="shared" si="7"/>
        <v>2500</v>
      </c>
      <c r="F170" s="1715">
        <f t="shared" si="7"/>
        <v>27411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v>37108</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37108</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30683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12932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43615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40608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40608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4793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4793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3869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92885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129993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1908352</v>
      </c>
      <c r="D268" s="1715">
        <f t="shared" si="12"/>
        <v>113097</v>
      </c>
      <c r="E268" s="1715">
        <f t="shared" si="12"/>
        <v>127810</v>
      </c>
      <c r="F268" s="1715">
        <f t="shared" si="12"/>
        <v>70616</v>
      </c>
      <c r="G268" s="1715">
        <f t="shared" si="12"/>
        <v>63281</v>
      </c>
      <c r="H268" s="1715">
        <f t="shared" si="12"/>
        <v>10550</v>
      </c>
      <c r="I268" s="1715">
        <f t="shared" si="12"/>
        <v>12182</v>
      </c>
      <c r="J268" s="1715">
        <f t="shared" si="12"/>
        <v>99999</v>
      </c>
      <c r="K268" s="1702">
        <f t="shared" si="12"/>
        <v>10746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93" activePane="bottomLeft" state="frozen"/>
      <selection pane="bottomLeft" activeCell="G124" sqref="G1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435793</v>
      </c>
      <c r="D5" s="466">
        <v>53866</v>
      </c>
      <c r="E5" s="466">
        <v>5539</v>
      </c>
      <c r="F5" s="466">
        <v>11317</v>
      </c>
      <c r="G5" s="466"/>
      <c r="H5" s="466"/>
      <c r="I5" s="467"/>
      <c r="J5" s="467"/>
      <c r="K5" s="1671">
        <f>SUM(C5:J5)</f>
        <v>506515</v>
      </c>
      <c r="L5" s="466">
        <v>644100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26455</v>
      </c>
      <c r="D7" s="467"/>
      <c r="E7" s="467"/>
      <c r="F7" s="467">
        <v>1317</v>
      </c>
      <c r="G7" s="467"/>
      <c r="H7" s="467"/>
      <c r="I7" s="467"/>
      <c r="J7" s="467"/>
      <c r="K7" s="1671">
        <f t="shared" ref="K7:K32" si="0">SUM(C7:J7)</f>
        <v>27772</v>
      </c>
      <c r="L7" s="466">
        <v>14700</v>
      </c>
    </row>
    <row r="8" spans="1:14" x14ac:dyDescent="0.2">
      <c r="A8" s="1504" t="s">
        <v>164</v>
      </c>
      <c r="B8" s="614">
        <v>1200</v>
      </c>
      <c r="C8" s="466">
        <v>58521</v>
      </c>
      <c r="D8" s="466">
        <v>5092</v>
      </c>
      <c r="E8" s="466"/>
      <c r="F8" s="466">
        <v>20</v>
      </c>
      <c r="G8" s="466"/>
      <c r="H8" s="466"/>
      <c r="I8" s="467"/>
      <c r="J8" s="467"/>
      <c r="K8" s="1671">
        <f t="shared" si="0"/>
        <v>63633</v>
      </c>
      <c r="L8" s="466">
        <v>64200</v>
      </c>
    </row>
    <row r="9" spans="1:14" x14ac:dyDescent="0.2">
      <c r="A9" s="1504" t="s">
        <v>721</v>
      </c>
      <c r="B9" s="614" t="s">
        <v>968</v>
      </c>
      <c r="C9" s="467">
        <v>39497</v>
      </c>
      <c r="D9" s="467">
        <v>4884</v>
      </c>
      <c r="E9" s="467"/>
      <c r="F9" s="467">
        <v>22</v>
      </c>
      <c r="G9" s="467"/>
      <c r="H9" s="467"/>
      <c r="I9" s="467"/>
      <c r="J9" s="467"/>
      <c r="K9" s="1671">
        <f t="shared" si="0"/>
        <v>44403</v>
      </c>
      <c r="L9" s="466">
        <v>27400</v>
      </c>
    </row>
    <row r="10" spans="1:14" x14ac:dyDescent="0.2">
      <c r="A10" s="1504" t="s">
        <v>722</v>
      </c>
      <c r="B10" s="614">
        <v>1250</v>
      </c>
      <c r="C10" s="466">
        <v>59966</v>
      </c>
      <c r="D10" s="466">
        <v>13367</v>
      </c>
      <c r="E10" s="466"/>
      <c r="F10" s="466">
        <v>287</v>
      </c>
      <c r="G10" s="466"/>
      <c r="H10" s="466"/>
      <c r="I10" s="467"/>
      <c r="J10" s="467"/>
      <c r="K10" s="1671">
        <f t="shared" si="0"/>
        <v>73620</v>
      </c>
      <c r="L10" s="466">
        <v>95077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23608</v>
      </c>
      <c r="D14" s="466">
        <v>2211</v>
      </c>
      <c r="E14" s="466">
        <v>5007</v>
      </c>
      <c r="F14" s="466">
        <v>3015</v>
      </c>
      <c r="G14" s="466"/>
      <c r="H14" s="466">
        <v>1656</v>
      </c>
      <c r="I14" s="467"/>
      <c r="J14" s="467"/>
      <c r="K14" s="1671">
        <f t="shared" si="0"/>
        <v>35497</v>
      </c>
      <c r="L14" s="466">
        <v>22500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f>20172+2828+750</f>
        <v>23750</v>
      </c>
      <c r="I30" s="616"/>
      <c r="J30" s="477"/>
      <c r="K30" s="1671">
        <f t="shared" si="0"/>
        <v>23750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643840</v>
      </c>
      <c r="D33" s="1670">
        <f t="shared" ref="D33:L33" si="1">SUM(D5:D32)</f>
        <v>79420</v>
      </c>
      <c r="E33" s="1670">
        <f t="shared" si="1"/>
        <v>10546</v>
      </c>
      <c r="F33" s="1670">
        <f t="shared" si="1"/>
        <v>15978</v>
      </c>
      <c r="G33" s="1670">
        <f t="shared" si="1"/>
        <v>0</v>
      </c>
      <c r="H33" s="1670">
        <f t="shared" si="1"/>
        <v>25406</v>
      </c>
      <c r="I33" s="1670">
        <f t="shared" si="1"/>
        <v>0</v>
      </c>
      <c r="J33" s="1670">
        <f t="shared" si="1"/>
        <v>0</v>
      </c>
      <c r="K33" s="1670">
        <f t="shared" si="1"/>
        <v>775190</v>
      </c>
      <c r="L33" s="1670">
        <f t="shared" si="1"/>
        <v>867977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15864</v>
      </c>
      <c r="D40" s="466"/>
      <c r="E40" s="466"/>
      <c r="F40" s="466"/>
      <c r="G40" s="466"/>
      <c r="H40" s="466"/>
      <c r="I40" s="467"/>
      <c r="J40" s="467"/>
      <c r="K40" s="1671">
        <f t="shared" si="2"/>
        <v>15864</v>
      </c>
      <c r="L40" s="466">
        <v>16200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15864</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15864</v>
      </c>
      <c r="L42" s="1670">
        <f t="shared" si="3"/>
        <v>16200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1909</v>
      </c>
      <c r="F44" s="481">
        <v>67</v>
      </c>
      <c r="G44" s="481"/>
      <c r="H44" s="481">
        <v>336</v>
      </c>
      <c r="I44" s="467"/>
      <c r="J44" s="467"/>
      <c r="K44" s="1672">
        <f>SUM(C44:J44)</f>
        <v>2312</v>
      </c>
      <c r="L44" s="481">
        <v>24000</v>
      </c>
    </row>
    <row r="45" spans="1:14" x14ac:dyDescent="0.2">
      <c r="A45" s="1504" t="s">
        <v>815</v>
      </c>
      <c r="B45" s="614">
        <v>2220</v>
      </c>
      <c r="C45" s="466">
        <v>1063</v>
      </c>
      <c r="D45" s="466"/>
      <c r="E45" s="466">
        <v>4112</v>
      </c>
      <c r="F45" s="466">
        <v>25093</v>
      </c>
      <c r="G45" s="466"/>
      <c r="H45" s="466"/>
      <c r="I45" s="467">
        <v>125</v>
      </c>
      <c r="J45" s="467"/>
      <c r="K45" s="1672">
        <f>SUM(C45:J45)</f>
        <v>30393</v>
      </c>
      <c r="L45" s="466">
        <v>21000</v>
      </c>
    </row>
    <row r="46" spans="1:14" x14ac:dyDescent="0.2">
      <c r="A46" s="1504" t="s">
        <v>816</v>
      </c>
      <c r="B46" s="614">
        <v>2230</v>
      </c>
      <c r="C46" s="466"/>
      <c r="D46" s="466"/>
      <c r="E46" s="466">
        <v>8493</v>
      </c>
      <c r="F46" s="466">
        <v>1421</v>
      </c>
      <c r="G46" s="466"/>
      <c r="H46" s="466"/>
      <c r="I46" s="467"/>
      <c r="J46" s="467"/>
      <c r="K46" s="1672">
        <f>SUM(C46:J46)</f>
        <v>9914</v>
      </c>
      <c r="L46" s="466">
        <v>0</v>
      </c>
    </row>
    <row r="47" spans="1:14" ht="12.75" customHeight="1" thickBot="1" x14ac:dyDescent="0.25">
      <c r="A47" s="1668" t="s">
        <v>561</v>
      </c>
      <c r="B47" s="1669" t="s">
        <v>32</v>
      </c>
      <c r="C47" s="1670">
        <f>SUM(C44:C46)</f>
        <v>1063</v>
      </c>
      <c r="D47" s="1670">
        <f t="shared" ref="D47:K47" si="4">SUM(D44:D46)</f>
        <v>0</v>
      </c>
      <c r="E47" s="1670">
        <f t="shared" si="4"/>
        <v>14514</v>
      </c>
      <c r="F47" s="1670">
        <f t="shared" si="4"/>
        <v>26581</v>
      </c>
      <c r="G47" s="1670">
        <f t="shared" si="4"/>
        <v>0</v>
      </c>
      <c r="H47" s="1670">
        <f t="shared" si="4"/>
        <v>336</v>
      </c>
      <c r="I47" s="1670">
        <f t="shared" si="4"/>
        <v>125</v>
      </c>
      <c r="J47" s="1670">
        <f t="shared" si="4"/>
        <v>0</v>
      </c>
      <c r="K47" s="1670">
        <f t="shared" si="4"/>
        <v>42619</v>
      </c>
      <c r="L47" s="1670">
        <f>SUM(L44:L46)</f>
        <v>45000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900</v>
      </c>
      <c r="D49" s="481"/>
      <c r="E49" s="481">
        <v>46406</v>
      </c>
      <c r="F49" s="481">
        <v>299</v>
      </c>
      <c r="G49" s="481"/>
      <c r="H49" s="481"/>
      <c r="I49" s="467"/>
      <c r="J49" s="467"/>
      <c r="K49" s="1672">
        <f>SUM(C49:J49)</f>
        <v>47605</v>
      </c>
      <c r="L49" s="481">
        <v>53500</v>
      </c>
    </row>
    <row r="50" spans="1:14" x14ac:dyDescent="0.2">
      <c r="A50" s="1504" t="s">
        <v>818</v>
      </c>
      <c r="B50" s="614">
        <v>2320</v>
      </c>
      <c r="C50" s="466">
        <v>46138</v>
      </c>
      <c r="D50" s="466">
        <v>7615</v>
      </c>
      <c r="E50" s="466">
        <v>3995</v>
      </c>
      <c r="F50" s="466">
        <v>5832</v>
      </c>
      <c r="G50" s="466"/>
      <c r="H50" s="466">
        <v>5057</v>
      </c>
      <c r="I50" s="467"/>
      <c r="J50" s="467"/>
      <c r="K50" s="1672">
        <f>SUM(C50:J50)</f>
        <v>68637</v>
      </c>
      <c r="L50" s="466">
        <v>54200</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47038</v>
      </c>
      <c r="D53" s="1670">
        <f t="shared" ref="D53:L53" si="5">SUM(D49:D52)</f>
        <v>7615</v>
      </c>
      <c r="E53" s="1670">
        <f t="shared" si="5"/>
        <v>50401</v>
      </c>
      <c r="F53" s="1670">
        <f t="shared" si="5"/>
        <v>6131</v>
      </c>
      <c r="G53" s="1670">
        <f t="shared" si="5"/>
        <v>0</v>
      </c>
      <c r="H53" s="1670">
        <f t="shared" si="5"/>
        <v>5057</v>
      </c>
      <c r="I53" s="1670">
        <f t="shared" si="5"/>
        <v>0</v>
      </c>
      <c r="J53" s="1670">
        <f t="shared" si="5"/>
        <v>0</v>
      </c>
      <c r="K53" s="1670">
        <f t="shared" si="5"/>
        <v>116242</v>
      </c>
      <c r="L53" s="1670">
        <f t="shared" si="5"/>
        <v>107700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65589</v>
      </c>
      <c r="D55" s="481">
        <v>4843</v>
      </c>
      <c r="E55" s="481">
        <v>1221</v>
      </c>
      <c r="F55" s="481"/>
      <c r="G55" s="481"/>
      <c r="H55" s="481">
        <v>667</v>
      </c>
      <c r="I55" s="467"/>
      <c r="J55" s="467"/>
      <c r="K55" s="1672">
        <f>SUM(C55:J55)</f>
        <v>72320</v>
      </c>
      <c r="L55" s="481">
        <v>78100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65589</v>
      </c>
      <c r="D57" s="1674">
        <f t="shared" ref="D57:K57" si="6">SUM(D55:D56)</f>
        <v>4843</v>
      </c>
      <c r="E57" s="1674">
        <f t="shared" si="6"/>
        <v>1221</v>
      </c>
      <c r="F57" s="1674">
        <f t="shared" si="6"/>
        <v>0</v>
      </c>
      <c r="G57" s="1674">
        <f t="shared" si="6"/>
        <v>0</v>
      </c>
      <c r="H57" s="1674">
        <f t="shared" si="6"/>
        <v>667</v>
      </c>
      <c r="I57" s="1674">
        <f t="shared" si="6"/>
        <v>0</v>
      </c>
      <c r="J57" s="1674">
        <f t="shared" si="6"/>
        <v>0</v>
      </c>
      <c r="K57" s="1674">
        <f t="shared" si="6"/>
        <v>72320</v>
      </c>
      <c r="L57" s="1670">
        <f>SUM(L55:L56)</f>
        <v>78100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43328</v>
      </c>
      <c r="D60" s="466"/>
      <c r="E60" s="466">
        <v>7055</v>
      </c>
      <c r="F60" s="466">
        <v>273</v>
      </c>
      <c r="G60" s="466"/>
      <c r="H60" s="466"/>
      <c r="I60" s="467"/>
      <c r="J60" s="467"/>
      <c r="K60" s="1672">
        <f t="shared" si="7"/>
        <v>50656</v>
      </c>
      <c r="L60" s="466">
        <v>42700</v>
      </c>
      <c r="M60" s="609"/>
      <c r="N60" s="609"/>
    </row>
    <row r="61" spans="1:14" s="343" customFormat="1" x14ac:dyDescent="0.2">
      <c r="A61" s="1504" t="s">
        <v>197</v>
      </c>
      <c r="B61" s="614">
        <v>2540</v>
      </c>
      <c r="C61" s="466">
        <v>21250</v>
      </c>
      <c r="D61" s="466"/>
      <c r="E61" s="466">
        <v>3200</v>
      </c>
      <c r="F61" s="466"/>
      <c r="G61" s="466"/>
      <c r="H61" s="466"/>
      <c r="I61" s="467"/>
      <c r="J61" s="467"/>
      <c r="K61" s="1672">
        <f t="shared" si="7"/>
        <v>24450</v>
      </c>
      <c r="L61" s="466">
        <v>40200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66497</v>
      </c>
      <c r="D63" s="466"/>
      <c r="E63" s="466">
        <v>631</v>
      </c>
      <c r="F63" s="466">
        <v>41093</v>
      </c>
      <c r="G63" s="466"/>
      <c r="H63" s="466">
        <v>205</v>
      </c>
      <c r="I63" s="467"/>
      <c r="J63" s="467"/>
      <c r="K63" s="1672">
        <f t="shared" si="7"/>
        <v>108426</v>
      </c>
      <c r="L63" s="466">
        <v>108050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131075</v>
      </c>
      <c r="D65" s="1670">
        <f t="shared" ref="D65:L65" si="8">SUM(D59:D64)</f>
        <v>0</v>
      </c>
      <c r="E65" s="1670">
        <f t="shared" si="8"/>
        <v>10886</v>
      </c>
      <c r="F65" s="1670">
        <f t="shared" si="8"/>
        <v>41366</v>
      </c>
      <c r="G65" s="1670">
        <f t="shared" si="8"/>
        <v>0</v>
      </c>
      <c r="H65" s="1670">
        <f t="shared" si="8"/>
        <v>205</v>
      </c>
      <c r="I65" s="1670">
        <f t="shared" si="8"/>
        <v>0</v>
      </c>
      <c r="J65" s="1670">
        <f t="shared" si="8"/>
        <v>0</v>
      </c>
      <c r="K65" s="1670">
        <f t="shared" si="8"/>
        <v>183532</v>
      </c>
      <c r="L65" s="1670">
        <f t="shared" si="8"/>
        <v>190950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260629</v>
      </c>
      <c r="D74" s="1677">
        <f t="shared" ref="D74:K74" si="10">SUM(D42,D47,D53,D57,D65,D72,D73)</f>
        <v>12458</v>
      </c>
      <c r="E74" s="1677">
        <f t="shared" si="10"/>
        <v>77022</v>
      </c>
      <c r="F74" s="1677">
        <f t="shared" si="10"/>
        <v>74078</v>
      </c>
      <c r="G74" s="1677">
        <f t="shared" si="10"/>
        <v>0</v>
      </c>
      <c r="H74" s="1677">
        <f t="shared" si="10"/>
        <v>6265</v>
      </c>
      <c r="I74" s="1677">
        <f t="shared" si="10"/>
        <v>125</v>
      </c>
      <c r="J74" s="1677">
        <f t="shared" si="10"/>
        <v>0</v>
      </c>
      <c r="K74" s="1677">
        <f t="shared" si="10"/>
        <v>430577</v>
      </c>
      <c r="L74" s="1677">
        <f>SUM(L42,L47,L53,L57,L65,L72,L73)</f>
        <v>437950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21189</v>
      </c>
      <c r="F79" s="616"/>
      <c r="G79" s="616"/>
      <c r="H79" s="466"/>
      <c r="I79" s="477"/>
      <c r="J79" s="477"/>
      <c r="K79" s="1671">
        <f t="shared" si="11"/>
        <v>21189</v>
      </c>
      <c r="L79" s="466">
        <v>22000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635</v>
      </c>
      <c r="F81" s="616"/>
      <c r="G81" s="616"/>
      <c r="H81" s="466"/>
      <c r="I81" s="477"/>
      <c r="J81" s="477"/>
      <c r="K81" s="1671">
        <f t="shared" si="11"/>
        <v>635</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21824</v>
      </c>
      <c r="F84" s="616"/>
      <c r="G84" s="616"/>
      <c r="H84" s="1670">
        <f>SUM(H78:H83)</f>
        <v>0</v>
      </c>
      <c r="I84" s="477"/>
      <c r="J84" s="477"/>
      <c r="K84" s="1670">
        <f>SUM(K78:K83)</f>
        <v>21824</v>
      </c>
      <c r="L84" s="1670">
        <f>SUM(L78:L83)</f>
        <v>22000</v>
      </c>
    </row>
    <row r="85" spans="1:12" ht="12.75" customHeight="1" thickTop="1" thickBot="1" x14ac:dyDescent="0.25">
      <c r="A85" s="1511" t="s">
        <v>255</v>
      </c>
      <c r="B85" s="635">
        <v>4210</v>
      </c>
      <c r="C85" s="616"/>
      <c r="D85" s="616"/>
      <c r="E85" s="636"/>
      <c r="F85" s="616"/>
      <c r="G85" s="616"/>
      <c r="H85" s="535">
        <v>507665</v>
      </c>
      <c r="I85" s="477"/>
      <c r="J85" s="477"/>
      <c r="K85" s="1677">
        <f>H85</f>
        <v>507665</v>
      </c>
      <c r="L85" s="530">
        <v>525000</v>
      </c>
    </row>
    <row r="86" spans="1:12" ht="12.75" customHeight="1" thickTop="1" thickBot="1" x14ac:dyDescent="0.25">
      <c r="A86" s="1512" t="s">
        <v>699</v>
      </c>
      <c r="B86" s="637">
        <v>4220</v>
      </c>
      <c r="C86" s="616"/>
      <c r="D86" s="616"/>
      <c r="E86" s="638"/>
      <c r="F86" s="616"/>
      <c r="G86" s="616"/>
      <c r="H86" s="467">
        <v>31782</v>
      </c>
      <c r="I86" s="477"/>
      <c r="J86" s="477"/>
      <c r="K86" s="1677">
        <f t="shared" ref="K86:K98" si="12">H86</f>
        <v>31782</v>
      </c>
      <c r="L86" s="530">
        <v>28000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539447</v>
      </c>
      <c r="I92" s="477"/>
      <c r="J92" s="477"/>
      <c r="K92" s="1677">
        <f t="shared" si="12"/>
        <v>539447</v>
      </c>
      <c r="L92" s="1670">
        <f>SUM(L85:L91)</f>
        <v>553000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21824</v>
      </c>
      <c r="F102" s="616"/>
      <c r="G102" s="616"/>
      <c r="H102" s="1677">
        <f>SUM(H84,H92,H100,H101)</f>
        <v>539447</v>
      </c>
      <c r="I102" s="477"/>
      <c r="J102" s="477"/>
      <c r="K102" s="1677">
        <f>SUM(K84,K92,K100,K101)</f>
        <v>561271</v>
      </c>
      <c r="L102" s="1677">
        <f>SUM(L84,L92,L100,L101)</f>
        <v>575000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904469</v>
      </c>
      <c r="D114" s="1670">
        <f t="shared" ref="D114:K114" si="13">SUM(D33,D74,D75,D102,D112,D113)</f>
        <v>91878</v>
      </c>
      <c r="E114" s="1670">
        <f t="shared" si="13"/>
        <v>109392</v>
      </c>
      <c r="F114" s="1670">
        <f t="shared" si="13"/>
        <v>90056</v>
      </c>
      <c r="G114" s="1670">
        <f t="shared" si="13"/>
        <v>0</v>
      </c>
      <c r="H114" s="1670">
        <f>SUM(H33,H74,H75,H102,H112,H113)</f>
        <v>571118</v>
      </c>
      <c r="I114" s="1670">
        <f t="shared" si="13"/>
        <v>125</v>
      </c>
      <c r="J114" s="1670">
        <f t="shared" si="13"/>
        <v>0</v>
      </c>
      <c r="K114" s="1670">
        <f t="shared" si="13"/>
        <v>1767038</v>
      </c>
      <c r="L114" s="1670">
        <f>SUM(L33,L74,L75,L102,L112,L113)</f>
        <v>1880927</v>
      </c>
    </row>
    <row r="115" spans="1:14" ht="13.5" thickTop="1" x14ac:dyDescent="0.2">
      <c r="A115" s="2153" t="s">
        <v>996</v>
      </c>
      <c r="B115" s="2154"/>
      <c r="C115" s="618"/>
      <c r="D115" s="618"/>
      <c r="E115" s="618"/>
      <c r="F115" s="618"/>
      <c r="G115" s="618"/>
      <c r="H115" s="618"/>
      <c r="I115" s="618"/>
      <c r="J115" s="618"/>
      <c r="K115" s="1684">
        <f>'Revenues 9-14'!C268-'Expenditures 15-22'!K114</f>
        <v>141314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31054</v>
      </c>
      <c r="F124" s="466">
        <f>85+29684</f>
        <v>29769</v>
      </c>
      <c r="G124" s="466"/>
      <c r="H124" s="466">
        <v>5218</v>
      </c>
      <c r="I124" s="467">
        <v>4423</v>
      </c>
      <c r="J124" s="467"/>
      <c r="K124" s="1670">
        <f>SUM(C124:J124)</f>
        <v>70464</v>
      </c>
      <c r="L124" s="466">
        <v>73000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31054</v>
      </c>
      <c r="F127" s="1670">
        <f t="shared" si="14"/>
        <v>29769</v>
      </c>
      <c r="G127" s="1670">
        <f t="shared" si="14"/>
        <v>0</v>
      </c>
      <c r="H127" s="1670">
        <f t="shared" si="14"/>
        <v>5218</v>
      </c>
      <c r="I127" s="1670">
        <f t="shared" si="14"/>
        <v>4423</v>
      </c>
      <c r="J127" s="1670">
        <f t="shared" si="14"/>
        <v>0</v>
      </c>
      <c r="K127" s="1670">
        <f t="shared" si="14"/>
        <v>70464</v>
      </c>
      <c r="L127" s="1670">
        <f t="shared" si="14"/>
        <v>73000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31054</v>
      </c>
      <c r="F129" s="1677">
        <f t="shared" si="15"/>
        <v>29769</v>
      </c>
      <c r="G129" s="1677">
        <f t="shared" si="15"/>
        <v>0</v>
      </c>
      <c r="H129" s="1677">
        <f t="shared" si="15"/>
        <v>5218</v>
      </c>
      <c r="I129" s="1677">
        <f t="shared" si="15"/>
        <v>4423</v>
      </c>
      <c r="J129" s="1677">
        <f t="shared" si="15"/>
        <v>0</v>
      </c>
      <c r="K129" s="1677">
        <f t="shared" si="15"/>
        <v>70464</v>
      </c>
      <c r="L129" s="1677">
        <f t="shared" si="15"/>
        <v>73000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31054</v>
      </c>
      <c r="F151" s="1670">
        <f t="shared" si="16"/>
        <v>29769</v>
      </c>
      <c r="G151" s="1670">
        <f t="shared" si="16"/>
        <v>0</v>
      </c>
      <c r="H151" s="1670">
        <f t="shared" si="16"/>
        <v>5218</v>
      </c>
      <c r="I151" s="1670">
        <f t="shared" si="16"/>
        <v>4423</v>
      </c>
      <c r="J151" s="1670">
        <f t="shared" si="16"/>
        <v>0</v>
      </c>
      <c r="K151" s="1670">
        <f t="shared" si="16"/>
        <v>70464</v>
      </c>
      <c r="L151" s="1670">
        <f>SUM(L129,L130,L139,L149,L150)</f>
        <v>73000</v>
      </c>
    </row>
    <row r="152" spans="1:14" ht="12.75" customHeight="1" thickTop="1" x14ac:dyDescent="0.2">
      <c r="A152" s="2173" t="s">
        <v>1178</v>
      </c>
      <c r="B152" s="2174"/>
      <c r="C152" s="618"/>
      <c r="D152" s="618"/>
      <c r="E152" s="618"/>
      <c r="F152" s="618"/>
      <c r="G152" s="618"/>
      <c r="H152" s="618"/>
      <c r="I152" s="618"/>
      <c r="J152" s="616"/>
      <c r="K152" s="1684">
        <f>'Revenues 9-14'!D268-'Expenditures 15-22'!K151</f>
        <v>42633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20881</v>
      </c>
      <c r="I169" s="616"/>
      <c r="J169" s="616"/>
      <c r="K169" s="1671">
        <f>SUM(C169:H169)</f>
        <v>20881</v>
      </c>
      <c r="L169" s="656">
        <v>20634</v>
      </c>
    </row>
    <row r="170" spans="1:14" ht="33.75" customHeight="1" x14ac:dyDescent="0.2">
      <c r="A170" s="669" t="s">
        <v>1670</v>
      </c>
      <c r="B170" s="671" t="s">
        <v>31</v>
      </c>
      <c r="C170" s="616"/>
      <c r="D170" s="616"/>
      <c r="E170" s="616"/>
      <c r="F170" s="616"/>
      <c r="G170" s="616"/>
      <c r="H170" s="569">
        <v>105000</v>
      </c>
      <c r="I170" s="616"/>
      <c r="J170" s="616"/>
      <c r="K170" s="1671">
        <f>SUM(C170:J170)</f>
        <v>105000</v>
      </c>
      <c r="L170" s="569">
        <v>100000</v>
      </c>
    </row>
    <row r="171" spans="1:14" ht="15.75" customHeight="1" x14ac:dyDescent="0.2">
      <c r="A171" s="621" t="s">
        <v>766</v>
      </c>
      <c r="B171" s="672" t="s">
        <v>84</v>
      </c>
      <c r="C171" s="616"/>
      <c r="D171" s="616"/>
      <c r="E171" s="466"/>
      <c r="F171" s="616"/>
      <c r="G171" s="616"/>
      <c r="H171" s="569">
        <v>1900</v>
      </c>
      <c r="I171" s="477"/>
      <c r="J171" s="616"/>
      <c r="K171" s="1671">
        <f>SUM(C171:J171)</f>
        <v>1900</v>
      </c>
      <c r="L171" s="569">
        <v>1000</v>
      </c>
    </row>
    <row r="172" spans="1:14" ht="12.75" customHeight="1" thickBot="1" x14ac:dyDescent="0.25">
      <c r="A172" s="1668" t="s">
        <v>638</v>
      </c>
      <c r="B172" s="1669" t="s">
        <v>492</v>
      </c>
      <c r="C172" s="616"/>
      <c r="D172" s="616"/>
      <c r="E172" s="1677">
        <f>SUM(E168,E169,E170,E171)</f>
        <v>0</v>
      </c>
      <c r="F172" s="616"/>
      <c r="G172" s="616"/>
      <c r="H172" s="1677">
        <f>SUM(H168,H169,H170,H171)</f>
        <v>127781</v>
      </c>
      <c r="I172" s="638"/>
      <c r="J172" s="616"/>
      <c r="K172" s="1677">
        <f>SUM(K168,K169,K170,K171)</f>
        <v>127781</v>
      </c>
      <c r="L172" s="1677">
        <f>SUM(L168,L169,L170,L171)</f>
        <v>121634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127781</v>
      </c>
      <c r="I174" s="638"/>
      <c r="J174" s="616"/>
      <c r="K174" s="1677">
        <f>SUM(K160,K172,K173)</f>
        <v>127781</v>
      </c>
      <c r="L174" s="1677">
        <f>SUM(L160,L172,L173)</f>
        <v>121634</v>
      </c>
    </row>
    <row r="175" spans="1:14" ht="13.5" thickTop="1" x14ac:dyDescent="0.2">
      <c r="A175" s="2153" t="s">
        <v>996</v>
      </c>
      <c r="B175" s="2154"/>
      <c r="C175" s="616"/>
      <c r="D175" s="616"/>
      <c r="E175" s="616"/>
      <c r="F175" s="616"/>
      <c r="G175" s="616"/>
      <c r="H175" s="618"/>
      <c r="I175" s="616"/>
      <c r="J175" s="616"/>
      <c r="K175" s="1684">
        <f>'Revenues 9-14'!E268-'Expenditures 15-22'!K174</f>
        <v>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47743</v>
      </c>
      <c r="D182" s="466">
        <v>1040</v>
      </c>
      <c r="E182" s="466">
        <v>30988</v>
      </c>
      <c r="F182" s="466">
        <v>11112</v>
      </c>
      <c r="G182" s="466"/>
      <c r="H182" s="466">
        <v>487</v>
      </c>
      <c r="I182" s="467"/>
      <c r="J182" s="467"/>
      <c r="K182" s="1671">
        <f>SUM(C182:J182)</f>
        <v>91370</v>
      </c>
      <c r="L182" s="466">
        <v>95000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47743</v>
      </c>
      <c r="D184" s="1677">
        <f t="shared" ref="D184:J184" si="17">SUM(D180,D182,D183)</f>
        <v>1040</v>
      </c>
      <c r="E184" s="1677">
        <f t="shared" si="17"/>
        <v>30988</v>
      </c>
      <c r="F184" s="1677">
        <f t="shared" si="17"/>
        <v>11112</v>
      </c>
      <c r="G184" s="1677">
        <f t="shared" si="17"/>
        <v>0</v>
      </c>
      <c r="H184" s="1677">
        <f t="shared" si="17"/>
        <v>487</v>
      </c>
      <c r="I184" s="1677">
        <f t="shared" si="17"/>
        <v>0</v>
      </c>
      <c r="J184" s="1677">
        <f t="shared" si="17"/>
        <v>0</v>
      </c>
      <c r="K184" s="1677">
        <f>SUM(K180,K182,K183)</f>
        <v>91370</v>
      </c>
      <c r="L184" s="1677">
        <f>SUM(L180, L182:L183)</f>
        <v>95000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47743</v>
      </c>
      <c r="D210" s="1670">
        <f>SUM(D184,D185)</f>
        <v>1040</v>
      </c>
      <c r="E210" s="1670">
        <f>SUM(E184,E185,E196)</f>
        <v>30988</v>
      </c>
      <c r="F210" s="1670">
        <f>SUM(F184,F185)</f>
        <v>11112</v>
      </c>
      <c r="G210" s="1670">
        <f>SUM(G184,G185)</f>
        <v>0</v>
      </c>
      <c r="H210" s="1670">
        <f>SUM(H184,H185,H196,H208,H209)</f>
        <v>487</v>
      </c>
      <c r="I210" s="1670">
        <f>SUM(I184,I185)</f>
        <v>0</v>
      </c>
      <c r="J210" s="1670">
        <f>SUM(J184,J185)</f>
        <v>0</v>
      </c>
      <c r="K210" s="1671">
        <f>SUM(K184,K185,K196,K208,K209)</f>
        <v>91370</v>
      </c>
      <c r="L210" s="1670">
        <f>SUM(L184,L185,L196,L208,L209)</f>
        <v>95000</v>
      </c>
    </row>
    <row r="211" spans="1:14" ht="13.5" thickTop="1" x14ac:dyDescent="0.2">
      <c r="A211" s="2153" t="s">
        <v>996</v>
      </c>
      <c r="B211" s="2154"/>
      <c r="C211" s="618"/>
      <c r="D211" s="618"/>
      <c r="E211" s="618"/>
      <c r="F211" s="618"/>
      <c r="G211" s="618"/>
      <c r="H211" s="618"/>
      <c r="I211" s="616"/>
      <c r="J211" s="616"/>
      <c r="K211" s="1684">
        <f>'Revenues 9-14'!F268-'Expenditures 15-22'!K210</f>
        <v>-20754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8174</v>
      </c>
      <c r="E215" s="616"/>
      <c r="F215" s="616"/>
      <c r="G215" s="616"/>
      <c r="H215" s="616"/>
      <c r="I215" s="616"/>
      <c r="J215" s="616"/>
      <c r="K215" s="1671">
        <f>D215</f>
        <v>8174</v>
      </c>
      <c r="L215" s="466">
        <v>48245</v>
      </c>
    </row>
    <row r="216" spans="1:14" x14ac:dyDescent="0.2">
      <c r="A216" s="1504" t="s">
        <v>163</v>
      </c>
      <c r="B216" s="614" t="s">
        <v>967</v>
      </c>
      <c r="C216" s="616"/>
      <c r="D216" s="467">
        <v>1562</v>
      </c>
      <c r="E216" s="616"/>
      <c r="F216" s="616"/>
      <c r="G216" s="616"/>
      <c r="H216" s="616"/>
      <c r="I216" s="616"/>
      <c r="J216" s="616"/>
      <c r="K216" s="1671">
        <f t="shared" ref="K216:K228" si="19">D216</f>
        <v>1562</v>
      </c>
      <c r="L216" s="466"/>
    </row>
    <row r="217" spans="1:14" x14ac:dyDescent="0.2">
      <c r="A217" s="1504" t="s">
        <v>164</v>
      </c>
      <c r="B217" s="614">
        <v>1200</v>
      </c>
      <c r="C217" s="616"/>
      <c r="D217" s="466">
        <v>2745</v>
      </c>
      <c r="E217" s="616"/>
      <c r="F217" s="616"/>
      <c r="G217" s="616"/>
      <c r="H217" s="616"/>
      <c r="I217" s="616"/>
      <c r="J217" s="616"/>
      <c r="K217" s="1671">
        <f t="shared" si="19"/>
        <v>2745</v>
      </c>
      <c r="L217" s="466"/>
    </row>
    <row r="218" spans="1:14" x14ac:dyDescent="0.2">
      <c r="A218" s="1504" t="s">
        <v>278</v>
      </c>
      <c r="B218" s="614" t="s">
        <v>968</v>
      </c>
      <c r="C218" s="616"/>
      <c r="D218" s="467">
        <v>423</v>
      </c>
      <c r="E218" s="616"/>
      <c r="F218" s="616"/>
      <c r="G218" s="616"/>
      <c r="H218" s="616"/>
      <c r="I218" s="616"/>
      <c r="J218" s="616"/>
      <c r="K218" s="1671">
        <f t="shared" si="19"/>
        <v>423</v>
      </c>
      <c r="L218" s="466"/>
    </row>
    <row r="219" spans="1:14" x14ac:dyDescent="0.2">
      <c r="A219" s="1504" t="s">
        <v>279</v>
      </c>
      <c r="B219" s="614">
        <v>1250</v>
      </c>
      <c r="C219" s="616"/>
      <c r="D219" s="466">
        <v>1110</v>
      </c>
      <c r="E219" s="616"/>
      <c r="F219" s="616"/>
      <c r="G219" s="616"/>
      <c r="H219" s="616"/>
      <c r="I219" s="616"/>
      <c r="J219" s="616"/>
      <c r="K219" s="1671">
        <f t="shared" si="19"/>
        <v>1110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819</v>
      </c>
      <c r="E223" s="616"/>
      <c r="F223" s="616"/>
      <c r="G223" s="616"/>
      <c r="H223" s="616"/>
      <c r="I223" s="616"/>
      <c r="J223" s="616"/>
      <c r="K223" s="1671">
        <f t="shared" si="19"/>
        <v>819</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14833</v>
      </c>
      <c r="E229" s="616"/>
      <c r="F229" s="616"/>
      <c r="G229" s="616"/>
      <c r="H229" s="616"/>
      <c r="I229" s="616"/>
      <c r="J229" s="616"/>
      <c r="K229" s="1670">
        <f>SUM(K215:K228)</f>
        <v>14833</v>
      </c>
      <c r="L229" s="1670">
        <f>SUM(L215:L228)</f>
        <v>48245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230</v>
      </c>
      <c r="E236" s="616"/>
      <c r="F236" s="616"/>
      <c r="G236" s="616"/>
      <c r="H236" s="616"/>
      <c r="I236" s="616"/>
      <c r="J236" s="616"/>
      <c r="K236" s="1671">
        <f t="shared" si="20"/>
        <v>230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230</v>
      </c>
      <c r="E238" s="616"/>
      <c r="F238" s="616"/>
      <c r="G238" s="616"/>
      <c r="H238" s="616"/>
      <c r="I238" s="616"/>
      <c r="J238" s="616"/>
      <c r="K238" s="1670">
        <f>SUM(K232:K237)</f>
        <v>230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15</v>
      </c>
      <c r="E241" s="616"/>
      <c r="F241" s="616"/>
      <c r="G241" s="616"/>
      <c r="H241" s="616"/>
      <c r="I241" s="616"/>
      <c r="J241" s="616"/>
      <c r="K241" s="1672">
        <f>D241</f>
        <v>15</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15</v>
      </c>
      <c r="E243" s="616"/>
      <c r="F243" s="616"/>
      <c r="G243" s="616"/>
      <c r="H243" s="616"/>
      <c r="I243" s="616"/>
      <c r="J243" s="616"/>
      <c r="K243" s="1670">
        <f>SUM(K240:K242)</f>
        <v>15</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730</v>
      </c>
      <c r="E245" s="616"/>
      <c r="F245" s="616"/>
      <c r="G245" s="616"/>
      <c r="H245" s="616"/>
      <c r="I245" s="616"/>
      <c r="J245" s="616"/>
      <c r="K245" s="1672">
        <f>D245</f>
        <v>730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730</v>
      </c>
      <c r="E257" s="616"/>
      <c r="F257" s="616"/>
      <c r="G257" s="616"/>
      <c r="H257" s="616"/>
      <c r="I257" s="616"/>
      <c r="J257" s="616"/>
      <c r="K257" s="1670">
        <f>SUM(K245:K256)</f>
        <v>730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3945</v>
      </c>
      <c r="E259" s="616"/>
      <c r="F259" s="616"/>
      <c r="G259" s="616"/>
      <c r="H259" s="616"/>
      <c r="I259" s="616"/>
      <c r="J259" s="616"/>
      <c r="K259" s="1672">
        <f>D259</f>
        <v>3945</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3945</v>
      </c>
      <c r="E261" s="616"/>
      <c r="F261" s="616"/>
      <c r="G261" s="616"/>
      <c r="H261" s="616"/>
      <c r="I261" s="616"/>
      <c r="J261" s="616"/>
      <c r="K261" s="1670">
        <f>SUM(K259:K260)</f>
        <v>3945</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6391</v>
      </c>
      <c r="E264" s="616"/>
      <c r="F264" s="616"/>
      <c r="G264" s="616"/>
      <c r="H264" s="616"/>
      <c r="I264" s="616"/>
      <c r="J264" s="616"/>
      <c r="K264" s="1672">
        <f t="shared" ref="K264:K269" si="22">D264</f>
        <v>6391</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4937</v>
      </c>
      <c r="E266" s="616"/>
      <c r="F266" s="616"/>
      <c r="G266" s="616"/>
      <c r="H266" s="616"/>
      <c r="I266" s="616"/>
      <c r="J266" s="616"/>
      <c r="K266" s="1672">
        <f t="shared" si="22"/>
        <v>4937</v>
      </c>
      <c r="L266" s="466"/>
    </row>
    <row r="267" spans="1:14" x14ac:dyDescent="0.2">
      <c r="A267" s="1504" t="s">
        <v>953</v>
      </c>
      <c r="B267" s="614">
        <v>2550</v>
      </c>
      <c r="C267" s="616"/>
      <c r="D267" s="466">
        <v>3170</v>
      </c>
      <c r="E267" s="616"/>
      <c r="F267" s="616"/>
      <c r="G267" s="616"/>
      <c r="H267" s="616"/>
      <c r="I267" s="616"/>
      <c r="J267" s="616"/>
      <c r="K267" s="1672">
        <f t="shared" si="22"/>
        <v>3170</v>
      </c>
      <c r="L267" s="466"/>
    </row>
    <row r="268" spans="1:14" x14ac:dyDescent="0.2">
      <c r="A268" s="1504" t="s">
        <v>100</v>
      </c>
      <c r="B268" s="614">
        <v>2560</v>
      </c>
      <c r="C268" s="616"/>
      <c r="D268" s="466">
        <v>8349</v>
      </c>
      <c r="E268" s="616"/>
      <c r="F268" s="616"/>
      <c r="G268" s="616"/>
      <c r="H268" s="616"/>
      <c r="I268" s="616"/>
      <c r="J268" s="616"/>
      <c r="K268" s="1672">
        <f t="shared" si="22"/>
        <v>8349</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22847</v>
      </c>
      <c r="E270" s="616"/>
      <c r="F270" s="616"/>
      <c r="G270" s="616"/>
      <c r="H270" s="616"/>
      <c r="I270" s="616"/>
      <c r="J270" s="616"/>
      <c r="K270" s="1670">
        <f>SUM(K263:K269)</f>
        <v>22847</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27767</v>
      </c>
      <c r="E279" s="616"/>
      <c r="F279" s="616"/>
      <c r="G279" s="616"/>
      <c r="H279" s="616"/>
      <c r="I279" s="616"/>
      <c r="J279" s="616"/>
      <c r="K279" s="1677">
        <f>SUM(K238,K243,K257,K261,K270,K277,K278)</f>
        <v>27767</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42600</v>
      </c>
      <c r="E295" s="616"/>
      <c r="F295" s="616"/>
      <c r="G295" s="616"/>
      <c r="H295" s="1670">
        <f>H293</f>
        <v>0</v>
      </c>
      <c r="I295" s="616"/>
      <c r="J295" s="616"/>
      <c r="K295" s="1670">
        <f>SUM(K229,K279,K280,K285,K293,K294)</f>
        <v>42600</v>
      </c>
      <c r="L295" s="1670">
        <f>SUM(L229,L279,L280,L285,L293,L294)</f>
        <v>48245</v>
      </c>
    </row>
    <row r="296" spans="1:14" ht="13.5" thickTop="1" x14ac:dyDescent="0.2">
      <c r="A296" s="2153" t="s">
        <v>996</v>
      </c>
      <c r="B296" s="2154"/>
      <c r="C296" s="616"/>
      <c r="D296" s="618"/>
      <c r="E296" s="616"/>
      <c r="F296" s="616"/>
      <c r="G296" s="616"/>
      <c r="H296" s="687"/>
      <c r="I296" s="616"/>
      <c r="J296" s="616"/>
      <c r="K296" s="1684">
        <f>'Revenues 9-14'!G268-'Expenditures 15-22'!K295</f>
        <v>20681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10550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f>1300+14042</f>
        <v>15342</v>
      </c>
      <c r="F322" s="467"/>
      <c r="G322" s="467"/>
      <c r="H322" s="467"/>
      <c r="I322" s="467"/>
      <c r="J322" s="467"/>
      <c r="K322" s="1671">
        <f t="shared" si="24"/>
        <v>15342</v>
      </c>
      <c r="L322" s="467"/>
      <c r="M322" s="665"/>
      <c r="N322" s="665"/>
    </row>
    <row r="323" spans="1:14" s="674" customFormat="1" x14ac:dyDescent="0.2">
      <c r="A323" s="1519" t="s">
        <v>702</v>
      </c>
      <c r="B323" s="697" t="s">
        <v>285</v>
      </c>
      <c r="C323" s="467"/>
      <c r="D323" s="467"/>
      <c r="E323" s="467">
        <v>92975</v>
      </c>
      <c r="F323" s="467"/>
      <c r="G323" s="467"/>
      <c r="H323" s="467"/>
      <c r="I323" s="467"/>
      <c r="J323" s="467"/>
      <c r="K323" s="1671">
        <f t="shared" si="24"/>
        <v>92975</v>
      </c>
      <c r="L323" s="467">
        <v>100000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5850</v>
      </c>
      <c r="F327" s="467"/>
      <c r="G327" s="467"/>
      <c r="H327" s="467"/>
      <c r="I327" s="467"/>
      <c r="J327" s="467"/>
      <c r="K327" s="1671">
        <f t="shared" si="24"/>
        <v>5850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114167</v>
      </c>
      <c r="F330" s="1670">
        <f t="shared" si="25"/>
        <v>0</v>
      </c>
      <c r="G330" s="1670">
        <f t="shared" si="25"/>
        <v>0</v>
      </c>
      <c r="H330" s="1670">
        <f t="shared" si="25"/>
        <v>0</v>
      </c>
      <c r="I330" s="1670">
        <f t="shared" si="25"/>
        <v>0</v>
      </c>
      <c r="J330" s="1670">
        <f t="shared" si="25"/>
        <v>0</v>
      </c>
      <c r="K330" s="1670">
        <f>SUM(K319:K329)</f>
        <v>114167</v>
      </c>
      <c r="L330" s="1670">
        <f>SUM(L319:L329)</f>
        <v>100000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114167</v>
      </c>
      <c r="F342" s="1670">
        <f>SUM(F330)</f>
        <v>0</v>
      </c>
      <c r="G342" s="1670">
        <f>SUM(G330)</f>
        <v>0</v>
      </c>
      <c r="H342" s="1670">
        <f>SUM(H330,H334,H340)</f>
        <v>0</v>
      </c>
      <c r="I342" s="1670">
        <f>SUM(I330)</f>
        <v>0</v>
      </c>
      <c r="J342" s="1670">
        <f>SUM(J330)</f>
        <v>0</v>
      </c>
      <c r="K342" s="1670">
        <f>SUM(K330,K334,K340)</f>
        <v>114167</v>
      </c>
      <c r="L342" s="1677">
        <f>SUM(L330,L340,L341)</f>
        <v>100000</v>
      </c>
    </row>
    <row r="343" spans="1:14" ht="12.75" customHeight="1" thickTop="1" x14ac:dyDescent="0.2">
      <c r="A343" s="2166" t="s">
        <v>996</v>
      </c>
      <c r="B343" s="2167"/>
      <c r="C343" s="616"/>
      <c r="D343" s="616"/>
      <c r="E343" s="616"/>
      <c r="F343" s="616"/>
      <c r="G343" s="616"/>
      <c r="H343" s="616"/>
      <c r="I343" s="616"/>
      <c r="J343" s="616"/>
      <c r="K343" s="1684">
        <f>'Revenues 9-14'!J268-'Expenditures 15-22'!K342</f>
        <v>-14168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5000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5000</v>
      </c>
    </row>
    <row r="368" spans="1:14" ht="13.5" thickTop="1" x14ac:dyDescent="0.2">
      <c r="A368" s="2153" t="s">
        <v>996</v>
      </c>
      <c r="B368" s="2154"/>
      <c r="C368" s="654"/>
      <c r="D368" s="654"/>
      <c r="E368" s="626"/>
      <c r="F368" s="626"/>
      <c r="G368" s="626"/>
      <c r="H368" s="626"/>
      <c r="I368" s="626"/>
      <c r="J368" s="623"/>
      <c r="K368" s="1671">
        <f>'Revenues 9-14'!K268-'Expenditures 15-22'!K367</f>
        <v>10746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4d435f69-8686-490b-bd6d-b153bf22ab50"/>
    <ds:schemaRef ds:uri="http://schemas.microsoft.com/office/2006/documentManagement/typ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HEMBERGER MICHELLE</cp:lastModifiedBy>
  <cp:lastPrinted>2019-09-26T20:50:18Z</cp:lastPrinted>
  <dcterms:created xsi:type="dcterms:W3CDTF">2003-10-29T19:06:34Z</dcterms:created>
  <dcterms:modified xsi:type="dcterms:W3CDTF">2019-11-06T15:52:27Z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