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85" r:id="rId25"/>
    <sheet name="Single Audit Coverzzz" sheetId="169" r:id="rId26"/>
    <sheet name="Single Audit Checklist" sheetId="170" r:id="rId27"/>
    <sheet name="SEFA Reconcile" sheetId="171" r:id="rId28"/>
    <sheet name=" SEFA" sheetId="179" r:id="rId29"/>
    <sheet name="SEFA19" sheetId="184" r:id="rId30"/>
    <sheet name="SEFA NOTES" sheetId="187" r:id="rId31"/>
    <sheet name="SF&amp;QC Sec-1" sheetId="174" r:id="rId32"/>
    <sheet name="SF&amp;QC Sec-2" sheetId="175" r:id="rId33"/>
    <sheet name="SF&amp;QC Sec-3zzz" sheetId="176" r:id="rId34"/>
    <sheet name="SSPAF" sheetId="177" r:id="rId35"/>
  </sheets>
  <definedNames>
    <definedName name="goof" localSheetId="29">#REF!</definedName>
    <definedName name="goof">#REF!</definedName>
    <definedName name="oops" localSheetId="29">#REF!</definedName>
    <definedName name="oops">#REF!</definedName>
    <definedName name="_xlnm.Print_Area" localSheetId="28">' SEFA'!$B$1:$M$46</definedName>
    <definedName name="_xlnm.Print_Area" localSheetId="30">'SEFA NOTES'!$A$1:$F$57</definedName>
    <definedName name="_xlnm.Print_Area" localSheetId="27">'SEFA Reconcile'!$A$1:$E$49</definedName>
    <definedName name="_xlnm.Print_Area" localSheetId="29">SEFA19!$A$1:$R$93</definedName>
    <definedName name="_xlnm.Print_Area" localSheetId="31">'SF&amp;QC Sec-1'!$A$1:$J$63</definedName>
    <definedName name="_xlnm.Print_Area" localSheetId="33">'SF&amp;QC Sec-3zzz'!$A$1:$K$48</definedName>
    <definedName name="_xlnm.Print_Area" localSheetId="26">'Single Audit Checklist'!$A$1:$D$124</definedName>
    <definedName name="_xlnm.Print_Area" localSheetId="24">'Single Audit Cover'!$A$1:$L$52</definedName>
    <definedName name="_xlnm.Print_Area" localSheetId="25">'Single Audit Coverzzz'!$A$1:$L$51</definedName>
    <definedName name="Print_Area_MI" localSheetId="29">SEFA19!$A$14:$R$82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9">SEFA19!$A:$D,SEFA19!$1:$11</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27">#REF!</definedName>
    <definedName name="SCHADDRS" localSheetId="29">#REF!</definedName>
    <definedName name="SCHADDRS" localSheetId="31">#REF!</definedName>
    <definedName name="SCHADDRS" localSheetId="32">#REF!</definedName>
    <definedName name="SCHADDRS" localSheetId="33">#REF!</definedName>
    <definedName name="SCHADDRS" localSheetId="26">#REF!</definedName>
    <definedName name="SCHADDRS" localSheetId="24">#REF!</definedName>
    <definedName name="SCHADDRS" localSheetId="25">#REF!</definedName>
    <definedName name="SCHADDRS" localSheetId="34">#REF!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27">#REF!</definedName>
    <definedName name="SCHCTY" localSheetId="29">#REF!</definedName>
    <definedName name="SCHCTY" localSheetId="31">#REF!</definedName>
    <definedName name="SCHCTY" localSheetId="32">#REF!</definedName>
    <definedName name="SCHCTY" localSheetId="33">#REF!</definedName>
    <definedName name="SCHCTY" localSheetId="26">#REF!</definedName>
    <definedName name="SCHCTY" localSheetId="24">#REF!</definedName>
    <definedName name="SCHCTY" localSheetId="25">#REF!</definedName>
    <definedName name="SCHCTY" localSheetId="34">#REF!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27">#REF!</definedName>
    <definedName name="SCHNMBR" localSheetId="29">#REF!</definedName>
    <definedName name="SCHNMBR" localSheetId="31">#REF!</definedName>
    <definedName name="SCHNMBR" localSheetId="32">#REF!</definedName>
    <definedName name="SCHNMBR" localSheetId="33">#REF!</definedName>
    <definedName name="SCHNMBR" localSheetId="26">#REF!</definedName>
    <definedName name="SCHNMBR" localSheetId="24">#REF!</definedName>
    <definedName name="SCHNMBR" localSheetId="25">#REF!</definedName>
    <definedName name="SCHNMBR" localSheetId="34">#REF!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27">#REF!</definedName>
    <definedName name="SCHNME" localSheetId="29">#REF!</definedName>
    <definedName name="SCHNME" localSheetId="31">#REF!</definedName>
    <definedName name="SCHNME" localSheetId="32">#REF!</definedName>
    <definedName name="SCHNME" localSheetId="33">#REF!</definedName>
    <definedName name="SCHNME" localSheetId="26">#REF!</definedName>
    <definedName name="SCHNME" localSheetId="24">#REF!</definedName>
    <definedName name="SCHNME" localSheetId="25">#REF!</definedName>
    <definedName name="SCHNME" localSheetId="34">#REF!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27">#REF!</definedName>
    <definedName name="SUPT" localSheetId="29">#REF!</definedName>
    <definedName name="SUPT" localSheetId="31">#REF!</definedName>
    <definedName name="SUPT" localSheetId="32">#REF!</definedName>
    <definedName name="SUPT" localSheetId="33">#REF!</definedName>
    <definedName name="SUPT" localSheetId="26">#REF!</definedName>
    <definedName name="SUPT" localSheetId="24">#REF!</definedName>
    <definedName name="SUPT" localSheetId="25">#REF!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4" i="187" l="1"/>
  <c r="F67" i="184" l="1"/>
  <c r="H67" i="184"/>
  <c r="L8" i="184" l="1"/>
  <c r="J9" i="184"/>
  <c r="L9" i="184"/>
  <c r="P16" i="184"/>
  <c r="P17" i="184"/>
  <c r="P19" i="184"/>
  <c r="P20" i="184"/>
  <c r="P22" i="184"/>
  <c r="P23" i="184"/>
  <c r="P26" i="184"/>
  <c r="P27" i="184"/>
  <c r="P29" i="184"/>
  <c r="P30" i="184"/>
  <c r="F31" i="184"/>
  <c r="H31" i="184"/>
  <c r="J31" i="184"/>
  <c r="J84" i="184" s="1"/>
  <c r="L31" i="184"/>
  <c r="N31" i="184"/>
  <c r="P37" i="184"/>
  <c r="P50" i="184" s="1"/>
  <c r="P38" i="184"/>
  <c r="P40" i="184"/>
  <c r="P41" i="184"/>
  <c r="P43" i="184"/>
  <c r="P45" i="184"/>
  <c r="P46" i="184"/>
  <c r="P48" i="184"/>
  <c r="F50" i="184"/>
  <c r="F69" i="184" s="1"/>
  <c r="H50" i="184"/>
  <c r="H69" i="184" s="1"/>
  <c r="J50" i="184"/>
  <c r="L50" i="184"/>
  <c r="N50" i="184"/>
  <c r="J56" i="184"/>
  <c r="J67" i="184" s="1"/>
  <c r="J69" i="184" s="1"/>
  <c r="L56" i="184"/>
  <c r="L57" i="184"/>
  <c r="L86" i="184" s="1"/>
  <c r="N57" i="184"/>
  <c r="P63" i="184"/>
  <c r="P64" i="184"/>
  <c r="P75" i="184"/>
  <c r="H76" i="184"/>
  <c r="P76" i="184"/>
  <c r="P78" i="184" s="1"/>
  <c r="F78" i="184"/>
  <c r="H78" i="184"/>
  <c r="J78" i="184"/>
  <c r="J80" i="184" s="1"/>
  <c r="L78" i="184"/>
  <c r="N78" i="184"/>
  <c r="P57" i="184" l="1"/>
  <c r="N67" i="184"/>
  <c r="N69" i="184" s="1"/>
  <c r="F84" i="184"/>
  <c r="L80" i="184"/>
  <c r="H80" i="184"/>
  <c r="F86" i="184"/>
  <c r="F80" i="184"/>
  <c r="L67" i="184"/>
  <c r="L69" i="184" s="1"/>
  <c r="J86" i="184"/>
  <c r="J88" i="184" s="1"/>
  <c r="H86" i="184"/>
  <c r="H84" i="184"/>
  <c r="N80" i="184"/>
  <c r="F88" i="184"/>
  <c r="P31" i="184"/>
  <c r="P84" i="184" s="1"/>
  <c r="H88" i="184"/>
  <c r="P56" i="184"/>
  <c r="P67" i="184" s="1"/>
  <c r="P69" i="184" s="1"/>
  <c r="L84" i="184"/>
  <c r="L88" i="184" s="1"/>
  <c r="N84" i="184"/>
  <c r="N86" i="184"/>
  <c r="P86" i="184" l="1"/>
  <c r="P88" i="184" s="1"/>
  <c r="P80" i="184"/>
  <c r="N88" i="184"/>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1" i="171"/>
  <c r="B1" i="179"/>
  <c r="B2" i="176"/>
  <c r="B1" i="175"/>
  <c r="B1" i="177"/>
  <c r="A1" i="170"/>
  <c r="A2" i="171"/>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F26" i="108"/>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F67" i="34"/>
  <c r="C68" i="34"/>
  <c r="D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D22" i="37"/>
  <c r="J22" i="37"/>
  <c r="D24" i="37"/>
  <c r="B4270" i="106" s="1"/>
  <c r="D4270" i="106" s="1"/>
  <c r="L5" i="11"/>
  <c r="B2056" i="106" s="1"/>
  <c r="D2056" i="106" s="1"/>
  <c r="F46" i="34" l="1"/>
  <c r="F42" i="34"/>
  <c r="B6289" i="106"/>
  <c r="D6289" i="106" s="1"/>
  <c r="G33" i="108"/>
  <c r="D54" i="36"/>
  <c r="D68" i="36"/>
  <c r="H33" i="118"/>
  <c r="I210" i="29"/>
  <c r="B7071" i="106" s="1"/>
  <c r="D7071" i="106" s="1"/>
  <c r="J210" i="29"/>
  <c r="B7072" i="106" s="1"/>
  <c r="D7072" i="106" s="1"/>
  <c r="F36" i="108"/>
  <c r="G30" i="108"/>
  <c r="B1124" i="106"/>
  <c r="D1124" i="106" s="1"/>
  <c r="F50" i="34"/>
  <c r="E30" i="108"/>
  <c r="B6995" i="106"/>
  <c r="D6995" i="106" s="1"/>
  <c r="F49" i="34"/>
  <c r="H112" i="29"/>
  <c r="B7018" i="106" s="1"/>
  <c r="D7018" i="106" s="1"/>
  <c r="F71" i="34"/>
  <c r="L367" i="29"/>
  <c r="H365" i="29"/>
  <c r="B7242" i="106" s="1"/>
  <c r="D7242" i="106" s="1"/>
  <c r="J352" i="29"/>
  <c r="J367" i="29" s="1"/>
  <c r="B7245" i="106" s="1"/>
  <c r="D7245" i="106" s="1"/>
  <c r="C352" i="29"/>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F66" i="34" l="1"/>
  <c r="D7252" i="106"/>
  <c r="I7" i="4"/>
  <c r="B4444" i="106" s="1"/>
  <c r="D4444"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<sst xmlns="http://schemas.openxmlformats.org/spreadsheetml/2006/main" count="5326" uniqueCount="2202">
  <si>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</si>
  <si>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</si>
  <si>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</si>
  <si>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</si>
  <si>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</si>
  <si>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</si>
  <si>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</si>
  <si>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</si>
  <si>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</si>
  <si>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</si>
  <si>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</si>
  <si>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</si>
  <si>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</si>
  <si>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</si>
  <si>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</si>
  <si>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</si>
  <si>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</si>
  <si>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</si>
  <si>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</si>
  <si>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</si>
  <si>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</si>
  <si>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</si>
  <si>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</si>
  <si>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</si>
  <si>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</si>
  <si>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</si>
  <si>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</si>
  <si>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</si>
  <si>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</si>
  <si>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</si>
  <si>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</si>
  <si>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</si>
  <si>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</si>
  <si>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</si>
  <si>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</si>
  <si>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</si>
  <si>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</si>
  <si>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</si>
  <si>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</si>
  <si>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</si>
  <si>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</si>
  <si>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</si>
  <si>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</si>
  <si>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</si>
  <si>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</si>
  <si>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</si>
  <si>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</si>
  <si>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</si>
  <si>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</si>
  <si>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</si>
  <si>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</si>
  <si>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</si>
  <si>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</si>
  <si>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</si>
  <si>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</si>
  <si>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</si>
  <si>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</si>
  <si>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</si>
  <si>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</si>
  <si>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</si>
  <si>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</si>
  <si>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</si>
  <si>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</si>
  <si>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</si>
  <si>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</si>
  <si>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</si>
  <si>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</si>
  <si>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</si>
  <si>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</si>
  <si>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</si>
  <si>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</si>
  <si>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</si>
  <si>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</si>
  <si>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</si>
  <si>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</si>
  <si>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</si>
  <si>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</si>
  <si>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</si>
  <si>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</si>
  <si>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</si>
  <si>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</si>
  <si>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</si>
  <si>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</si>
  <si>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</si>
  <si>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</si>
  <si>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</si>
  <si>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</si>
  <si>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</si>
  <si>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</si>
  <si>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</si>
  <si>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</si>
  <si>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</si>
  <si>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</si>
  <si>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</si>
  <si>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</si>
  <si>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</si>
  <si>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</si>
  <si>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</si>
  <si>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</si>
  <si>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</si>
  <si>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</si>
  <si>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</si>
  <si>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</si>
  <si>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</si>
  <si>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</si>
  <si>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</si>
  <si>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</si>
  <si>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</si>
  <si>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</si>
  <si>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</si>
  <si>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</si>
  <si>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</si>
  <si>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</si>
  <si>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</si>
  <si>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</si>
  <si>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</si>
  <si>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</si>
  <si>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</si>
  <si>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</si>
  <si>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</si>
  <si>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</si>
  <si>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</si>
  <si>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</si>
  <si>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</si>
  <si>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</si>
  <si>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</si>
  <si>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</si>
  <si>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</si>
  <si>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</si>
  <si>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</si>
  <si>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</si>
  <si>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</si>
  <si>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</si>
  <si>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</si>
  <si>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</si>
  <si>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</si>
  <si>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</si>
  <si>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</si>
  <si>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</si>
  <si>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</si>
  <si>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</si>
  <si>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</si>
  <si>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</si>
  <si>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</si>
  <si>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</si>
  <si>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</si>
  <si>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</si>
  <si>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</si>
  <si>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</si>
  <si>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</si>
  <si>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</si>
  <si>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</si>
  <si>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</si>
  <si>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</si>
  <si>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</si>
  <si>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</si>
  <si>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</si>
  <si>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</si>
  <si>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</si>
  <si>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</si>
  <si>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</si>
  <si>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</si>
  <si>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</si>
  <si>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</si>
  <si>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</si>
  <si>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</si>
  <si>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</si>
  <si>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</si>
  <si>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</si>
  <si>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</si>
  <si>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</si>
  <si>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</si>
  <si>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</si>
  <si>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</si>
  <si>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</si>
  <si>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</si>
  <si>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</si>
  <si>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</si>
  <si>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</si>
  <si>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</si>
  <si>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</si>
  <si>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</si>
  <si>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</si>
  <si>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</si>
  <si>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</si>
  <si>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</si>
  <si>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</si>
  <si>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</si>
  <si>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</si>
  <si>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</si>
  <si>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</si>
  <si>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</si>
  <si>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</si>
  <si>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</si>
  <si>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</si>
  <si>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</si>
  <si>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</si>
  <si>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</si>
  <si>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</si>
  <si>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</si>
  <si>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</si>
  <si>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</si>
  <si>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</si>
  <si>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</si>
  <si>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</si>
  <si>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</si>
  <si>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</si>
  <si>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</si>
  <si>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</si>
  <si>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</si>
  <si>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</si>
  <si>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</si>
  <si>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</si>
  <si>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</si>
  <si>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</si>
  <si>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</si>
  <si>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</si>
  <si>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</si>
  <si>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</si>
  <si>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</si>
  <si>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</si>
  <si>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</si>
  <si>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</si>
  <si>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</si>
  <si>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</si>
  <si>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</si>
  <si>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</si>
  <si>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</si>
  <si>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</si>
  <si>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</si>
  <si>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</si>
  <si>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</si>
  <si>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</si>
  <si>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</si>
  <si>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</si>
  <si>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</si>
  <si>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</si>
  <si>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</si>
  <si>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</si>
  <si>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</si>
  <si>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</si>
  <si>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</si>
  <si>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</si>
  <si>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</si>
  <si>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</si>
  <si>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</si>
  <si>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</si>
  <si>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</si>
  <si>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</si>
  <si>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</si>
  <si>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</si>
  <si>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</si>
  <si>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</si>
  <si>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</si>
  <si>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</si>
  <si>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</si>
  <si>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</si>
  <si>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</si>
  <si>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</si>
  <si>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</si>
  <si>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</si>
  <si>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</si>
  <si>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</si>
  <si>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</si>
  <si>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</si>
  <si>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</si>
  <si>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</si>
  <si>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</si>
  <si>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</si>
  <si>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</si>
  <si>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</si>
  <si>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</si>
  <si>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</si>
  <si>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</si>
  <si>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</si>
  <si>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</si>
  <si>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</si>
  <si>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</si>
  <si>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</si>
  <si>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</si>
  <si>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</si>
  <si>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</si>
  <si>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</si>
  <si>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</si>
  <si>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</si>
  <si>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</si>
  <si>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</si>
  <si>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</si>
  <si>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</si>
  <si>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</si>
  <si>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</si>
  <si>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</si>
  <si>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</si>
  <si>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</si>
  <si>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</si>
  <si>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</si>
  <si>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</si>
  <si>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</si>
  <si>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</si>
  <si>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</si>
  <si>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</si>
  <si>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</si>
  <si>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</si>
  <si>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</si>
  <si>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</si>
  <si>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</si>
  <si>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</si>
  <si>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</si>
  <si>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</si>
  <si>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</si>
  <si>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</si>
  <si>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</si>
  <si>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</si>
  <si>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</si>
  <si>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</si>
  <si>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</si>
  <si>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</si>
  <si>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</si>
  <si>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</si>
  <si>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</si>
  <si>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</si>
  <si>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</si>
  <si>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</si>
  <si>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</si>
  <si>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</si>
  <si>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</si>
  <si>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</si>
  <si>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</si>
  <si>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</si>
  <si>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</si>
  <si>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</si>
  <si>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</si>
  <si>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</si>
  <si>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</si>
  <si>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</si>
  <si>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</si>
  <si>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</si>
  <si>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</si>
  <si>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</si>
  <si>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</si>
  <si>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</si>
  <si>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</si>
  <si>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</si>
  <si>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</si>
  <si>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</si>
  <si>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</si>
  <si>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</si>
  <si>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</si>
  <si>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</si>
  <si>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</si>
  <si>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</si>
  <si>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</si>
  <si>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</si>
  <si>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</si>
  <si>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</si>
  <si>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</si>
  <si>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</si>
  <si>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</si>
  <si>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</si>
  <si>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</si>
  <si>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</si>
  <si>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</si>
  <si>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</si>
  <si>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</si>
  <si>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</si>
  <si>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</si>
  <si>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</si>
  <si>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</si>
  <si>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</si>
  <si>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</si>
  <si>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</si>
  <si>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</si>
  <si>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</si>
  <si>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</si>
  <si>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</si>
  <si>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</si>
  <si>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</si>
  <si>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</si>
  <si>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</si>
  <si>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</si>
  <si>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</si>
  <si>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</si>
  <si>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</si>
  <si>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</si>
  <si>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</si>
  <si>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</si>
  <si>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</si>
  <si>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</si>
  <si>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</si>
  <si>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</si>
  <si>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</si>
  <si>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</si>
  <si>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</si>
  <si>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</si>
  <si>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</si>
  <si>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</si>
  <si>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</si>
  <si>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</si>
  <si>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</si>
  <si>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</si>
  <si>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</si>
  <si>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</si>
  <si>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</si>
  <si>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</si>
  <si>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</si>
  <si>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</si>
  <si>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</si>
  <si>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</si>
  <si>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</si>
  <si>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</si>
  <si>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</si>
  <si>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</si>
  <si>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</si>
  <si>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</si>
  <si>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</si>
  <si>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</si>
  <si>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</si>
  <si>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</si>
  <si>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</si>
  <si>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</si>
  <si>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</si>
  <si>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</si>
  <si>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</si>
  <si>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</si>
  <si>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</si>
  <si>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</si>
  <si>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</si>
  <si>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</si>
  <si>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</si>
  <si>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</si>
  <si>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</si>
  <si>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</si>
  <si>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</si>
  <si>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</si>
  <si>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</si>
  <si>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</si>
  <si>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</si>
  <si>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</si>
  <si>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</si>
  <si>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</si>
  <si>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</si>
  <si>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</si>
  <si>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</si>
  <si>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</si>
  <si>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</si>
  <si>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</si>
  <si>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</si>
  <si>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</si>
  <si>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</si>
  <si>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</si>
  <si>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</si>
  <si>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</si>
  <si>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</si>
  <si>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</si>
  <si>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</si>
  <si>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</si>
  <si>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</si>
  <si>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</si>
  <si>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</si>
  <si>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</si>
  <si>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</si>
  <si>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</si>
  <si>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</si>
  <si>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</si>
  <si>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</si>
  <si>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</si>
  <si>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</si>
  <si>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</si>
  <si>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</si>
  <si>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</si>
  <si>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</si>
  <si>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</si>
  <si>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</si>
  <si>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</si>
  <si>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</si>
  <si>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</si>
  <si>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</si>
  <si>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</si>
  <si>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</si>
  <si>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</si>
  <si>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</si>
  <si>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</si>
  <si>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</si>
  <si>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</si>
  <si>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</si>
  <si>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</si>
  <si>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</si>
  <si>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</si>
  <si>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</si>
  <si>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</si>
  <si>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</si>
  <si>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</si>
  <si>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</si>
  <si>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</si>
  <si>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</si>
  <si>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</si>
  <si>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</si>
  <si>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</si>
  <si>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</si>
  <si>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</si>
  <si>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</si>
  <si>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</si>
  <si>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</si>
  <si>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</si>
  <si>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</si>
  <si>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</si>
  <si>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</si>
  <si>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</si>
  <si>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</si>
  <si>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</si>
  <si>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</si>
  <si>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</si>
  <si>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</si>
  <si>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</si>
  <si>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</si>
  <si>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</si>
  <si>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</si>
  <si>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</si>
  <si>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</si>
  <si>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</si>
  <si>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</si>
  <si>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</si>
  <si>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</si>
  <si>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</si>
  <si>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</si>
  <si>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</si>
  <si>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</si>
  <si>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</si>
  <si>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</si>
  <si>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</si>
  <si>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</si>
  <si>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</si>
  <si>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</si>
  <si>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</si>
  <si>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</si>
  <si>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</si>
  <si>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</si>
  <si>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</si>
  <si>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</si>
  <si>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</si>
  <si>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</si>
  <si>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</si>
  <si>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</si>
  <si>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</si>
  <si>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</si>
  <si>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</si>
  <si>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</si>
  <si>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</si>
  <si>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</si>
  <si>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</si>
  <si>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</si>
  <si>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</si>
  <si>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</si>
  <si>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</si>
  <si>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</si>
  <si>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</si>
  <si>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</si>
  <si>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</si>
  <si>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</si>
  <si>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</si>
  <si>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</si>
  <si>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</si>
  <si>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</si>
  <si>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</si>
  <si>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</si>
  <si>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</si>
  <si>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</si>
  <si>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</si>
  <si>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</si>
  <si>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</si>
  <si>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</si>
  <si>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</si>
  <si>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</si>
  <si>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</si>
  <si>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</si>
  <si>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</si>
  <si>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</si>
  <si>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</si>
  <si>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</si>
  <si>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</si>
  <si>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</si>
  <si>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</si>
  <si>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</si>
  <si>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</si>
  <si>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</si>
  <si>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</si>
  <si>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</si>
  <si>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</si>
  <si>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</si>
  <si>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</si>
  <si>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</si>
  <si>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</si>
  <si>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</si>
  <si>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</si>
  <si>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</si>
  <si>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</si>
  <si>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</si>
  <si>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</si>
  <si>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</si>
  <si>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</si>
  <si>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</si>
  <si>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</si>
  <si>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</si>
  <si>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</si>
  <si>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</si>
  <si>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</si>
  <si>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</si>
  <si>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</si>
  <si>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</si>
  <si>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</si>
  <si>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</si>
  <si>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</si>
  <si>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</si>
  <si>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</si>
  <si>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</si>
  <si>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</si>
  <si>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</si>
  <si>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</si>
  <si>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</si>
  <si>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</si>
  <si>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</si>
  <si>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</si>
  <si>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</si>
  <si>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</si>
  <si>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</si>
  <si>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</si>
  <si>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</si>
  <si>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</si>
  <si>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</si>
  <si>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</si>
  <si>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</si>
  <si>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</si>
  <si>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</si>
  <si>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</si>
  <si>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</si>
  <si>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</si>
  <si>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</si>
  <si>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</si>
  <si>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</si>
  <si>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</si>
  <si>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</si>
  <si>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</si>
  <si>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</si>
  <si>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</si>
  <si>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</si>
  <si>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</si>
  <si>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</si>
  <si>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</si>
  <si>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</si>
  <si>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</si>
  <si>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</si>
  <si>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</si>
  <si>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</si>
  <si>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</si>
  <si>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</si>
  <si>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</si>
  <si>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</si>
  <si>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</si>
  <si>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</si>
  <si>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</si>
  <si>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</si>
  <si>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</si>
  <si>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</si>
  <si>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</si>
  <si>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</si>
  <si>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</si>
  <si>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</si>
  <si>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</si>
  <si>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</si>
  <si>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</si>
  <si>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</si>
  <si>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</si>
  <si>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</si>
  <si>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</si>
  <si>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</si>
  <si>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</si>
  <si>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</si>
  <si>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</si>
  <si>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</si>
  <si>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</si>
  <si>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</si>
  <si>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</si>
  <si>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</si>
  <si>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</si>
  <si>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</si>
  <si>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</si>
  <si>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</si>
  <si>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</si>
  <si>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</si>
  <si>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</si>
  <si>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</si>
  <si>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</si>
  <si>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</si>
  <si>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</si>
  <si>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</si>
  <si>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</si>
  <si>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</si>
  <si>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</si>
  <si>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</si>
  <si>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</si>
  <si>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</si>
  <si>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</si>
  <si>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</si>
  <si>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</si>
  <si>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</si>
  <si>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</si>
  <si>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</si>
  <si>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</si>
  <si>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</si>
  <si>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</si>
  <si>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</si>
  <si>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</si>
  <si>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</si>
  <si>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</si>
  <si>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</si>
  <si>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</si>
  <si>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</si>
  <si>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</si>
  <si>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</si>
  <si>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</si>
  <si>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</si>
  <si>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</si>
  <si>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</si>
  <si>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</si>
  <si>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</si>
  <si>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</si>
  <si>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</si>
  <si>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</si>
  <si>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</si>
  <si>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</si>
  <si>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</si>
  <si>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</si>
  <si>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</si>
  <si>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</si>
  <si>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</si>
  <si>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</si>
  <si>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</si>
  <si>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</si>
  <si>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</si>
  <si>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</si>
  <si>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</si>
  <si>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</si>
  <si>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</si>
  <si>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</si>
  <si>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</si>
  <si>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</si>
  <si>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</si>
  <si>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</si>
  <si>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</si>
  <si>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</si>
  <si>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</si>
  <si>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</si>
  <si>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</si>
  <si>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</si>
  <si>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</si>
  <si>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</si>
  <si>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</si>
  <si>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</si>
  <si>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</si>
  <si>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</si>
  <si>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</si>
  <si>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</si>
  <si>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</si>
  <si>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</si>
  <si>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</si>
  <si>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</si>
  <si>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</si>
  <si>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</si>
  <si>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</si>
  <si>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</si>
  <si>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</si>
  <si>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</si>
  <si>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</si>
  <si>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</si>
  <si>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</si>
  <si>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</si>
  <si>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</si>
  <si>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</si>
  <si>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</si>
  <si>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</si>
  <si>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</si>
  <si>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</si>
  <si>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</si>
  <si>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</si>
  <si>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</si>
  <si>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</si>
  <si>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</si>
  <si>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</si>
  <si>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</si>
  <si>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</si>
  <si>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</si>
  <si>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</si>
  <si>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</si>
  <si>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</si>
  <si>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</si>
  <si>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</si>
  <si>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</si>
  <si>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</si>
  <si>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</si>
  <si>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</si>
  <si>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</si>
  <si>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</si>
  <si>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</si>
  <si>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</si>
  <si>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</si>
  <si>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</si>
  <si>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</si>
  <si>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</si>
  <si>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</si>
  <si>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</si>
  <si>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</si>
  <si>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</si>
  <si>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</si>
  <si>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</si>
  <si>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</si>
  <si>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</si>
  <si>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</si>
  <si>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</si>
  <si>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</si>
  <si>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</si>
  <si>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</si>
  <si>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</si>
  <si>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</si>
  <si>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</si>
  <si>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</si>
  <si>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</si>
  <si>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</si>
  <si>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</si>
  <si>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</si>
  <si>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</si>
  <si>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</si>
  <si>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</si>
  <si>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</si>
  <si>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</si>
  <si>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</si>
  <si>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</si>
  <si>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</si>
  <si>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</si>
  <si>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</si>
  <si>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</si>
  <si>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</si>
  <si>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</si>
  <si>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</si>
  <si>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</si>
  <si>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</si>
  <si>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</si>
  <si>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</si>
  <si>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</si>
  <si>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</si>
  <si>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</si>
  <si>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</si>
  <si>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</si>
  <si>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</si>
  <si>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</si>
  <si>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</si>
  <si>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</si>
  <si>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</si>
  <si>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</si>
  <si>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</si>
  <si>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</si>
  <si>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</si>
  <si>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</si>
  <si>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</si>
  <si>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</si>
  <si>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</si>
  <si>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</si>
  <si>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</si>
  <si>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</si>
  <si>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</si>
  <si>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</si>
  <si>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</si>
  <si>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</si>
  <si>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</si>
  <si>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</si>
  <si>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</si>
  <si>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</si>
  <si>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</si>
  <si>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</si>
  <si>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</si>
  <si>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</si>
  <si>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</si>
  <si>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</si>
  <si>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</si>
  <si>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</si>
  <si>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</si>
  <si>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</si>
  <si>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</si>
  <si>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</si>
  <si>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</si>
  <si>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</si>
  <si>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</si>
  <si>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</si>
  <si>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</si>
  <si>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</si>
  <si>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</si>
  <si>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</si>
  <si>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</si>
  <si>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</si>
  <si>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</si>
  <si>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</si>
  <si>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</si>
  <si>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</si>
  <si>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</si>
  <si>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</si>
  <si>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</si>
  <si>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</si>
  <si>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</si>
  <si>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</si>
  <si>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</si>
  <si>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</si>
  <si>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</si>
  <si>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</si>
  <si>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</si>
  <si>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</si>
  <si>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</si>
  <si>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</si>
  <si>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</si>
  <si>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</si>
  <si>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</si>
  <si>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</si>
  <si>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</si>
  <si>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</si>
  <si>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</si>
  <si>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</si>
  <si>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</si>
  <si>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</si>
  <si>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</si>
  <si>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</si>
  <si>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</si>
  <si>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</si>
  <si>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</si>
  <si>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</si>
  <si>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</si>
  <si>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</si>
  <si>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</si>
  <si>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</si>
  <si>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</si>
  <si>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</si>
  <si>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</si>
  <si>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</si>
  <si>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</si>
  <si>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</si>
  <si>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</si>
  <si>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</si>
  <si>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</si>
  <si>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</si>
  <si>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</si>
  <si>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</si>
  <si>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</si>
  <si>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</si>
  <si>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</si>
  <si>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</si>
  <si>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</si>
  <si>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</si>
  <si>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</si>
  <si>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</si>
  <si>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</si>
  <si>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</si>
  <si>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</si>
  <si>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</si>
  <si>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</si>
  <si>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</si>
  <si>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</si>
  <si>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</si>
  <si>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</si>
  <si>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</si>
  <si>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</si>
  <si>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</si>
  <si>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</si>
  <si>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</si>
  <si>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</si>
  <si>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</si>
  <si>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</si>
  <si>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</si>
  <si>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</si>
  <si>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</si>
  <si>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</si>
  <si>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</si>
  <si>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</si>
  <si>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</si>
  <si>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</si>
  <si>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</si>
  <si>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</si>
  <si>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</si>
  <si>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</si>
  <si>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</si>
  <si>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</si>
  <si>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</si>
  <si>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</si>
  <si>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</si>
  <si>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</si>
  <si>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</si>
  <si>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</si>
  <si>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</si>
  <si>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</si>
  <si>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</si>
  <si>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</si>
  <si>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</si>
  <si>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</si>
  <si>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</si>
  <si>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</si>
  <si>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</si>
  <si>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</si>
  <si>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</si>
  <si>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</si>
  <si>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</si>
  <si>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</si>
  <si>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</si>
  <si>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</si>
  <si>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</si>
  <si>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</si>
  <si>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</si>
  <si>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</si>
  <si>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</si>
  <si>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</si>
  <si>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</si>
  <si>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</si>
  <si>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</si>
  <si>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</si>
  <si>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</si>
  <si>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</si>
  <si>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</si>
  <si>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</si>
  <si>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</si>
  <si>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</si>
  <si>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</si>
  <si>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</si>
  <si>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</si>
  <si>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</si>
  <si>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</si>
  <si>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</si>
  <si>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</si>
  <si>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</si>
  <si>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</si>
  <si>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</si>
  <si>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</si>
  <si>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</si>
  <si>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</si>
  <si>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</si>
  <si>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</si>
  <si>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</si>
  <si>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</si>
  <si>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</si>
  <si>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</si>
  <si>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</si>
  <si>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</si>
  <si>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</si>
  <si>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</si>
  <si>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</si>
  <si>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</si>
  <si>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</si>
  <si>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</si>
  <si>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</si>
  <si>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</si>
  <si>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</si>
  <si>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</si>
  <si>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</si>
  <si>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</si>
  <si>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</si>
  <si>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</si>
  <si>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</si>
  <si>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</si>
  <si>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</si>
  <si>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</si>
  <si>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</si>
  <si>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</si>
  <si>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</si>
  <si>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</si>
  <si>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</si>
  <si>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</si>
  <si>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</si>
  <si>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</si>
  <si>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</si>
  <si>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</si>
  <si>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</si>
  <si>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</si>
  <si>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</si>
  <si>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</si>
  <si>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</si>
  <si>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</si>
  <si>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</si>
  <si>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</si>
  <si>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</si>
  <si>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</si>
  <si>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</si>
  <si>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</si>
  <si>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</si>
  <si>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</si>
  <si>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</si>
  <si>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</si>
  <si>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</si>
  <si>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</si>
  <si>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</si>
  <si>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</si>
  <si>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</si>
  <si>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</si>
  <si>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</si>
  <si>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</si>
  <si>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</si>
  <si>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</si>
  <si>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</si>
  <si>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</si>
  <si>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</si>
  <si>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</si>
  <si>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</si>
  <si>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</si>
  <si>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</si>
  <si>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</si>
  <si>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</si>
  <si>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</si>
  <si>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</si>
  <si>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</si>
  <si>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</si>
  <si>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</si>
  <si>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</si>
  <si>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</si>
  <si>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</si>
  <si>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</si>
  <si>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</si>
  <si>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</si>
  <si>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</si>
  <si>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</si>
  <si>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</si>
  <si>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</si>
  <si>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</si>
  <si>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</si>
  <si>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</si>
  <si>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</si>
  <si>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</si>
  <si>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</si>
  <si>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</si>
  <si>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</si>
  <si>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</si>
  <si>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</si>
  <si>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</si>
  <si>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</si>
  <si>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</si>
  <si>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</si>
  <si>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</si>
  <si>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</si>
  <si>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</si>
  <si>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</si>
  <si>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</si>
  <si>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</si>
  <si>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</si>
  <si>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</si>
  <si>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</si>
  <si>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</si>
  <si>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</si>
  <si>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</si>
  <si>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</si>
  <si>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</si>
  <si>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</si>
  <si>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</si>
  <si>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</si>
  <si>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</si>
  <si>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</si>
  <si>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</si>
  <si>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</si>
  <si>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</si>
  <si>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</si>
  <si>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</si>
  <si>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</si>
  <si>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</si>
  <si>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</si>
  <si>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</si>
  <si>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</si>
  <si>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</si>
  <si>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</si>
  <si>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</si>
  <si>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</si>
  <si>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</si>
  <si>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</si>
  <si>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</si>
  <si>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</si>
  <si>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</si>
  <si>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</si>
  <si>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</si>
  <si>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</si>
  <si>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</si>
  <si>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</si>
  <si>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</si>
  <si>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</si>
  <si>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</si>
  <si>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</si>
  <si>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</si>
  <si>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</si>
  <si>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</si>
  <si>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</si>
  <si>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</si>
  <si>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</si>
  <si>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</si>
  <si>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</si>
  <si>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</si>
  <si>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</si>
  <si>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</si>
  <si>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</si>
  <si>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</si>
  <si>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</si>
  <si>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</si>
  <si>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</si>
  <si>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</si>
  <si>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</si>
  <si>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</si>
  <si>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</si>
  <si>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</si>
  <si>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</si>
  <si>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</si>
  <si>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</si>
  <si>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</si>
  <si>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</si>
  <si>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</si>
  <si>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</si>
  <si>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</si>
  <si>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</si>
  <si>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</si>
  <si>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</si>
  <si>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</si>
  <si>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</si>
  <si>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</si>
  <si>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</si>
  <si>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</si>
  <si>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</si>
  <si>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</si>
  <si>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</si>
  <si>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</si>
  <si>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</si>
  <si>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</si>
  <si>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</si>
  <si>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</si>
  <si>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</si>
  <si>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</si>
  <si>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</si>
  <si>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</si>
  <si>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</si>
  <si>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</si>
  <si>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</si>
  <si>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</si>
  <si>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</si>
  <si>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</si>
  <si>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</si>
  <si>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</si>
  <si>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</si>
  <si>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</si>
  <si>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</si>
  <si>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</si>
  <si>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</si>
  <si>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</si>
  <si>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</si>
  <si>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</si>
  <si>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</si>
  <si>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</si>
  <si>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</si>
  <si>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</si>
  <si>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</si>
  <si>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</si>
  <si>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</si>
  <si>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</si>
  <si>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</si>
  <si>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</si>
  <si>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</si>
  <si>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</si>
  <si>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</si>
  <si>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</si>
  <si>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</si>
  <si>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</si>
  <si>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</si>
  <si>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</si>
  <si>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</si>
  <si>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</si>
  <si>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</si>
  <si>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</si>
  <si>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</si>
  <si>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</si>
  <si>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</si>
  <si>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</si>
  <si>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</si>
  <si>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</si>
  <si>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</si>
  <si>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</si>
  <si>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</si>
  <si>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</si>
  <si>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</si>
  <si>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</si>
  <si>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</si>
  <si>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</si>
  <si>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</si>
  <si>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</si>
  <si>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</si>
  <si>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</si>
  <si>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</si>
  <si>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</si>
  <si>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</si>
  <si>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</si>
  <si>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</si>
  <si>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</si>
  <si>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</si>
  <si>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</si>
  <si>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</si>
  <si>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</si>
  <si>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</si>
  <si>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</si>
  <si>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</si>
  <si>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</si>
  <si>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</si>
  <si>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</si>
  <si>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</si>
  <si>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</si>
  <si>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</si>
  <si>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</si>
  <si>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</si>
  <si>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</si>
  <si>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</si>
  <si>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</si>
  <si>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</si>
  <si>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</si>
  <si>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</si>
  <si>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</si>
  <si>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</si>
  <si>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</si>
  <si>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</si>
  <si>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</si>
  <si>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</si>
  <si>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</si>
  <si>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</si>
  <si>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</si>
  <si>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</si>
  <si>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</si>
  <si>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</si>
  <si>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</si>
  <si>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</si>
  <si>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</si>
  <si>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</si>
  <si>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</si>
  <si>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</si>
  <si>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</si>
  <si>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</si>
  <si>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</si>
  <si>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</si>
  <si>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</si>
  <si>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</si>
  <si>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</si>
  <si>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</si>
  <si>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</si>
  <si>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</si>
  <si>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</si>
  <si>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</si>
  <si>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</si>
  <si>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</si>
  <si>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</si>
  <si>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</si>
  <si>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</si>
  <si>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</si>
  <si>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</si>
  <si>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</si>
  <si>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</si>
  <si>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</si>
  <si>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</si>
  <si>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</si>
  <si>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</si>
  <si>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</si>
  <si>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</si>
  <si>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</si>
  <si>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</si>
  <si>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</si>
  <si>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</si>
  <si>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</si>
  <si>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</si>
  <si>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</si>
  <si>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</si>
  <si>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</si>
  <si>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</si>
  <si>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</si>
  <si>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</si>
  <si>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</si>
  <si>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</si>
  <si>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</si>
  <si>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</si>
  <si>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</si>
  <si>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</si>
  <si>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</si>
  <si>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</si>
  <si>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</si>
  <si>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</si>
  <si>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</si>
  <si>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</si>
  <si>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</si>
  <si>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</si>
  <si>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</si>
  <si>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</si>
  <si>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</si>
  <si>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</si>
  <si>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</si>
  <si>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</si>
  <si>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</si>
  <si>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</si>
  <si>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</si>
  <si>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</si>
  <si>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</si>
  <si>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</si>
  <si>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</si>
  <si>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</si>
  <si>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</si>
  <si>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</si>
  <si>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</si>
  <si>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</si>
  <si>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</si>
  <si>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</si>
  <si>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</si>
  <si>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</si>
  <si>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</si>
  <si>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</si>
  <si>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</si>
  <si>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</si>
  <si>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</si>
  <si>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</si>
  <si>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</si>
  <si>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</si>
  <si>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</si>
  <si>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</si>
  <si>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</si>
  <si>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</si>
  <si>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</si>
  <si>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</si>
  <si>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</si>
  <si>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</si>
  <si>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</si>
  <si>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</si>
  <si>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</si>
  <si>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</si>
  <si>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</si>
  <si>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</si>
  <si>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</si>
  <si>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</si>
  <si>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</si>
  <si>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</si>
  <si>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</si>
  <si>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</si>
  <si>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</si>
  <si>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</si>
  <si>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</si>
  <si>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</si>
  <si>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</si>
  <si>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</si>
  <si>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</si>
  <si>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</si>
  <si>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</si>
  <si>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</si>
  <si>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</si>
  <si>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</si>
  <si>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</si>
  <si>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</si>
  <si>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</si>
  <si>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</si>
  <si>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</si>
  <si>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</si>
  <si>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</si>
  <si>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</si>
  <si>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</si>
  <si>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</si>
  <si>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</si>
  <si>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</si>
  <si>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</si>
  <si>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</si>
  <si>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</si>
  <si>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</si>
  <si>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</si>
  <si>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</si>
  <si>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</si>
  <si>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</si>
  <si>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</si>
  <si>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</si>
  <si>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</si>
  <si>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</si>
  <si>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</si>
  <si>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</si>
  <si>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</si>
  <si>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</si>
  <si>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</si>
  <si>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</si>
  <si>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</si>
  <si>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</si>
  <si>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</si>
  <si>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</si>
  <si>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</si>
  <si>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</si>
  <si>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</si>
  <si>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</si>
  <si>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</si>
  <si>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</si>
  <si>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</si>
  <si>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</si>
  <si>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</si>
  <si>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</si>
  <si>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</si>
  <si>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</si>
  <si>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</si>
  <si>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</si>
  <si>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</si>
  <si>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</si>
  <si>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</si>
  <si>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</si>
  <si>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</si>
  <si>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</si>
  <si>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</si>
  <si>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</si>
  <si>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</si>
  <si>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</si>
  <si>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</si>
  <si>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</si>
  <si>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</si>
  <si>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</si>
  <si>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</si>
  <si>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</si>
  <si>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</si>
  <si>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</si>
  <si>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</si>
  <si>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</si>
  <si>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</si>
  <si>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</si>
  <si>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</si>
  <si>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</si>
  <si>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</si>
  <si>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</si>
  <si>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</si>
  <si>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</si>
  <si>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</si>
  <si>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</si>
  <si>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</si>
  <si>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</si>
  <si>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</si>
  <si>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</si>
  <si>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</si>
  <si>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</si>
  <si>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</si>
  <si>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</si>
  <si>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</si>
  <si>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</si>
  <si>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</si>
  <si>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</si>
  <si>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</si>
  <si>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</si>
  <si>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</si>
  <si>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</si>
  <si>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</si>
  <si>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</si>
  <si>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</si>
  <si>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</si>
  <si>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</si>
  <si>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</si>
  <si>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</si>
  <si>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</si>
  <si>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</si>
  <si>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</si>
  <si>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</si>
  <si>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</si>
  <si>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</si>
  <si>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</si>
  <si>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</si>
  <si>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</si>
  <si>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</si>
  <si>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</si>
  <si>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</si>
  <si>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</si>
  <si>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</si>
  <si>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</si>
  <si>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</si>
  <si>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</si>
  <si>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</si>
  <si>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</si>
  <si>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</si>
  <si>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</si>
  <si>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</si>
  <si>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</si>
  <si>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</si>
  <si>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</si>
  <si>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</si>
  <si>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</si>
  <si>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</si>
  <si>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</si>
  <si>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</si>
  <si>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</si>
  <si>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</si>
  <si>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</si>
  <si>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</si>
  <si>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</si>
  <si>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</si>
  <si>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</si>
  <si>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</si>
  <si>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</si>
  <si>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</si>
  <si>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</si>
  <si>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</si>
  <si>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</si>
  <si>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</si>
  <si>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</si>
  <si>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</si>
  <si>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</si>
  <si>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</si>
  <si>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</si>
  <si>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</si>
  <si>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</si>
  <si>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</si>
  <si>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</si>
  <si>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</si>
  <si>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</si>
  <si>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</si>
  <si>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</si>
  <si>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</si>
  <si>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</si>
  <si>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</si>
  <si>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</si>
  <si>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</si>
  <si>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</si>
  <si>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</si>
  <si>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</si>
  <si>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</si>
  <si>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</si>
  <si>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</si>
  <si>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</si>
  <si>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</si>
  <si>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</si>
  <si>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</si>
  <si>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</si>
  <si>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</si>
  <si>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</si>
  <si>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</si>
  <si>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</si>
  <si>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</si>
  <si>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</si>
  <si>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</si>
  <si>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</si>
  <si>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</si>
  <si>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</si>
  <si>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</si>
  <si>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</si>
  <si>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</si>
  <si>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</si>
  <si>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</si>
  <si>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</si>
  <si>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</si>
  <si>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</si>
  <si>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</si>
  <si>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</si>
  <si>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</si>
  <si>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</si>
  <si>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</si>
  <si>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</si>
  <si>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</si>
  <si>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</si>
  <si>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</si>
  <si>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</si>
  <si>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</si>
  <si>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</si>
  <si>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</si>
  <si>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</si>
  <si>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</si>
  <si>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</si>
  <si>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</si>
  <si>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</si>
  <si>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</si>
  <si>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</si>
  <si>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</si>
  <si>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</si>
  <si>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</si>
  <si>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</si>
  <si>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</si>
  <si>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</si>
  <si>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</si>
  <si>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</si>
  <si>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</si>
  <si>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</si>
  <si>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</si>
  <si>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</si>
  <si>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</si>
  <si>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</si>
  <si>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</si>
  <si>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</si>
  <si>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</si>
  <si>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</si>
  <si>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</si>
  <si>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</si>
  <si>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</si>
  <si>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</si>
  <si>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</si>
  <si>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</si>
  <si>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</si>
  <si>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</si>
  <si>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</si>
  <si>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</si>
  <si>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</si>
  <si>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</si>
  <si>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</si>
  <si>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</si>
  <si>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</si>
  <si>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</si>
  <si>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</si>
  <si>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</si>
  <si>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</si>
  <si>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</si>
  <si>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</si>
  <si>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</si>
  <si>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</si>
  <si>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</si>
  <si>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</si>
  <si>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</si>
  <si>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</si>
  <si>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</si>
  <si>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</si>
  <si>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</si>
  <si>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</si>
  <si>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</si>
  <si>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</si>
  <si>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</si>
  <si>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</si>
  <si>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</si>
  <si>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</si>
  <si>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</si>
  <si>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</si>
  <si>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</si>
  <si>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</si>
  <si>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</si>
  <si>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</si>
  <si>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</si>
  <si>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</si>
  <si>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</si>
  <si>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</si>
  <si>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</si>
  <si>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</si>
  <si>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</si>
  <si>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</si>
  <si>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</si>
  <si>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</si>
  <si>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</si>
  <si>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</si>
  <si>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</si>
  <si>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</si>
  <si>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</si>
  <si>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</si>
  <si>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</si>
  <si>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</si>
  <si>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</si>
  <si>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</si>
  <si>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</si>
  <si>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</si>
  <si>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</si>
  <si>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</si>
  <si>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</si>
  <si>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</si>
  <si>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</si>
  <si>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</si>
  <si>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</si>
  <si>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</si>
  <si>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</si>
  <si>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</si>
  <si>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</si>
  <si>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</si>
  <si>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</si>
  <si>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</si>
  <si>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</si>
  <si>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</si>
  <si>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</si>
  <si>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</si>
  <si>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</si>
  <si>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</si>
  <si>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</si>
  <si>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</si>
  <si>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</si>
  <si>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</si>
  <si>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</si>
  <si>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</si>
  <si>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</si>
  <si>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</si>
  <si>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</si>
  <si>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</si>
  <si>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</si>
  <si>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</si>
  <si>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</si>
  <si>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</si>
  <si>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</si>
  <si>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</si>
  <si>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</si>
  <si>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</si>
  <si>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</si>
  <si>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</si>
  <si>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</si>
  <si>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</si>
  <si>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</si>
  <si>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</si>
  <si>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</si>
  <si>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</si>
  <si>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</si>
  <si>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</si>
  <si>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</si>
  <si>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</si>
  <si>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</si>
  <si>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</si>
  <si>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</si>
  <si>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</si>
  <si>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</si>
  <si>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</si>
  <si>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</si>
  <si>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</si>
  <si>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</si>
  <si>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</si>
  <si>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</si>
  <si>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</si>
  <si>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</si>
  <si>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</si>
  <si>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</si>
  <si>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</si>
  <si>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</si>
  <si>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</si>
  <si>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</si>
  <si>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</si>
  <si>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</si>
  <si>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</si>
  <si>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</si>
  <si>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</si>
  <si>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</si>
  <si>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</si>
  <si>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</si>
  <si>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</si>
  <si>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</si>
  <si>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</si>
  <si>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</si>
  <si>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</si>
  <si>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</si>
  <si>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</si>
  <si>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</si>
  <si>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</si>
  <si>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</si>
  <si>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</si>
  <si>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</si>
  <si>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</si>
  <si>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</si>
  <si>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</si>
  <si>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</si>
  <si>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</si>
  <si>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</si>
  <si>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</si>
  <si>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</si>
  <si>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</si>
  <si>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</si>
  <si>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</si>
  <si>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</si>
  <si>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</si>
  <si>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</si>
  <si>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</si>
  <si>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</si>
  <si>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</si>
  <si>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</si>
  <si>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</si>
  <si>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</si>
  <si>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</si>
  <si>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</si>
  <si>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</si>
  <si>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</si>
  <si>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</si>
  <si>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</si>
  <si>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</si>
  <si>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</si>
  <si>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</si>
  <si>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</si>
  <si>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</si>
  <si>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</si>
  <si>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</si>
  <si>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</si>
  <si>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</si>
  <si>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</si>
  <si>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</si>
  <si>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</si>
  <si>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</si>
  <si>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</si>
  <si>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</si>
  <si>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</si>
  <si>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</si>
  <si>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</si>
  <si>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</si>
  <si>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</si>
  <si>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</si>
  <si>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</si>
  <si>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</si>
  <si>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</si>
  <si>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</si>
  <si>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</si>
  <si>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</si>
  <si>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</si>
  <si>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</si>
  <si>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</si>
  <si>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</si>
  <si>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</si>
  <si>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</si>
  <si>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</si>
  <si>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</si>
  <si>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</si>
  <si>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</si>
  <si>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</si>
  <si>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</si>
  <si>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</si>
  <si>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</si>
  <si>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</si>
  <si>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</si>
  <si>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</si>
  <si>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</si>
  <si>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</si>
  <si>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</si>
  <si>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</si>
  <si>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</si>
  <si>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</si>
  <si>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</si>
  <si>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</si>
  <si>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</si>
  <si>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</si>
  <si>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</si>
  <si>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</si>
  <si>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</si>
  <si>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</si>
  <si>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</si>
  <si>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</si>
  <si>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</si>
  <si>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</si>
  <si>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</si>
  <si>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</si>
  <si>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</si>
  <si>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</si>
  <si>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</si>
  <si>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</si>
  <si>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</si>
  <si>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</si>
  <si>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</si>
  <si>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</si>
  <si>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</si>
  <si>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</si>
  <si>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</si>
  <si>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</si>
  <si>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</si>
  <si>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</si>
  <si>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</si>
  <si>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</si>
  <si>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</si>
  <si>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</si>
  <si>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</si>
  <si>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</si>
  <si>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</si>
  <si>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</si>
  <si>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</si>
  <si>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</si>
  <si>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</si>
  <si>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</si>
  <si>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</si>
  <si>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</si>
  <si>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</si>
  <si>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</si>
  <si>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</si>
  <si>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</si>
  <si>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</si>
  <si>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</si>
  <si>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</si>
  <si>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</si>
  <si>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</si>
  <si>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</si>
  <si>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</si>
  <si>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</si>
  <si>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</si>
  <si>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</si>
  <si>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</si>
  <si>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</si>
  <si>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</si>
  <si>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</si>
  <si>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</si>
  <si>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</si>
  <si>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</si>
  <si>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</si>
  <si>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</si>
  <si>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</si>
  <si>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</si>
  <si>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</si>
  <si>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</si>
  <si>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</si>
  <si>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</si>
  <si>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</si>
  <si>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</si>
  <si>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</si>
  <si>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</si>
  <si>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</si>
  <si>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</si>
  <si>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</si>
  <si>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</si>
  <si>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</si>
  <si>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</si>
  <si>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</si>
  <si>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</si>
  <si>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</si>
  <si>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</si>
  <si>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</si>
  <si>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</si>
  <si>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</si>
  <si>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</si>
  <si>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</si>
  <si>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</si>
  <si>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</si>
  <si>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</si>
  <si>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</si>
  <si>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</si>
  <si>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</si>
  <si>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</si>
  <si>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</si>
  <si>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</si>
  <si>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</si>
  <si>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</si>
  <si>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</si>
  <si>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</si>
  <si>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</si>
  <si>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</si>
  <si>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</si>
  <si>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</si>
  <si>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</si>
  <si>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</si>
  <si>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</si>
  <si>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</si>
  <si>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</si>
  <si>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</si>
  <si>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</si>
  <si>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</si>
  <si>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</si>
  <si>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</si>
  <si>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</si>
  <si>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</si>
  <si>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</si>
  <si>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</si>
  <si>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</si>
  <si>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</si>
  <si>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</si>
  <si>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</si>
  <si>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</si>
  <si>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</si>
  <si>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</si>
  <si>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</si>
  <si>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</si>
  <si>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</si>
  <si>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</si>
  <si>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</si>
  <si>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</si>
  <si>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</si>
  <si>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</si>
  <si>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</si>
  <si>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</si>
  <si>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</si>
  <si>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</si>
  <si>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</si>
  <si>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</si>
  <si>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</si>
  <si>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</si>
  <si>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</si>
  <si>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</si>
  <si>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</si>
  <si>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</si>
  <si>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</si>
  <si>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</si>
  <si>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</si>
  <si>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</si>
  <si>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</si>
  <si>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</si>
  <si>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</si>
  <si>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</si>
  <si>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</si>
  <si>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SEE SEFA19 TAB</t>
  </si>
  <si>
    <t>Gorenz and Associates, Ltd.</t>
  </si>
  <si>
    <t>53-102-1400-26</t>
  </si>
  <si>
    <t>Woodford</t>
  </si>
  <si>
    <t>Community Unit School District No. 140</t>
  </si>
  <si>
    <t>109 W. Cruger Ave.</t>
  </si>
  <si>
    <t>Eureka</t>
  </si>
  <si>
    <t>Tim C. Custis, CPA</t>
  </si>
  <si>
    <t>tcustis@gorenzcpa.com</t>
  </si>
  <si>
    <t>Robert Bardwell</t>
  </si>
  <si>
    <t>309-467-5735</t>
  </si>
  <si>
    <t>309-467-2377</t>
  </si>
  <si>
    <t>Technology Lease</t>
  </si>
  <si>
    <t>Series 2014 Debt Certificates</t>
  </si>
  <si>
    <t>Working Cash - Series 2015A</t>
  </si>
  <si>
    <t>Working Cash - Series 2015B</t>
  </si>
  <si>
    <t>Capital Leases</t>
  </si>
  <si>
    <t>Debt Certificates</t>
  </si>
  <si>
    <t>Metamora High School, Ronake-Benson High School</t>
  </si>
  <si>
    <t>CIVEC</t>
  </si>
  <si>
    <t>ROE - Paper Co-op (Tazewell-Woodford)</t>
  </si>
  <si>
    <t>Woodford County Special Education Association</t>
  </si>
  <si>
    <t>HPS</t>
  </si>
  <si>
    <t>There were no findings for the year ended June 30, 2018.</t>
  </si>
  <si>
    <t>None</t>
  </si>
  <si>
    <t xml:space="preserve">    still be included in part III of the data collection form.</t>
  </si>
  <si>
    <t xml:space="preserve">    the schedule (versus the notes to the schedule).  If the auditee presents non-cash assistance in the notes to the schedule, the auditor should be aware that such amounts must</t>
  </si>
  <si>
    <t xml:space="preserve">    outstanding at year end be included in either the schedule or a note to the schedule.  Although it is not required, Circular A-133 states that it is preferable to present this information in</t>
  </si>
  <si>
    <r>
      <t xml:space="preserve">4  </t>
    </r>
    <r>
      <rPr>
        <sz val="8"/>
        <rFont val="Arial"/>
        <family val="2"/>
      </rPr>
      <t xml:space="preserve">Circular A-133 requires that the value of federal awards expended in the form of non-cash assistance, the amount of insurance in effect during the year, and loans or loan guarantees </t>
    </r>
  </si>
  <si>
    <r>
      <t>3</t>
    </r>
    <r>
      <rPr>
        <sz val="8"/>
        <rFont val="Arial"/>
        <family val="2"/>
      </rPr>
      <t xml:space="preserve">  When awards are received as a subrecipient, the identifying number assigned by the pass-through entity should be included in the schedule.</t>
    </r>
  </si>
  <si>
    <t>other identifying number.</t>
  </si>
  <si>
    <r>
      <t>2</t>
    </r>
    <r>
      <rPr>
        <sz val="8"/>
        <rFont val="Arial"/>
        <family val="2"/>
      </rPr>
      <t xml:space="preserve">  When the CFDA number is not available, the auditee should indicate that the CFDA number is not available and include in the schedule the program's name and, if applicable, </t>
    </r>
  </si>
  <si>
    <t>they should be segregated and clearly designated as nonfederal.  The title of the schedule should also be modified to indicate that nonfederal awards are included.</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</si>
  <si>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</si>
  <si>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(3) Project Not Complete as of June 30, 2019</t>
  </si>
  <si>
    <t>(2) Nonmonetary assistance is reported in the schedule at the fair market value of the commodities received and disbursed.</t>
  </si>
  <si>
    <t>(1) Carry over funds from the prior year program per ISBE.</t>
  </si>
  <si>
    <t>(M)  Indicates Major Federal Financial Assistance Program.</t>
  </si>
  <si>
    <t>Total Federal Awards</t>
  </si>
  <si>
    <t>Total Federal Awards Passed Through Other Entities</t>
  </si>
  <si>
    <t>Total Federal Awards Passed Through Illinois State Board of Education</t>
  </si>
  <si>
    <t>Total U.S. Department of Health and Human Services - Pass-through programs</t>
  </si>
  <si>
    <t>N/A</t>
  </si>
  <si>
    <t>19-4991-00</t>
  </si>
  <si>
    <t>Medicaid Administrative Outreach</t>
  </si>
  <si>
    <t>18-4991-00</t>
  </si>
  <si>
    <t>Illinois Department of Healthcare and Family Services</t>
  </si>
  <si>
    <t>Pass-through program from</t>
  </si>
  <si>
    <t xml:space="preserve">U.S. Department of Health &amp; Human Services - </t>
  </si>
  <si>
    <t>Total U.S. Department of Education - Pass-through programs</t>
  </si>
  <si>
    <t>16-4920-00</t>
  </si>
  <si>
    <t xml:space="preserve"> McKinney Vento Homeless</t>
  </si>
  <si>
    <t>15-4920-00</t>
  </si>
  <si>
    <t>Marshall Putnam Woodford Counties Regional Office of Education</t>
  </si>
  <si>
    <t xml:space="preserve">U.S. Department of Education - </t>
  </si>
  <si>
    <t>19-4620-00</t>
  </si>
  <si>
    <t>(M) IDEA - Flow Thru</t>
  </si>
  <si>
    <t>18-4620-00</t>
  </si>
  <si>
    <t>Total U.S. Department of Education - Pass-through programs from ISBE</t>
  </si>
  <si>
    <t>19-4932-00</t>
  </si>
  <si>
    <t>18-4932-00</t>
  </si>
  <si>
    <t>12-4625-XC</t>
  </si>
  <si>
    <t xml:space="preserve"> IDEA - Room &amp; Board - Excess Cost</t>
  </si>
  <si>
    <t>14-4625-00</t>
  </si>
  <si>
    <t xml:space="preserve"> IDEA - Room &amp; Board</t>
  </si>
  <si>
    <t>19-4300-00</t>
  </si>
  <si>
    <t>84.010</t>
  </si>
  <si>
    <t>18-4300-00</t>
  </si>
  <si>
    <t>Illinois State Board of Education</t>
  </si>
  <si>
    <t>Total U.S. Department of Agriculture - Pass-through program</t>
  </si>
  <si>
    <t>FY 2019</t>
  </si>
  <si>
    <t>FY 2018</t>
  </si>
  <si>
    <t>Department of Defense</t>
  </si>
  <si>
    <t>08-4250-00</t>
  </si>
  <si>
    <t>Child Nutrition Commodity/Salvage</t>
  </si>
  <si>
    <t>19-4220-00</t>
  </si>
  <si>
    <t>18-4220-00</t>
  </si>
  <si>
    <t>19-4210-00</t>
  </si>
  <si>
    <t>18-4210-00</t>
  </si>
  <si>
    <t xml:space="preserve">U.S. Department of Agriculture - </t>
  </si>
  <si>
    <t>Program Title &amp; Major Program Designation</t>
  </si>
  <si>
    <t>Encumbrances</t>
  </si>
  <si>
    <t>Number</t>
  </si>
  <si>
    <t>Federal Grantor/Pass-Through Grantor,</t>
  </si>
  <si>
    <t>Final</t>
  </si>
  <si>
    <t>Prior to</t>
  </si>
  <si>
    <t>7/01/18</t>
  </si>
  <si>
    <t xml:space="preserve">Prior to </t>
  </si>
  <si>
    <t>Project</t>
  </si>
  <si>
    <t>Expenditures/Disbursements</t>
  </si>
  <si>
    <t>ISBE</t>
  </si>
  <si>
    <t xml:space="preserve">                            For the Year Ended June 30, 2019                            </t>
  </si>
  <si>
    <t>Eureka Community Unit School District No. 140</t>
  </si>
  <si>
    <r>
      <t xml:space="preserve">The accompanying Schedule of Expenditures of Federal Awards includes the federal grant activity of </t>
    </r>
    <r>
      <rPr>
        <b/>
        <sz val="9"/>
        <rFont val="Calibri"/>
        <family val="2"/>
        <scheme val="minor"/>
      </rPr>
      <t>Community Unit School District No. 140</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</si>
  <si>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 subrecipients during FY19</t>
  </si>
  <si>
    <t>x</t>
  </si>
  <si>
    <t>Unmodified</t>
  </si>
  <si>
    <t>IDEA Part B Flow-Through</t>
  </si>
  <si>
    <t>Eureka, Illinois</t>
  </si>
  <si>
    <t>Fruits and Vegetables (2)</t>
  </si>
  <si>
    <t>Food Donation (2)</t>
  </si>
  <si>
    <t>Of the federal expenditures presented in the schedule, Community Unit School District No. 140 provided federal awards to subrecipients as follows:</t>
  </si>
  <si>
    <t>Note 6:  Other Information</t>
  </si>
  <si>
    <t>Program Financial Reports for programs which have filed reports as of June 30, 2019 with ISBE.</t>
  </si>
  <si>
    <t xml:space="preserve">as receipts from federal sources. Amounts reported in the accompanying Schedule of Federal Awards agree with the amounts reported in the </t>
  </si>
  <si>
    <t>Federal awards received are reflected in the District's financial statements within the Educational Fund and Operations and Maintenance Fund</t>
  </si>
  <si>
    <r>
      <t xml:space="preserve">The following amounts were expended in the form of non-cash assistance by </t>
    </r>
    <r>
      <rPr>
        <b/>
        <sz val="9"/>
        <rFont val="Calibri"/>
        <family val="2"/>
        <scheme val="minor"/>
      </rPr>
      <t>Community Unit School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</si>
  <si>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Year Ended June 30, 2019</t>
  </si>
  <si>
    <t>Total U.S. Department of Education - Pass-through programs from WCSEA</t>
  </si>
  <si>
    <t>GORENZ AND ASSOCIATES, LTD.</t>
  </si>
  <si>
    <t>NONE</t>
  </si>
  <si>
    <t>Commodities</t>
  </si>
  <si>
    <t>Page 10, Line 72, Sales to Pupils - Other - Milk Sales</t>
  </si>
  <si>
    <t>Page 10, Line 74, Other Food Service - Food Rebates</t>
  </si>
  <si>
    <t>Page 10, Line 81, Other Pupil Activities - Play Admissions</t>
  </si>
  <si>
    <t>Page 11, Line 106, Other Local Fees - Chromebook Repair Fees</t>
  </si>
  <si>
    <t xml:space="preserve">Page 11, Line 107, Other Local Revenue - </t>
  </si>
  <si>
    <t>Educational Fund - Refunds &amp; Reimbursments</t>
  </si>
  <si>
    <t>Operation and Maintenance Fund - E-rate</t>
  </si>
  <si>
    <t>Transportaion Fund - Refunds &amp; Reimbursments</t>
  </si>
  <si>
    <t>IMRF Fund - Refunds &amp; Reimbursments</t>
  </si>
  <si>
    <t>Tort Fund - Refunds &amp; Reimbursements</t>
  </si>
  <si>
    <t>Page 12, Line 168, Other Revenue From State Sources - SAT Grant (1,964) SOS Library Grant (1,172)</t>
  </si>
  <si>
    <t>Page 15, Line 41, Other Support Services - Pupils - Graduation Expenses</t>
  </si>
  <si>
    <t>Page 24, Line 32, Capital Lease Proceeds</t>
  </si>
  <si>
    <t>AUDITCHECK, Line 80 - "PLEASE ENTER CONTRACTS PAID IN CURRENT YEAR"</t>
  </si>
  <si>
    <t>For the current fiscal year under audit, the district did not have any qualifying contracts</t>
  </si>
  <si>
    <t>exceeding the $25,000 limit.</t>
  </si>
  <si>
    <t>robert.bardwell@district140.org</t>
  </si>
  <si>
    <t>Page 16, Line 83 , Other Payments to In-State Gov't Units - DARE Program Donation (1,000)</t>
  </si>
  <si>
    <t>Page 17, Line 36, Other Payments to In-State Gov't Units - WCSEA-IDEA Room Fees (13,056)</t>
  </si>
  <si>
    <t>Note 5: Relationship to Basic Financial Statements and Program Financial Reports</t>
  </si>
  <si>
    <t>Tim C. Custis</t>
  </si>
  <si>
    <t>See PDF version</t>
  </si>
  <si>
    <t>Eureka CUD 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</si>
</sst>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 &quot;_);_(@_)"/>
    <numFmt numFmtId="182" formatCode="0.000_)"/>
    <numFmt numFmtId="183" formatCode="#,##0.000_);\(#,##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sz val="10"/>
      <name val="Courier"/>
      <family val="3"/>
    </font>
    <font>
      <vertAlign val="superscript"/>
      <sz val="8"/>
      <name val="Arial"/>
      <family val="2"/>
    </font>
    <font>
      <u val="singleAccounting"/>
      <sz val="10"/>
      <name val="Times New Roman"/>
      <family val="1"/>
    </font>
    <font>
      <sz val="11"/>
      <name val="Courier"/>
      <family val="3"/>
    </font>
    <font>
      <sz val="11"/>
      <name val="Times New Roman"/>
      <family val="1"/>
    </font>
    <font>
      <u val="doubleAccounting"/>
      <sz val="11"/>
      <name val="Times New Roman"/>
      <family val="1"/>
    </font>
    <font>
      <b/>
      <sz val="11"/>
      <name val="Times New Roman"/>
      <family val="1"/>
    </font>
    <font>
      <u val="singleAccounting"/>
      <sz val="11"/>
      <name val="Times New Roman"/>
      <family val="1"/>
    </font>
    <font>
      <u/>
      <sz val="11"/>
      <name val="Times New Roman"/>
      <family val="1"/>
    </font>
    <font>
      <b/>
      <sz val="12"/>
      <name val="Times New Roman"/>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auto="1"/>
      </bottom>
      <diagonal/>
    </border>
  </borders>
  <cellStyleXfs count="23">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37" fillId="0" borderId="0"/>
    <xf numFmtId="9" fontId="44" fillId="0" borderId="0" applyFont="0" applyFill="0" applyBorder="0" applyAlignment="0" applyProtection="0"/>
    <xf numFmtId="43" fontId="44" fillId="0" borderId="0" applyFont="0" applyFill="0" applyBorder="0" applyAlignment="0" applyProtection="0"/>
    <xf numFmtId="37" fontId="138" fillId="0" borderId="0"/>
  </cellStyleXfs>
  <cellXfs count="261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6" fillId="0" borderId="9" xfId="3" applyNumberFormat="1" applyFont="1" applyBorder="1" applyProtection="1"/>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37" fontId="137" fillId="0" borderId="0" xfId="19" applyAlignment="1">
      <alignment vertical="center"/>
    </xf>
    <xf numFmtId="37" fontId="137" fillId="0" borderId="0" xfId="19" applyAlignment="1">
      <alignment horizontal="center" vertical="center"/>
    </xf>
    <xf numFmtId="39" fontId="138" fillId="0" borderId="0" xfId="19" applyNumberFormat="1" applyFont="1" applyAlignment="1">
      <alignment vertical="center"/>
    </xf>
    <xf numFmtId="37" fontId="137" fillId="0" borderId="0" xfId="19" applyProtection="1">
      <protection locked="0"/>
    </xf>
    <xf numFmtId="37" fontId="137" fillId="0" borderId="0" xfId="19" applyAlignment="1" applyProtection="1">
      <alignment horizontal="center"/>
      <protection locked="0"/>
    </xf>
    <xf numFmtId="1" fontId="137" fillId="0" borderId="0" xfId="19" applyNumberFormat="1" applyProtection="1">
      <protection locked="0"/>
    </xf>
    <xf numFmtId="169" fontId="137" fillId="0" borderId="0" xfId="19" applyNumberFormat="1" applyProtection="1">
      <protection locked="0"/>
    </xf>
    <xf numFmtId="37" fontId="137" fillId="0" borderId="0" xfId="19" applyAlignment="1" applyProtection="1">
      <alignment horizontal="left"/>
    </xf>
    <xf numFmtId="1" fontId="137" fillId="0" borderId="0" xfId="19" applyNumberFormat="1" applyAlignment="1" applyProtection="1">
      <alignment horizontal="left"/>
    </xf>
    <xf numFmtId="37" fontId="10" fillId="0" borderId="0" xfId="19" applyFont="1" applyAlignment="1" applyProtection="1">
      <alignment horizontal="left"/>
    </xf>
    <xf numFmtId="1" fontId="10" fillId="0" borderId="0" xfId="19" applyNumberFormat="1" applyFont="1" applyAlignment="1" applyProtection="1">
      <alignment horizontal="left"/>
    </xf>
    <xf numFmtId="37" fontId="139" fillId="0" borderId="0" xfId="19" applyFont="1" applyAlignment="1" applyProtection="1">
      <alignment horizontal="left"/>
    </xf>
    <xf numFmtId="37" fontId="10" fillId="0" borderId="0" xfId="19" applyFont="1" applyAlignment="1" applyProtection="1"/>
    <xf numFmtId="37" fontId="10" fillId="0" borderId="0" xfId="19" applyFont="1" applyAlignment="1" applyProtection="1">
      <alignment horizontal="left" indent="1"/>
    </xf>
    <xf numFmtId="37" fontId="139" fillId="0" borderId="0" xfId="19" applyFont="1" applyAlignment="1" applyProtection="1">
      <alignment wrapText="1"/>
    </xf>
    <xf numFmtId="39" fontId="140" fillId="0" borderId="0" xfId="19" applyNumberFormat="1" applyFont="1" applyAlignment="1" applyProtection="1">
      <alignment vertical="center"/>
    </xf>
    <xf numFmtId="37" fontId="10" fillId="0" borderId="0" xfId="19" applyFont="1" applyAlignment="1" applyProtection="1">
      <alignment wrapText="1"/>
    </xf>
    <xf numFmtId="37" fontId="141" fillId="0" borderId="0" xfId="19" applyFont="1" applyAlignment="1">
      <alignment vertical="center"/>
    </xf>
    <xf numFmtId="37" fontId="142" fillId="0" borderId="0" xfId="19" applyFont="1" applyAlignment="1">
      <alignment horizontal="center" vertical="center"/>
    </xf>
    <xf numFmtId="181" fontId="141" fillId="0" borderId="0" xfId="19" applyNumberFormat="1" applyFont="1" applyAlignment="1">
      <alignment vertical="center"/>
    </xf>
    <xf numFmtId="181" fontId="141" fillId="0" borderId="0" xfId="19" applyNumberFormat="1" applyFont="1" applyAlignment="1">
      <alignment horizontal="center" vertical="center"/>
    </xf>
    <xf numFmtId="37" fontId="141" fillId="0" borderId="0" xfId="19" applyFont="1" applyAlignment="1">
      <alignment horizontal="center" vertical="center"/>
    </xf>
    <xf numFmtId="182" fontId="141" fillId="0" borderId="0" xfId="19" applyNumberFormat="1" applyFont="1" applyAlignment="1" applyProtection="1">
      <alignment vertical="center"/>
    </xf>
    <xf numFmtId="37" fontId="142" fillId="0" borderId="0" xfId="19" applyFont="1" applyAlignment="1">
      <alignment horizontal="left" vertical="center"/>
    </xf>
    <xf numFmtId="181" fontId="141" fillId="0" borderId="0" xfId="19" applyNumberFormat="1" applyFont="1" applyAlignment="1">
      <alignment horizontal="left" vertical="center"/>
    </xf>
    <xf numFmtId="181" fontId="142" fillId="0" borderId="0" xfId="19" applyNumberFormat="1" applyFont="1" applyAlignment="1">
      <alignment vertical="center"/>
    </xf>
    <xf numFmtId="181" fontId="142" fillId="0" borderId="0" xfId="19" applyNumberFormat="1" applyFont="1" applyAlignment="1">
      <alignment horizontal="center" vertical="center"/>
    </xf>
    <xf numFmtId="37" fontId="142" fillId="0" borderId="0" xfId="19" applyFont="1" applyAlignment="1">
      <alignment vertical="center"/>
    </xf>
    <xf numFmtId="37" fontId="142" fillId="0" borderId="0" xfId="19" quotePrefix="1" applyFont="1" applyAlignment="1">
      <alignment horizontal="left" vertical="center"/>
    </xf>
    <xf numFmtId="182" fontId="142" fillId="0" borderId="0" xfId="19" applyNumberFormat="1" applyFont="1" applyAlignment="1" applyProtection="1">
      <alignment vertical="center"/>
    </xf>
    <xf numFmtId="181" fontId="143" fillId="0" borderId="0" xfId="19" applyNumberFormat="1" applyFont="1" applyAlignment="1">
      <alignment vertical="center"/>
    </xf>
    <xf numFmtId="181" fontId="143" fillId="0" borderId="0" xfId="19" applyNumberFormat="1" applyFont="1" applyFill="1" applyAlignment="1">
      <alignment vertical="center"/>
    </xf>
    <xf numFmtId="37" fontId="144" fillId="0" borderId="0" xfId="19" applyFont="1" applyAlignment="1">
      <alignment horizontal="left" vertical="center"/>
    </xf>
    <xf numFmtId="181" fontId="142" fillId="0" borderId="0" xfId="19" applyNumberFormat="1" applyFont="1" applyFill="1" applyAlignment="1">
      <alignment vertical="center"/>
    </xf>
    <xf numFmtId="37" fontId="141" fillId="0" borderId="0" xfId="19" applyFont="1" applyAlignment="1">
      <alignment vertical="top"/>
    </xf>
    <xf numFmtId="182" fontId="142" fillId="0" borderId="0" xfId="19" applyNumberFormat="1" applyFont="1" applyAlignment="1" applyProtection="1">
      <alignment horizontal="center" vertical="center"/>
    </xf>
    <xf numFmtId="181" fontId="142" fillId="0" borderId="0" xfId="19" applyNumberFormat="1" applyFont="1" applyAlignment="1">
      <alignment horizontal="right" vertical="center"/>
    </xf>
    <xf numFmtId="181" fontId="142" fillId="0" borderId="0" xfId="19" applyNumberFormat="1" applyFont="1" applyAlignment="1" applyProtection="1">
      <alignment vertical="center"/>
    </xf>
    <xf numFmtId="37" fontId="142" fillId="0" borderId="0" xfId="19" quotePrefix="1" applyFont="1" applyAlignment="1">
      <alignment horizontal="center" vertical="center"/>
    </xf>
    <xf numFmtId="37" fontId="144" fillId="0" borderId="0" xfId="19" applyFont="1" applyFill="1" applyAlignment="1">
      <alignment horizontal="left" vertical="center"/>
    </xf>
    <xf numFmtId="37" fontId="142" fillId="0" borderId="0" xfId="19" applyFont="1" applyFill="1" applyAlignment="1">
      <alignment horizontal="center" vertical="center"/>
    </xf>
    <xf numFmtId="181" fontId="142" fillId="0" borderId="0" xfId="19" applyNumberFormat="1" applyFont="1" applyFill="1" applyAlignment="1">
      <alignment horizontal="right" vertical="center"/>
    </xf>
    <xf numFmtId="37" fontId="142" fillId="0" borderId="0" xfId="19" quotePrefix="1" applyFont="1" applyFill="1" applyAlignment="1">
      <alignment horizontal="left" vertical="center"/>
    </xf>
    <xf numFmtId="181" fontId="142" fillId="0" borderId="0" xfId="19" applyNumberFormat="1" applyFont="1" applyFill="1" applyAlignment="1">
      <alignment horizontal="center" vertical="center"/>
    </xf>
    <xf numFmtId="37" fontId="144" fillId="0" borderId="0" xfId="19" applyFont="1" applyAlignment="1">
      <alignment vertical="center"/>
    </xf>
    <xf numFmtId="181" fontId="142" fillId="0" borderId="0" xfId="19" applyNumberFormat="1" applyFont="1" applyBorder="1" applyAlignment="1">
      <alignment vertical="center"/>
    </xf>
    <xf numFmtId="181" fontId="142" fillId="20" borderId="0" xfId="19" applyNumberFormat="1" applyFont="1" applyFill="1" applyAlignment="1" applyProtection="1">
      <alignment horizontal="right" vertical="center"/>
    </xf>
    <xf numFmtId="181" fontId="142" fillId="0" borderId="0" xfId="19" applyNumberFormat="1" applyFont="1" applyFill="1" applyAlignment="1" applyProtection="1">
      <alignment vertical="center"/>
    </xf>
    <xf numFmtId="181" fontId="142" fillId="21" borderId="0" xfId="19" applyNumberFormat="1" applyFont="1" applyFill="1" applyAlignment="1">
      <alignment vertical="center"/>
    </xf>
    <xf numFmtId="182" fontId="142" fillId="0" borderId="0" xfId="19" applyNumberFormat="1" applyFont="1" applyFill="1" applyAlignment="1" applyProtection="1">
      <alignment horizontal="center" vertical="center"/>
    </xf>
    <xf numFmtId="181" fontId="142" fillId="0" borderId="0" xfId="19" applyNumberFormat="1" applyFont="1" applyFill="1" applyAlignment="1" applyProtection="1">
      <alignment horizontal="right" vertical="center"/>
    </xf>
    <xf numFmtId="37" fontId="142" fillId="0" borderId="0" xfId="19" applyFont="1" applyFill="1" applyAlignment="1">
      <alignment vertical="center"/>
    </xf>
    <xf numFmtId="181" fontId="142" fillId="0" borderId="0" xfId="19" applyNumberFormat="1" applyFont="1" applyAlignment="1" applyProtection="1">
      <alignment horizontal="left" vertical="center"/>
    </xf>
    <xf numFmtId="183" fontId="142" fillId="0" borderId="0" xfId="19" applyNumberFormat="1" applyFont="1" applyAlignment="1" applyProtection="1">
      <alignment vertical="center"/>
    </xf>
    <xf numFmtId="37" fontId="142" fillId="0" borderId="0" xfId="19" applyFont="1" applyFill="1" applyAlignment="1">
      <alignment horizontal="right" vertical="center"/>
    </xf>
    <xf numFmtId="37" fontId="141" fillId="0" borderId="0" xfId="19" quotePrefix="1" applyFont="1" applyAlignment="1">
      <alignment horizontal="right" vertical="center"/>
    </xf>
    <xf numFmtId="181" fontId="142" fillId="0" borderId="0" xfId="19" applyNumberFormat="1" applyFont="1" applyAlignment="1" applyProtection="1">
      <alignment horizontal="right" vertical="center"/>
    </xf>
    <xf numFmtId="181" fontId="142" fillId="20" borderId="0" xfId="19" applyNumberFormat="1" applyFont="1" applyFill="1" applyAlignment="1">
      <alignment vertical="center"/>
    </xf>
    <xf numFmtId="37" fontId="142" fillId="0" borderId="0" xfId="19" applyFont="1" applyFill="1" applyAlignment="1">
      <alignment horizontal="left" vertical="center"/>
    </xf>
    <xf numFmtId="37" fontId="142" fillId="20" borderId="0" xfId="19" applyFont="1" applyFill="1" applyAlignment="1">
      <alignment horizontal="center" vertical="center"/>
    </xf>
    <xf numFmtId="41" fontId="142" fillId="0" borderId="0" xfId="19" applyNumberFormat="1" applyFont="1" applyFill="1" applyBorder="1" applyAlignment="1">
      <alignment vertical="center"/>
    </xf>
    <xf numFmtId="181" fontId="142" fillId="0" borderId="0" xfId="19" applyNumberFormat="1" applyFont="1" applyFill="1" applyBorder="1" applyAlignment="1">
      <alignment vertical="center"/>
    </xf>
    <xf numFmtId="37" fontId="142" fillId="0" borderId="0" xfId="19" applyFont="1" applyAlignment="1">
      <alignment horizontal="right" vertical="center"/>
    </xf>
    <xf numFmtId="37" fontId="142" fillId="27" borderId="0" xfId="19" applyFont="1" applyFill="1" applyAlignment="1">
      <alignment vertical="center"/>
    </xf>
    <xf numFmtId="37" fontId="146" fillId="0" borderId="0" xfId="19" applyNumberFormat="1" applyFont="1" applyAlignment="1" applyProtection="1">
      <alignment horizontal="center" vertical="center"/>
    </xf>
    <xf numFmtId="37" fontId="142" fillId="0" borderId="0" xfId="19" applyNumberFormat="1" applyFont="1" applyAlignment="1" applyProtection="1">
      <alignment horizontal="center" vertical="center"/>
    </xf>
    <xf numFmtId="37" fontId="142" fillId="0" borderId="0" xfId="19" applyNumberFormat="1" applyFont="1" applyAlignment="1" applyProtection="1">
      <alignment vertical="center"/>
    </xf>
    <xf numFmtId="37" fontId="146" fillId="27" borderId="0" xfId="19" applyFont="1" applyFill="1" applyAlignment="1">
      <alignment horizontal="center" vertical="center"/>
    </xf>
    <xf numFmtId="37" fontId="146" fillId="0" borderId="0" xfId="19" applyFont="1" applyAlignment="1">
      <alignment horizontal="center" vertical="center"/>
    </xf>
    <xf numFmtId="37" fontId="146" fillId="0" borderId="0" xfId="19" quotePrefix="1" applyFont="1" applyAlignment="1">
      <alignment horizontal="left" vertical="center"/>
    </xf>
    <xf numFmtId="14" fontId="142" fillId="0" borderId="0" xfId="19" applyNumberFormat="1" applyFont="1" applyAlignment="1">
      <alignment horizontal="center" vertical="center"/>
    </xf>
    <xf numFmtId="37" fontId="142" fillId="0" borderId="0" xfId="19" applyFont="1" applyBorder="1" applyAlignment="1">
      <alignment vertical="center"/>
    </xf>
    <xf numFmtId="37" fontId="142" fillId="0" borderId="0" xfId="19" applyFont="1" applyBorder="1" applyAlignment="1">
      <alignment horizontal="center" vertical="center"/>
    </xf>
    <xf numFmtId="37" fontId="142" fillId="0" borderId="0" xfId="19" applyFont="1" applyBorder="1" applyAlignment="1">
      <alignment horizontal="left" vertical="center"/>
    </xf>
    <xf numFmtId="37" fontId="142" fillId="0" borderId="0" xfId="19" applyFont="1" applyBorder="1" applyAlignment="1">
      <alignment horizontal="centerContinuous" vertical="center"/>
    </xf>
    <xf numFmtId="37" fontId="44" fillId="0" borderId="0" xfId="19" applyFont="1" applyBorder="1" applyAlignment="1">
      <alignment vertical="center"/>
    </xf>
    <xf numFmtId="37" fontId="44" fillId="0" borderId="0" xfId="19" applyFont="1" applyBorder="1" applyAlignment="1">
      <alignment horizontal="center" vertical="center"/>
    </xf>
    <xf numFmtId="37" fontId="44" fillId="0" borderId="0" xfId="19" applyFont="1" applyBorder="1" applyAlignment="1">
      <alignment horizontal="left" vertical="center"/>
    </xf>
    <xf numFmtId="37" fontId="44" fillId="0" borderId="0" xfId="19" applyFont="1" applyBorder="1" applyAlignment="1">
      <alignment horizontal="centerContinuous" vertical="center"/>
    </xf>
    <xf numFmtId="37" fontId="137" fillId="0" borderId="0" xfId="19"/>
    <xf numFmtId="37" fontId="137" fillId="0" borderId="0" xfId="19" applyBorder="1" applyAlignment="1">
      <alignment vertical="center"/>
    </xf>
    <xf numFmtId="37" fontId="137" fillId="0" borderId="0" xfId="19" applyBorder="1" applyProtection="1">
      <protection locked="0"/>
    </xf>
    <xf numFmtId="1" fontId="137" fillId="0" borderId="0" xfId="19" applyNumberFormat="1" applyBorder="1" applyProtection="1">
      <protection locked="0"/>
    </xf>
    <xf numFmtId="37" fontId="137" fillId="0" borderId="0" xfId="19" applyBorder="1" applyAlignment="1" applyProtection="1">
      <alignment horizontal="left"/>
    </xf>
    <xf numFmtId="1" fontId="137" fillId="0" borderId="0" xfId="19" applyNumberFormat="1" applyBorder="1" applyAlignment="1" applyProtection="1">
      <alignment horizontal="left"/>
    </xf>
    <xf numFmtId="1" fontId="10" fillId="0" borderId="0" xfId="19" applyNumberFormat="1" applyFont="1" applyBorder="1" applyAlignment="1" applyProtection="1">
      <alignment horizontal="left"/>
    </xf>
    <xf numFmtId="37" fontId="10" fillId="0" borderId="0" xfId="19" applyFont="1" applyBorder="1" applyAlignment="1" applyProtection="1"/>
    <xf numFmtId="37" fontId="139" fillId="0" borderId="0" xfId="19" applyFont="1" applyBorder="1" applyAlignment="1" applyProtection="1">
      <alignment wrapText="1"/>
    </xf>
    <xf numFmtId="39" fontId="140" fillId="0" borderId="0" xfId="19" applyNumberFormat="1" applyFont="1" applyBorder="1" applyAlignment="1" applyProtection="1">
      <alignment vertical="center"/>
    </xf>
    <xf numFmtId="37" fontId="10" fillId="0" borderId="0" xfId="19" applyFont="1" applyBorder="1" applyAlignment="1" applyProtection="1">
      <alignment wrapText="1"/>
    </xf>
    <xf numFmtId="181" fontId="141" fillId="0" borderId="0" xfId="19" applyNumberFormat="1" applyFont="1" applyBorder="1" applyAlignment="1">
      <alignment vertical="center"/>
    </xf>
    <xf numFmtId="182" fontId="141" fillId="0" borderId="0" xfId="19" applyNumberFormat="1" applyFont="1" applyBorder="1" applyAlignment="1" applyProtection="1">
      <alignment vertical="center"/>
    </xf>
    <xf numFmtId="181" fontId="141" fillId="0" borderId="0" xfId="19" applyNumberFormat="1" applyFont="1" applyBorder="1" applyAlignment="1">
      <alignment horizontal="left" vertical="center"/>
    </xf>
    <xf numFmtId="37" fontId="141" fillId="0" borderId="0" xfId="19" applyFont="1" applyBorder="1" applyAlignment="1">
      <alignment vertical="center"/>
    </xf>
    <xf numFmtId="182" fontId="142" fillId="0" borderId="0" xfId="19" applyNumberFormat="1" applyFont="1" applyBorder="1" applyAlignment="1" applyProtection="1">
      <alignment vertical="center"/>
    </xf>
    <xf numFmtId="181" fontId="143" fillId="0" borderId="0" xfId="19" applyNumberFormat="1" applyFont="1" applyBorder="1" applyAlignment="1">
      <alignment vertical="center"/>
    </xf>
    <xf numFmtId="181" fontId="142" fillId="0" borderId="165" xfId="19" applyNumberFormat="1" applyFont="1" applyBorder="1" applyAlignment="1">
      <alignment vertical="center"/>
    </xf>
    <xf numFmtId="181" fontId="142" fillId="0" borderId="165" xfId="19" applyNumberFormat="1" applyFont="1" applyFill="1" applyBorder="1" applyAlignment="1">
      <alignment vertical="center"/>
    </xf>
    <xf numFmtId="181" fontId="145" fillId="0" borderId="0" xfId="19" applyNumberFormat="1" applyFont="1" applyBorder="1" applyAlignment="1">
      <alignment vertical="center"/>
    </xf>
    <xf numFmtId="181" fontId="145" fillId="0" borderId="0" xfId="19" applyNumberFormat="1" applyFont="1" applyFill="1" applyBorder="1" applyAlignment="1">
      <alignment vertical="center"/>
    </xf>
    <xf numFmtId="181" fontId="142" fillId="0" borderId="78" xfId="19" applyNumberFormat="1" applyFont="1" applyFill="1" applyBorder="1" applyAlignment="1">
      <alignment vertical="center"/>
    </xf>
    <xf numFmtId="181" fontId="145" fillId="0" borderId="0" xfId="19" applyNumberFormat="1" applyFont="1" applyBorder="1" applyAlignment="1" applyProtection="1">
      <alignment vertical="center"/>
    </xf>
    <xf numFmtId="181" fontId="142" fillId="0" borderId="78" xfId="19" applyNumberFormat="1" applyFont="1" applyBorder="1" applyAlignment="1" applyProtection="1">
      <alignment vertical="center"/>
    </xf>
    <xf numFmtId="181" fontId="142" fillId="0" borderId="0" xfId="19" applyNumberFormat="1" applyFont="1" applyBorder="1" applyAlignment="1" applyProtection="1">
      <alignment vertical="center"/>
    </xf>
    <xf numFmtId="181" fontId="142" fillId="0" borderId="0" xfId="19" applyNumberFormat="1" applyFont="1" applyFill="1" applyBorder="1" applyAlignment="1" applyProtection="1">
      <alignment vertical="center"/>
    </xf>
    <xf numFmtId="181" fontId="142" fillId="0" borderId="78" xfId="19" applyNumberFormat="1" applyFont="1" applyFill="1" applyBorder="1" applyAlignment="1" applyProtection="1">
      <alignment vertical="center"/>
    </xf>
    <xf numFmtId="182" fontId="142" fillId="0" borderId="0" xfId="19" applyNumberFormat="1" applyFont="1" applyBorder="1" applyAlignment="1" applyProtection="1">
      <alignment horizontal="center" vertical="center"/>
    </xf>
    <xf numFmtId="181" fontId="146" fillId="0" borderId="0" xfId="19" applyNumberFormat="1" applyFont="1" applyFill="1" applyBorder="1" applyAlignment="1">
      <alignment vertical="center"/>
    </xf>
    <xf numFmtId="181" fontId="145" fillId="0" borderId="0" xfId="19" applyNumberFormat="1" applyFont="1" applyFill="1" applyBorder="1" applyAlignment="1" applyProtection="1">
      <alignment vertical="center"/>
    </xf>
    <xf numFmtId="181" fontId="142" fillId="0" borderId="76" xfId="19" applyNumberFormat="1" applyFont="1" applyFill="1" applyBorder="1" applyAlignment="1" applyProtection="1">
      <alignment vertical="center"/>
    </xf>
    <xf numFmtId="181" fontId="145" fillId="0" borderId="0" xfId="19" applyNumberFormat="1" applyFont="1" applyFill="1" applyBorder="1" applyAlignment="1"/>
    <xf numFmtId="181" fontId="142" fillId="0" borderId="0" xfId="19" applyNumberFormat="1" applyFont="1" applyFill="1" applyAlignment="1"/>
    <xf numFmtId="182" fontId="142" fillId="0" borderId="0" xfId="19" applyNumberFormat="1" applyFont="1" applyFill="1" applyBorder="1" applyAlignment="1" applyProtection="1">
      <alignment horizontal="center" vertical="center"/>
    </xf>
    <xf numFmtId="181" fontId="142" fillId="0" borderId="76" xfId="19" applyNumberFormat="1" applyFont="1" applyBorder="1" applyAlignment="1" applyProtection="1">
      <alignment vertical="center"/>
    </xf>
    <xf numFmtId="183" fontId="142" fillId="0" borderId="0" xfId="19" applyNumberFormat="1" applyFont="1" applyBorder="1" applyAlignment="1" applyProtection="1">
      <alignment vertical="center"/>
    </xf>
    <xf numFmtId="181" fontId="146" fillId="0" borderId="0" xfId="19" applyNumberFormat="1" applyFont="1" applyFill="1" applyBorder="1" applyAlignment="1" applyProtection="1">
      <alignment vertical="center"/>
    </xf>
    <xf numFmtId="181" fontId="142" fillId="0" borderId="76" xfId="19" applyNumberFormat="1" applyFont="1" applyBorder="1" applyAlignment="1">
      <alignment vertical="center"/>
    </xf>
    <xf numFmtId="181" fontId="142" fillId="0" borderId="76" xfId="19" applyNumberFormat="1" applyFont="1" applyFill="1" applyBorder="1" applyAlignment="1">
      <alignment vertical="center"/>
    </xf>
    <xf numFmtId="37" fontId="146" fillId="0" borderId="0" xfId="19" applyNumberFormat="1" applyFont="1" applyBorder="1" applyAlignment="1" applyProtection="1">
      <alignment horizontal="center" vertical="center"/>
    </xf>
    <xf numFmtId="37" fontId="146" fillId="0" borderId="0" xfId="19" applyFont="1" applyBorder="1" applyAlignment="1">
      <alignment horizontal="center" vertical="center"/>
    </xf>
    <xf numFmtId="37" fontId="142" fillId="0" borderId="78" xfId="19" applyFont="1" applyBorder="1" applyAlignment="1">
      <alignment horizontal="center" vertical="center"/>
    </xf>
    <xf numFmtId="37" fontId="145" fillId="0" borderId="0" xfId="19" applyFont="1" applyBorder="1" applyAlignment="1">
      <alignment horizontal="center" vertical="center"/>
    </xf>
    <xf numFmtId="0" fontId="53" fillId="0" borderId="0" xfId="3" applyNumberFormat="1" applyFont="1" applyProtection="1"/>
    <xf numFmtId="0" fontId="56" fillId="0" borderId="77" xfId="3" applyNumberFormat="1" applyFont="1" applyBorder="1" applyAlignment="1" applyProtection="1">
      <alignment horizontal="center"/>
    </xf>
    <xf numFmtId="0" fontId="1" fillId="0" borderId="157"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5" xfId="3"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37" fontId="145" fillId="0" borderId="0" xfId="19" applyFont="1" applyBorder="1" applyAlignment="1">
      <alignment horizontal="center" vertical="center"/>
    </xf>
    <xf numFmtId="37" fontId="147" fillId="0" borderId="0" xfId="22" applyFont="1" applyAlignment="1">
      <alignment horizontal="center" vertical="center"/>
    </xf>
    <xf numFmtId="37" fontId="147" fillId="0" borderId="0" xfId="19" applyFont="1" applyAlignment="1">
      <alignment horizontal="center" vertical="center"/>
    </xf>
    <xf numFmtId="0" fontId="144" fillId="0" borderId="78" xfId="19" applyNumberFormat="1" applyFont="1" applyBorder="1" applyAlignment="1">
      <alignment horizontal="center" vertical="center"/>
    </xf>
    <xf numFmtId="3" fontId="54" fillId="0" borderId="77" xfId="3" applyNumberFormat="1" applyFont="1" applyBorder="1" applyAlignment="1" applyProtection="1">
      <alignment horizontal="right" indent="1"/>
      <protection locked="0"/>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4" fillId="0" borderId="0" xfId="3" applyFont="1" applyAlignment="1" applyProtection="1">
      <alignment horizontal="left" vertical="center" wrapTex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3">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SEFA 08 PVS" xfId="22"/>
    <cellStyle name="Normal_THRESHOLD CALCULATOR v3" xfId="13"/>
    <cellStyle name="Percent 2" xfId="2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B11D17EF-4744-4FF0-B9D6-BE94BC35768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135" t="s">
        <v>405</v>
      </c>
      <c r="J1" s="2136"/>
      <c r="K1" s="2136"/>
      <c r="L1" s="2136"/>
      <c r="M1" s="2136"/>
      <c r="N1" s="2136"/>
      <c r="O1" s="2136"/>
      <c r="P1" s="2136"/>
      <c r="Q1" s="2136"/>
      <c r="R1" s="2136"/>
      <c r="S1" s="2136"/>
    </row>
    <row r="2" spans="1:28" ht="12" customHeight="1" x14ac:dyDescent="0.2">
      <c r="A2" s="47" t="s">
        <v>1989</v>
      </c>
      <c r="D2" s="48"/>
      <c r="I2" s="2137" t="s">
        <v>979</v>
      </c>
      <c r="J2" s="2136"/>
      <c r="K2" s="2136"/>
      <c r="L2" s="2136"/>
      <c r="M2" s="2136"/>
      <c r="N2" s="2136"/>
      <c r="O2" s="2136"/>
      <c r="P2" s="2136"/>
      <c r="Q2" s="2136"/>
      <c r="R2" s="2136"/>
      <c r="S2" s="2136"/>
    </row>
    <row r="3" spans="1:28" ht="12" customHeight="1" x14ac:dyDescent="0.2">
      <c r="A3" s="155" t="s">
        <v>1941</v>
      </c>
      <c r="B3" s="156"/>
      <c r="C3" s="156"/>
      <c r="D3" s="157"/>
      <c r="I3" s="2137" t="s">
        <v>52</v>
      </c>
      <c r="J3" s="2136"/>
      <c r="K3" s="2136"/>
      <c r="L3" s="2136"/>
      <c r="M3" s="2136"/>
      <c r="N3" s="2136"/>
      <c r="O3" s="2136"/>
      <c r="P3" s="2136"/>
      <c r="Q3" s="2136"/>
      <c r="R3" s="2136"/>
      <c r="S3" s="2136"/>
    </row>
    <row r="4" spans="1:28" ht="12" customHeight="1" x14ac:dyDescent="0.2">
      <c r="A4" s="37"/>
      <c r="I4" s="2137" t="s">
        <v>524</v>
      </c>
      <c r="J4" s="2136"/>
      <c r="K4" s="2136"/>
      <c r="L4" s="2136"/>
      <c r="M4" s="2136"/>
      <c r="N4" s="2136"/>
      <c r="O4" s="2136"/>
      <c r="P4" s="2136"/>
      <c r="Q4" s="2136"/>
      <c r="R4" s="2136"/>
      <c r="S4" s="2136"/>
    </row>
    <row r="5" spans="1:28" ht="14.1" customHeight="1" x14ac:dyDescent="0.2">
      <c r="B5" s="104" t="s">
        <v>2066</v>
      </c>
      <c r="C5" s="26" t="s">
        <v>910</v>
      </c>
      <c r="D5" s="84"/>
      <c r="E5" s="84"/>
      <c r="H5" s="38"/>
      <c r="I5" s="2144" t="s">
        <v>680</v>
      </c>
      <c r="J5" s="2089"/>
      <c r="K5" s="2089"/>
      <c r="L5" s="2089"/>
      <c r="M5" s="2089"/>
      <c r="N5" s="2089"/>
      <c r="O5" s="2089"/>
      <c r="P5" s="2089"/>
      <c r="Q5" s="2089"/>
      <c r="R5" s="2089"/>
      <c r="S5" s="2089"/>
    </row>
    <row r="6" spans="1:28" ht="14.1" customHeight="1" x14ac:dyDescent="0.2">
      <c r="B6" s="104"/>
      <c r="C6" s="26" t="s">
        <v>911</v>
      </c>
      <c r="D6" s="84"/>
      <c r="E6" s="84"/>
      <c r="I6" s="2143" t="s">
        <v>883</v>
      </c>
      <c r="J6" s="2089"/>
      <c r="K6" s="2089"/>
      <c r="L6" s="2089"/>
      <c r="M6" s="2089"/>
      <c r="N6" s="2089"/>
      <c r="O6" s="2089"/>
      <c r="P6" s="2089"/>
      <c r="Q6" s="2089"/>
      <c r="R6" s="2089"/>
      <c r="S6" s="2089"/>
    </row>
    <row r="7" spans="1:28" ht="12.2" customHeight="1" x14ac:dyDescent="0.2">
      <c r="I7" s="2138">
        <v>43646</v>
      </c>
      <c r="J7" s="2139"/>
      <c r="K7" s="2139"/>
      <c r="L7" s="2139"/>
      <c r="M7" s="2139"/>
      <c r="N7" s="2139"/>
      <c r="O7" s="2139"/>
      <c r="P7" s="2139"/>
      <c r="Q7" s="2139"/>
      <c r="R7" s="2139"/>
      <c r="S7" s="21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40" t="s">
        <v>674</v>
      </c>
      <c r="J9" s="2141"/>
      <c r="K9" s="2141"/>
      <c r="L9" s="2141"/>
      <c r="M9" s="2141"/>
      <c r="N9" s="2141"/>
      <c r="O9" s="2141"/>
      <c r="P9" s="2141"/>
      <c r="Q9" s="2141"/>
      <c r="R9" s="2141"/>
      <c r="S9" s="2142"/>
      <c r="T9" s="2085" t="s">
        <v>533</v>
      </c>
      <c r="U9" s="2086"/>
      <c r="V9" s="2086"/>
      <c r="W9" s="2086"/>
      <c r="X9" s="2086"/>
      <c r="Y9" s="2086"/>
      <c r="Z9" s="2086"/>
      <c r="AA9" s="2087"/>
    </row>
    <row r="10" spans="1:28" ht="13.5" customHeight="1" x14ac:dyDescent="0.2">
      <c r="A10" s="2094" t="s">
        <v>675</v>
      </c>
      <c r="B10" s="2095"/>
      <c r="C10" s="2095"/>
      <c r="D10" s="2095"/>
      <c r="E10" s="2095"/>
      <c r="F10" s="2095"/>
      <c r="G10" s="2095"/>
      <c r="H10" s="2096"/>
      <c r="I10" s="29"/>
      <c r="J10" s="30"/>
      <c r="K10" s="28"/>
      <c r="R10" s="30"/>
      <c r="S10" s="30"/>
      <c r="T10" s="2088"/>
      <c r="U10" s="2089"/>
      <c r="V10" s="2089"/>
      <c r="W10" s="2089"/>
      <c r="X10" s="2089"/>
      <c r="Y10" s="2089"/>
      <c r="Z10" s="2089"/>
      <c r="AA10" s="2090"/>
    </row>
    <row r="11" spans="1:28" ht="14.25" customHeight="1" x14ac:dyDescent="0.2">
      <c r="A11" s="2097" t="s">
        <v>955</v>
      </c>
      <c r="B11" s="2098"/>
      <c r="C11" s="2098"/>
      <c r="D11" s="2098"/>
      <c r="E11" s="2098"/>
      <c r="F11" s="2098"/>
      <c r="G11" s="2098"/>
      <c r="H11" s="2099"/>
      <c r="I11" s="27"/>
      <c r="J11" s="74"/>
      <c r="K11" s="27"/>
      <c r="O11" s="148" t="s">
        <v>2066</v>
      </c>
      <c r="P11" s="100" t="s">
        <v>201</v>
      </c>
      <c r="Q11" s="30"/>
      <c r="R11" s="28"/>
      <c r="S11" s="27"/>
      <c r="T11" s="2091"/>
      <c r="U11" s="2092"/>
      <c r="V11" s="2092"/>
      <c r="W11" s="2092"/>
      <c r="X11" s="2092"/>
      <c r="Y11" s="2092"/>
      <c r="Z11" s="2092"/>
      <c r="AA11" s="209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105">
        <v>53102140026</v>
      </c>
      <c r="B13" s="2106"/>
      <c r="C13" s="2106"/>
      <c r="D13" s="2106"/>
      <c r="E13" s="2106"/>
      <c r="F13" s="2106"/>
      <c r="G13" s="2106"/>
      <c r="H13" s="2107"/>
      <c r="I13" s="31"/>
      <c r="J13" s="30"/>
      <c r="K13" s="28"/>
      <c r="L13" s="30"/>
      <c r="M13" s="30"/>
      <c r="N13" s="30"/>
      <c r="O13" s="30"/>
      <c r="P13" s="30"/>
      <c r="Q13" s="30"/>
      <c r="R13" s="30"/>
      <c r="S13" s="30"/>
      <c r="T13" s="2110" t="s">
        <v>2068</v>
      </c>
      <c r="U13" s="2111"/>
      <c r="V13" s="2111"/>
      <c r="W13" s="2111"/>
      <c r="X13" s="2111"/>
      <c r="Y13" s="2112"/>
      <c r="Z13" s="2112"/>
      <c r="AA13" s="211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103" t="s">
        <v>2070</v>
      </c>
      <c r="B15" s="2108"/>
      <c r="C15" s="2108"/>
      <c r="D15" s="2108"/>
      <c r="E15" s="2108"/>
      <c r="F15" s="2108"/>
      <c r="G15" s="2108"/>
      <c r="H15" s="2109"/>
      <c r="T15" s="2071" t="s">
        <v>2074</v>
      </c>
      <c r="U15" s="2072"/>
      <c r="V15" s="2072"/>
      <c r="W15" s="2072"/>
      <c r="X15" s="2072"/>
      <c r="Y15" s="2114"/>
      <c r="Z15" s="2114"/>
      <c r="AA15" s="211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63" t="s">
        <v>2201</v>
      </c>
      <c r="B17" s="2133"/>
      <c r="C17" s="2133"/>
      <c r="D17" s="2133"/>
      <c r="E17" s="2133"/>
      <c r="F17" s="2133"/>
      <c r="G17" s="2133"/>
      <c r="H17" s="2134"/>
      <c r="T17" s="2120" t="s">
        <v>2060</v>
      </c>
      <c r="U17" s="2121"/>
      <c r="V17" s="2121"/>
      <c r="W17" s="2121"/>
      <c r="X17" s="2121"/>
      <c r="Y17" s="2121"/>
      <c r="Z17" s="2121"/>
      <c r="AA17" s="2122"/>
    </row>
    <row r="18" spans="1:27" ht="13.5" customHeight="1" x14ac:dyDescent="0.2">
      <c r="A18" s="85" t="s">
        <v>530</v>
      </c>
      <c r="B18" s="76"/>
      <c r="C18" s="72"/>
      <c r="D18" s="76"/>
      <c r="E18" s="76"/>
      <c r="F18" s="76"/>
      <c r="G18" s="76"/>
      <c r="H18" s="56"/>
      <c r="I18" s="2130" t="s">
        <v>676</v>
      </c>
      <c r="J18" s="2131"/>
      <c r="K18" s="2131"/>
      <c r="L18" s="2131"/>
      <c r="M18" s="2131"/>
      <c r="N18" s="2131"/>
      <c r="O18" s="2131"/>
      <c r="P18" s="2131"/>
      <c r="Q18" s="2131"/>
      <c r="R18" s="2131"/>
      <c r="S18" s="2132"/>
      <c r="T18" s="85" t="s">
        <v>711</v>
      </c>
      <c r="U18" s="51"/>
      <c r="V18" s="72"/>
      <c r="W18" s="50"/>
      <c r="X18" s="85" t="s">
        <v>266</v>
      </c>
      <c r="Y18" s="81"/>
      <c r="Z18" s="159" t="s">
        <v>677</v>
      </c>
      <c r="AA18" s="46"/>
    </row>
    <row r="19" spans="1:27" ht="13.5" customHeight="1" x14ac:dyDescent="0.2">
      <c r="A19" s="2103" t="s">
        <v>2072</v>
      </c>
      <c r="B19" s="2104"/>
      <c r="C19" s="2104"/>
      <c r="D19" s="2104"/>
      <c r="E19" s="2104"/>
      <c r="F19" s="2104"/>
      <c r="G19" s="2104"/>
      <c r="H19" s="2102"/>
      <c r="I19" s="30"/>
      <c r="J19" s="99"/>
      <c r="K19" s="40"/>
      <c r="L19" s="38"/>
      <c r="M19" s="112" t="s">
        <v>315</v>
      </c>
      <c r="P19" s="27"/>
      <c r="Q19" s="27"/>
      <c r="R19" s="27"/>
      <c r="S19" s="31"/>
      <c r="T19" s="2103" t="s">
        <v>2061</v>
      </c>
      <c r="U19" s="2101"/>
      <c r="V19" s="2101"/>
      <c r="W19" s="2102"/>
      <c r="X19" s="2118" t="s">
        <v>2062</v>
      </c>
      <c r="Y19" s="2119"/>
      <c r="Z19" s="2116">
        <v>61614</v>
      </c>
      <c r="AA19" s="211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100" t="s">
        <v>2073</v>
      </c>
      <c r="B21" s="2101"/>
      <c r="C21" s="2101"/>
      <c r="D21" s="2101"/>
      <c r="E21" s="2101"/>
      <c r="F21" s="2101"/>
      <c r="G21" s="2101"/>
      <c r="H21" s="2102"/>
      <c r="I21" s="2126" t="s">
        <v>678</v>
      </c>
      <c r="J21" s="2089"/>
      <c r="K21" s="2089"/>
      <c r="L21" s="2089"/>
      <c r="M21" s="2089"/>
      <c r="N21" s="2089"/>
      <c r="O21" s="2089"/>
      <c r="P21" s="2089"/>
      <c r="Q21" s="2089"/>
      <c r="R21" s="2089"/>
      <c r="S21" s="2090"/>
      <c r="T21" s="2068" t="s">
        <v>2063</v>
      </c>
      <c r="U21" s="2069"/>
      <c r="V21" s="2069"/>
      <c r="W21" s="2069"/>
      <c r="X21" s="2082" t="s">
        <v>2064</v>
      </c>
      <c r="Y21" s="2083"/>
      <c r="Z21" s="2083"/>
      <c r="AA21" s="2084"/>
    </row>
    <row r="22" spans="1:27" ht="13.5" customHeight="1" x14ac:dyDescent="0.2">
      <c r="A22" s="87" t="s">
        <v>531</v>
      </c>
      <c r="B22" s="59"/>
      <c r="C22" s="59"/>
      <c r="D22" s="59"/>
      <c r="E22" s="59"/>
      <c r="F22" s="59"/>
      <c r="G22" s="59"/>
      <c r="H22" s="60"/>
      <c r="I22" s="2127" t="s">
        <v>1429</v>
      </c>
      <c r="J22" s="2128"/>
      <c r="K22" s="2128"/>
      <c r="L22" s="2128"/>
      <c r="M22" s="2128"/>
      <c r="N22" s="2128"/>
      <c r="O22" s="2128"/>
      <c r="P22" s="2128"/>
      <c r="Q22" s="2128"/>
      <c r="R22" s="2128"/>
      <c r="S22" s="2129"/>
      <c r="T22" s="85" t="s">
        <v>1516</v>
      </c>
      <c r="U22" s="51"/>
      <c r="V22" s="72"/>
      <c r="W22" s="51"/>
      <c r="X22" s="160" t="s">
        <v>1318</v>
      </c>
      <c r="Z22" s="45"/>
      <c r="AA22" s="46"/>
    </row>
    <row r="23" spans="1:27" ht="13.5" customHeight="1" x14ac:dyDescent="0.2">
      <c r="A23" s="2123" t="s">
        <v>2195</v>
      </c>
      <c r="B23" s="2124"/>
      <c r="C23" s="2124"/>
      <c r="D23" s="2124"/>
      <c r="E23" s="2124"/>
      <c r="F23" s="2124"/>
      <c r="G23" s="2124"/>
      <c r="H23" s="2125"/>
      <c r="T23" s="2063" t="s">
        <v>2065</v>
      </c>
      <c r="U23" s="2064"/>
      <c r="V23" s="2064"/>
      <c r="W23" s="2064"/>
      <c r="X23" s="2079">
        <v>44501</v>
      </c>
      <c r="Y23" s="2080"/>
      <c r="Z23" s="2080"/>
      <c r="AA23" s="2081"/>
    </row>
    <row r="24" spans="1:27" ht="14.1" customHeight="1" x14ac:dyDescent="0.2">
      <c r="A24" s="88" t="s">
        <v>677</v>
      </c>
      <c r="B24" s="49"/>
      <c r="C24" s="49"/>
      <c r="D24" s="49"/>
      <c r="E24" s="49"/>
      <c r="F24" s="49"/>
      <c r="G24" s="49"/>
      <c r="H24" s="61"/>
      <c r="J24" s="2165">
        <f>IF(B5="x",IF(AUDITCHECK!D29="AFR form Incomplete.","",IF(AUDITCHECK!D29="Deficit reduction plan is required.","School District must complete a deficit reduction plan in the 2019-2020 Budget",)),"")</f>
        <v>0</v>
      </c>
      <c r="K24" s="2165"/>
      <c r="L24" s="2165"/>
      <c r="M24" s="2165"/>
      <c r="N24" s="2165"/>
      <c r="O24" s="2165"/>
      <c r="P24" s="2165"/>
      <c r="Q24" s="2165"/>
      <c r="R24" s="2165"/>
      <c r="S24" s="2166"/>
      <c r="T24" s="105" t="s">
        <v>531</v>
      </c>
      <c r="U24" s="106"/>
      <c r="V24" s="106"/>
      <c r="W24" s="106"/>
      <c r="X24" s="107"/>
      <c r="Y24" s="107"/>
      <c r="Z24" s="107"/>
      <c r="AA24" s="108"/>
    </row>
    <row r="25" spans="1:27" ht="14.1" customHeight="1" x14ac:dyDescent="0.2">
      <c r="A25" s="2100">
        <v>61530</v>
      </c>
      <c r="B25" s="2101"/>
      <c r="C25" s="2101"/>
      <c r="D25" s="2101"/>
      <c r="E25" s="2101"/>
      <c r="F25" s="2101"/>
      <c r="G25" s="2101"/>
      <c r="H25" s="2102"/>
      <c r="I25" s="113"/>
      <c r="J25" s="2167"/>
      <c r="K25" s="2167"/>
      <c r="L25" s="2167"/>
      <c r="M25" s="2167"/>
      <c r="N25" s="2167"/>
      <c r="O25" s="2167"/>
      <c r="P25" s="2167"/>
      <c r="Q25" s="2167"/>
      <c r="R25" s="2167"/>
      <c r="S25" s="2168"/>
      <c r="T25" s="2060" t="s">
        <v>2075</v>
      </c>
      <c r="U25" s="2061"/>
      <c r="V25" s="2061"/>
      <c r="W25" s="2061"/>
      <c r="X25" s="2061"/>
      <c r="Y25" s="2061"/>
      <c r="Z25" s="2061"/>
      <c r="AA25" s="20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58" t="s">
        <v>1511</v>
      </c>
      <c r="J27" s="2131"/>
      <c r="K27" s="2131"/>
      <c r="L27" s="2131"/>
      <c r="M27" s="2131"/>
      <c r="N27" s="2131"/>
      <c r="O27" s="2131"/>
      <c r="P27" s="2131"/>
      <c r="Q27" s="2131"/>
      <c r="R27" s="2131"/>
      <c r="S27" s="213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2066</v>
      </c>
      <c r="K29" s="28" t="s">
        <v>576</v>
      </c>
      <c r="L29" s="148"/>
      <c r="M29" s="40" t="s">
        <v>99</v>
      </c>
      <c r="N29" s="32" t="s">
        <v>1523</v>
      </c>
      <c r="O29" s="32"/>
      <c r="P29" s="32"/>
      <c r="Q29" s="32"/>
      <c r="R29" s="32"/>
      <c r="S29" s="123"/>
      <c r="T29" s="6"/>
      <c r="U29" s="6"/>
      <c r="V29" s="6"/>
      <c r="W29" s="6"/>
      <c r="X29" s="6"/>
      <c r="Y29" s="6"/>
      <c r="Z29" s="6"/>
      <c r="AA29" s="132"/>
    </row>
    <row r="30" spans="1:27" ht="13.5" customHeight="1" x14ac:dyDescent="0.2">
      <c r="A30" s="153"/>
      <c r="B30" s="136" t="s">
        <v>2066</v>
      </c>
      <c r="C30" s="124" t="s">
        <v>1164</v>
      </c>
      <c r="D30" s="28"/>
      <c r="E30" s="28"/>
      <c r="F30" s="140"/>
      <c r="G30" s="114"/>
      <c r="H30" s="114"/>
      <c r="I30" s="54"/>
      <c r="J30" s="148" t="s">
        <v>2066</v>
      </c>
      <c r="K30" s="28" t="s">
        <v>576</v>
      </c>
      <c r="L30" s="148"/>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2066</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104"/>
      <c r="Q35" s="2101"/>
      <c r="R35" s="210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63" t="s">
        <v>2076</v>
      </c>
      <c r="B38" s="2133"/>
      <c r="C38" s="2133"/>
      <c r="D38" s="2133"/>
      <c r="E38" s="2133"/>
      <c r="F38" s="2101"/>
      <c r="G38" s="2101"/>
      <c r="H38" s="2102"/>
      <c r="I38" s="2152"/>
      <c r="J38" s="2072"/>
      <c r="K38" s="2072"/>
      <c r="L38" s="2072"/>
      <c r="M38" s="2072"/>
      <c r="N38" s="2072"/>
      <c r="O38" s="2072"/>
      <c r="P38" s="2073"/>
      <c r="Q38" s="2073"/>
      <c r="R38" s="2073"/>
      <c r="S38" s="2074"/>
      <c r="T38" s="2071"/>
      <c r="U38" s="2072"/>
      <c r="V38" s="2072"/>
      <c r="W38" s="2072"/>
      <c r="X38" s="2073"/>
      <c r="Y38" s="2073"/>
      <c r="Z38" s="2073"/>
      <c r="AA38" s="2074"/>
    </row>
    <row r="39" spans="1:27" ht="12" customHeight="1" x14ac:dyDescent="0.2">
      <c r="A39" s="2156" t="s">
        <v>531</v>
      </c>
      <c r="B39" s="2157"/>
      <c r="C39" s="72"/>
      <c r="D39" s="69"/>
      <c r="E39" s="69"/>
      <c r="F39" s="79"/>
      <c r="G39" s="69"/>
      <c r="H39" s="56"/>
      <c r="I39" s="2156" t="s">
        <v>531</v>
      </c>
      <c r="J39" s="2157"/>
      <c r="K39" s="2157"/>
      <c r="L39" s="2157"/>
      <c r="M39" s="2157"/>
      <c r="N39" s="67"/>
      <c r="O39" s="72"/>
      <c r="P39" s="72"/>
      <c r="Q39" s="78"/>
      <c r="R39" s="72"/>
      <c r="S39" s="56"/>
      <c r="T39" s="72" t="s">
        <v>531</v>
      </c>
      <c r="U39" s="51"/>
      <c r="V39" s="72"/>
      <c r="W39" s="50"/>
      <c r="X39" s="78"/>
      <c r="Y39" s="45"/>
      <c r="Z39" s="45"/>
      <c r="AA39" s="46"/>
    </row>
    <row r="40" spans="1:27" ht="13.5" customHeight="1" x14ac:dyDescent="0.2">
      <c r="A40" s="2159" t="s">
        <v>2195</v>
      </c>
      <c r="B40" s="2160"/>
      <c r="C40" s="2161"/>
      <c r="D40" s="2161"/>
      <c r="E40" s="2161"/>
      <c r="F40" s="2162"/>
      <c r="G40" s="2162"/>
      <c r="H40" s="2163"/>
      <c r="I40" s="2075"/>
      <c r="J40" s="2077"/>
      <c r="K40" s="2077"/>
      <c r="L40" s="2077"/>
      <c r="M40" s="2077"/>
      <c r="N40" s="2077"/>
      <c r="O40" s="2077"/>
      <c r="P40" s="2077"/>
      <c r="Q40" s="2077"/>
      <c r="R40" s="2077"/>
      <c r="S40" s="2078"/>
      <c r="T40" s="2075"/>
      <c r="U40" s="2076"/>
      <c r="V40" s="2077"/>
      <c r="W40" s="2077"/>
      <c r="X40" s="2077"/>
      <c r="Y40" s="2077"/>
      <c r="Z40" s="2077"/>
      <c r="AA40" s="207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49" t="s">
        <v>2077</v>
      </c>
      <c r="B42" s="2150"/>
      <c r="C42" s="2151"/>
      <c r="D42" s="2164" t="s">
        <v>2078</v>
      </c>
      <c r="E42" s="2150"/>
      <c r="F42" s="2150"/>
      <c r="G42" s="2150"/>
      <c r="H42" s="2151"/>
      <c r="I42" s="2070"/>
      <c r="J42" s="2066"/>
      <c r="K42" s="2066"/>
      <c r="L42" s="2066"/>
      <c r="M42" s="2066"/>
      <c r="N42" s="2066"/>
      <c r="O42" s="2067"/>
      <c r="P42" s="2065"/>
      <c r="Q42" s="2066"/>
      <c r="R42" s="2066"/>
      <c r="S42" s="2067"/>
      <c r="T42" s="2070"/>
      <c r="U42" s="2066"/>
      <c r="V42" s="2066"/>
      <c r="W42" s="2067"/>
      <c r="X42" s="2065"/>
      <c r="Y42" s="2066"/>
      <c r="Z42" s="2066"/>
      <c r="AA42" s="206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53"/>
      <c r="B44" s="2154"/>
      <c r="C44" s="2154"/>
      <c r="D44" s="2154"/>
      <c r="E44" s="2154"/>
      <c r="F44" s="2154"/>
      <c r="G44" s="2154"/>
      <c r="H44" s="2155"/>
      <c r="I44" s="2145"/>
      <c r="J44" s="2147"/>
      <c r="K44" s="2147"/>
      <c r="L44" s="2147"/>
      <c r="M44" s="2147"/>
      <c r="N44" s="2147"/>
      <c r="O44" s="2147"/>
      <c r="P44" s="2147"/>
      <c r="Q44" s="2147"/>
      <c r="R44" s="2147"/>
      <c r="S44" s="2148"/>
      <c r="T44" s="2145"/>
      <c r="U44" s="2146"/>
      <c r="V44" s="2146"/>
      <c r="W44" s="2146"/>
      <c r="X44" s="2146"/>
      <c r="Y44" s="2146"/>
      <c r="Z44" s="2147"/>
      <c r="AA44" s="214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8" t="s">
        <v>104</v>
      </c>
    </row>
    <row r="2" spans="1:6" ht="39.75" customHeight="1" x14ac:dyDescent="0.2">
      <c r="A2" s="2302" t="s">
        <v>1798</v>
      </c>
      <c r="B2" s="1525" t="s">
        <v>1947</v>
      </c>
      <c r="C2" s="711" t="s">
        <v>1948</v>
      </c>
      <c r="D2" s="711" t="s">
        <v>1949</v>
      </c>
      <c r="E2" s="711" t="s">
        <v>1950</v>
      </c>
      <c r="F2" s="711" t="s">
        <v>1951</v>
      </c>
    </row>
    <row r="3" spans="1:6" ht="12" customHeight="1" x14ac:dyDescent="0.2">
      <c r="A3" s="2303"/>
      <c r="B3" s="1522"/>
      <c r="C3" s="1523"/>
      <c r="D3" s="1524" t="s">
        <v>256</v>
      </c>
      <c r="E3" s="1523"/>
      <c r="F3" s="1524" t="s">
        <v>257</v>
      </c>
    </row>
    <row r="4" spans="1:6" ht="13.7" customHeight="1" x14ac:dyDescent="0.2">
      <c r="A4" s="712" t="s">
        <v>1155</v>
      </c>
      <c r="B4" s="1746">
        <f>'Revenues 9-14'!C5</f>
        <v>6728389</v>
      </c>
      <c r="C4" s="1521">
        <v>914</v>
      </c>
      <c r="D4" s="1749">
        <f>B4-C4</f>
        <v>6727475</v>
      </c>
      <c r="E4" s="1521">
        <v>6923375</v>
      </c>
      <c r="F4" s="1749">
        <f>E4-C4</f>
        <v>6922461</v>
      </c>
    </row>
    <row r="5" spans="1:6" ht="13.7" customHeight="1" x14ac:dyDescent="0.2">
      <c r="A5" s="712" t="s">
        <v>870</v>
      </c>
      <c r="B5" s="1747">
        <f>'Revenues 9-14'!D5</f>
        <v>1139485</v>
      </c>
      <c r="C5" s="582">
        <v>155</v>
      </c>
      <c r="D5" s="1750">
        <f t="shared" ref="D5:D18" si="0">B5-C5</f>
        <v>1139330</v>
      </c>
      <c r="E5" s="582">
        <v>1172507</v>
      </c>
      <c r="F5" s="1750">
        <f>E5-C5</f>
        <v>1172352</v>
      </c>
    </row>
    <row r="6" spans="1:6" ht="13.7" customHeight="1" x14ac:dyDescent="0.2">
      <c r="A6" s="712" t="s">
        <v>411</v>
      </c>
      <c r="B6" s="1747">
        <f>'Revenues 9-14'!E5</f>
        <v>891401</v>
      </c>
      <c r="C6" s="582">
        <v>118</v>
      </c>
      <c r="D6" s="1750">
        <f t="shared" si="0"/>
        <v>891283</v>
      </c>
      <c r="E6" s="582">
        <v>892892</v>
      </c>
      <c r="F6" s="1750">
        <f t="shared" ref="F6:F18" si="1">E6-C6</f>
        <v>892774</v>
      </c>
    </row>
    <row r="7" spans="1:6" ht="13.7" customHeight="1" x14ac:dyDescent="0.2">
      <c r="A7" s="712" t="s">
        <v>155</v>
      </c>
      <c r="B7" s="1747">
        <f>'Revenues 9-14'!F5</f>
        <v>434090</v>
      </c>
      <c r="C7" s="582">
        <v>59</v>
      </c>
      <c r="D7" s="1750">
        <f t="shared" si="0"/>
        <v>434031</v>
      </c>
      <c r="E7" s="582">
        <v>446669</v>
      </c>
      <c r="F7" s="1750">
        <f t="shared" si="1"/>
        <v>446610</v>
      </c>
    </row>
    <row r="8" spans="1:6" ht="13.7" customHeight="1" x14ac:dyDescent="0.2">
      <c r="A8" s="712" t="s">
        <v>1179</v>
      </c>
      <c r="B8" s="1747">
        <f>'Revenues 9-14'!G5</f>
        <v>234624</v>
      </c>
      <c r="C8" s="582">
        <v>31</v>
      </c>
      <c r="D8" s="1750">
        <f t="shared" si="0"/>
        <v>234593</v>
      </c>
      <c r="E8" s="582">
        <v>235171</v>
      </c>
      <c r="F8" s="1750">
        <f t="shared" si="1"/>
        <v>235140</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108522</v>
      </c>
      <c r="C10" s="582">
        <v>15</v>
      </c>
      <c r="D10" s="1750">
        <f t="shared" si="0"/>
        <v>108507</v>
      </c>
      <c r="E10" s="582">
        <v>111667</v>
      </c>
      <c r="F10" s="1750">
        <f t="shared" si="1"/>
        <v>111652</v>
      </c>
    </row>
    <row r="11" spans="1:6" x14ac:dyDescent="0.2">
      <c r="A11" s="712" t="s">
        <v>409</v>
      </c>
      <c r="B11" s="1747">
        <f>'Revenues 9-14'!J5</f>
        <v>589058</v>
      </c>
      <c r="C11" s="582">
        <v>78</v>
      </c>
      <c r="D11" s="1750">
        <f t="shared" si="0"/>
        <v>588980</v>
      </c>
      <c r="E11" s="582">
        <v>590050</v>
      </c>
      <c r="F11" s="1750">
        <f t="shared" si="1"/>
        <v>589972</v>
      </c>
    </row>
    <row r="12" spans="1:6" ht="13.7" customHeight="1" x14ac:dyDescent="0.2">
      <c r="A12" s="712" t="s">
        <v>157</v>
      </c>
      <c r="B12" s="1747">
        <f>'Revenues 9-14'!K5</f>
        <v>108522</v>
      </c>
      <c r="C12" s="582">
        <v>15</v>
      </c>
      <c r="D12" s="1750">
        <f t="shared" si="0"/>
        <v>108507</v>
      </c>
      <c r="E12" s="582">
        <v>111667</v>
      </c>
      <c r="F12" s="1750">
        <f t="shared" si="1"/>
        <v>111652</v>
      </c>
    </row>
    <row r="13" spans="1:6" ht="13.7" customHeight="1" x14ac:dyDescent="0.2">
      <c r="A13" s="712" t="s">
        <v>936</v>
      </c>
      <c r="B13" s="1747">
        <f>SUM('Revenues 9-14'!C6:D6)</f>
        <v>108522</v>
      </c>
      <c r="C13" s="582">
        <v>15</v>
      </c>
      <c r="D13" s="1750">
        <f t="shared" si="0"/>
        <v>108507</v>
      </c>
      <c r="E13" s="582">
        <v>111667</v>
      </c>
      <c r="F13" s="1750">
        <f t="shared" si="1"/>
        <v>111652</v>
      </c>
    </row>
    <row r="14" spans="1:6" ht="13.7" customHeight="1" x14ac:dyDescent="0.2">
      <c r="A14" s="712" t="s">
        <v>410</v>
      </c>
      <c r="B14" s="1747">
        <f>SUM('Revenues 9-14'!C7:D7,'Revenues 9-14'!F7:H7)</f>
        <v>86818</v>
      </c>
      <c r="C14" s="582">
        <v>12</v>
      </c>
      <c r="D14" s="1750">
        <f t="shared" si="0"/>
        <v>86806</v>
      </c>
      <c r="E14" s="582">
        <v>89334</v>
      </c>
      <c r="F14" s="1750">
        <f t="shared" si="1"/>
        <v>89322</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279553</v>
      </c>
      <c r="C16" s="582">
        <v>37</v>
      </c>
      <c r="D16" s="1750">
        <f t="shared" si="0"/>
        <v>279516</v>
      </c>
      <c r="E16" s="582">
        <v>280062</v>
      </c>
      <c r="F16" s="1750">
        <f t="shared" si="1"/>
        <v>280025</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10708984</v>
      </c>
      <c r="C19" s="1748">
        <f>SUM(C4:C18)</f>
        <v>1449</v>
      </c>
      <c r="D19" s="1748">
        <f>SUM(D4:D18)</f>
        <v>10707535</v>
      </c>
      <c r="E19" s="1748">
        <f>SUM(E4:E18)</f>
        <v>10965061</v>
      </c>
      <c r="F19" s="1748">
        <f>SUM(F4:F18)</f>
        <v>10963612</v>
      </c>
    </row>
    <row r="20" spans="1:6" ht="13.5" thickTop="1" x14ac:dyDescent="0.2">
      <c r="B20" s="710"/>
      <c r="F20" s="713"/>
    </row>
    <row r="21" spans="1:6" x14ac:dyDescent="0.2">
      <c r="A21" s="714" t="s">
        <v>1804</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08" t="s">
        <v>629</v>
      </c>
      <c r="B1" s="2309"/>
      <c r="C1" s="718"/>
    </row>
    <row r="2" spans="1:7" ht="33.75" x14ac:dyDescent="0.2">
      <c r="A2" s="2317" t="s">
        <v>1798</v>
      </c>
      <c r="B2" s="2318"/>
      <c r="C2" s="1879" t="s">
        <v>1952</v>
      </c>
      <c r="D2" s="720" t="s">
        <v>1953</v>
      </c>
      <c r="E2" s="720" t="s">
        <v>1954</v>
      </c>
      <c r="F2" s="1879" t="s">
        <v>1955</v>
      </c>
    </row>
    <row r="3" spans="1:7" ht="15.75" customHeight="1" x14ac:dyDescent="0.2">
      <c r="A3" s="2321" t="s">
        <v>1114</v>
      </c>
      <c r="B3" s="2322"/>
      <c r="C3" s="2310"/>
      <c r="D3" s="2311"/>
      <c r="E3" s="2311"/>
      <c r="F3" s="2312"/>
    </row>
    <row r="4" spans="1:7" ht="12.75" customHeight="1" thickBot="1" x14ac:dyDescent="0.25">
      <c r="A4" s="2319" t="s">
        <v>630</v>
      </c>
      <c r="B4" s="2320"/>
      <c r="C4" s="578"/>
      <c r="D4" s="578"/>
      <c r="E4" s="578"/>
      <c r="F4" s="1752">
        <f>SUM(C4+D4)-E4</f>
        <v>0</v>
      </c>
    </row>
    <row r="5" spans="1:7" ht="15.75" customHeight="1" thickTop="1" x14ac:dyDescent="0.2">
      <c r="A5" s="2304" t="s">
        <v>1110</v>
      </c>
      <c r="B5" s="2305"/>
      <c r="C5" s="2313"/>
      <c r="D5" s="2314"/>
      <c r="E5" s="2314"/>
      <c r="F5" s="2315"/>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306" t="s">
        <v>631</v>
      </c>
      <c r="B15" s="2307"/>
      <c r="C15" s="1752">
        <f>SUM(C6:C14)</f>
        <v>0</v>
      </c>
      <c r="D15" s="1752">
        <f>SUM(D6:D14)</f>
        <v>0</v>
      </c>
      <c r="E15" s="1752">
        <f>SUM(E6:E14)</f>
        <v>0</v>
      </c>
      <c r="F15" s="1752">
        <f>SUM(F6:F14)</f>
        <v>0</v>
      </c>
      <c r="G15" s="549"/>
    </row>
    <row r="16" spans="1:7" s="202" customFormat="1" ht="15.75" customHeight="1" thickTop="1" x14ac:dyDescent="0.2">
      <c r="A16" s="2316" t="s">
        <v>1111</v>
      </c>
      <c r="B16" s="2305"/>
      <c r="C16" s="2313"/>
      <c r="D16" s="2314"/>
      <c r="E16" s="2314"/>
      <c r="F16" s="2315"/>
    </row>
    <row r="17" spans="1:11" ht="12.75" customHeight="1" thickBot="1" x14ac:dyDescent="0.25">
      <c r="A17" s="2329" t="s">
        <v>64</v>
      </c>
      <c r="B17" s="2330"/>
      <c r="C17" s="723"/>
      <c r="D17" s="582"/>
      <c r="E17" s="723"/>
      <c r="F17" s="1752">
        <f>SUM(C17+D17)-E17</f>
        <v>0</v>
      </c>
    </row>
    <row r="18" spans="1:11" ht="12.75" customHeight="1" thickTop="1" thickBot="1" x14ac:dyDescent="0.25">
      <c r="A18" s="2329" t="s">
        <v>6</v>
      </c>
      <c r="B18" s="2330"/>
      <c r="C18" s="723"/>
      <c r="D18" s="582"/>
      <c r="E18" s="723"/>
      <c r="F18" s="1752">
        <f>SUM(C18+D18)-E18</f>
        <v>0</v>
      </c>
    </row>
    <row r="19" spans="1:11" ht="12.75" customHeight="1" thickTop="1" thickBot="1" x14ac:dyDescent="0.25">
      <c r="A19" s="2329" t="s">
        <v>388</v>
      </c>
      <c r="B19" s="2330"/>
      <c r="C19" s="723"/>
      <c r="D19" s="582"/>
      <c r="E19" s="723"/>
      <c r="F19" s="1752">
        <f>SUM(C19+D19)-E19</f>
        <v>0</v>
      </c>
    </row>
    <row r="20" spans="1:11" ht="12.75" customHeight="1" thickTop="1" thickBot="1" x14ac:dyDescent="0.25">
      <c r="A20" s="2329" t="s">
        <v>448</v>
      </c>
      <c r="B20" s="2330"/>
      <c r="C20" s="723"/>
      <c r="D20" s="582"/>
      <c r="E20" s="723"/>
      <c r="F20" s="1752">
        <f>SUM(C20+D20)-E20</f>
        <v>0</v>
      </c>
    </row>
    <row r="21" spans="1:11" ht="14.25" thickTop="1" thickBot="1" x14ac:dyDescent="0.25">
      <c r="A21" s="2306" t="s">
        <v>632</v>
      </c>
      <c r="B21" s="2307"/>
      <c r="C21" s="1752">
        <f>SUM(C17:C20)</f>
        <v>0</v>
      </c>
      <c r="D21" s="1752">
        <f>SUM(D17:D20)</f>
        <v>0</v>
      </c>
      <c r="E21" s="1752">
        <f>SUM(E17:E20)</f>
        <v>0</v>
      </c>
      <c r="F21" s="1752">
        <f>SUM(F17:F20)</f>
        <v>0</v>
      </c>
      <c r="G21" s="549"/>
    </row>
    <row r="22" spans="1:11" ht="15.75" customHeight="1" thickTop="1" x14ac:dyDescent="0.2">
      <c r="A22" s="2331" t="s">
        <v>1112</v>
      </c>
      <c r="B22" s="2305"/>
      <c r="C22" s="2313"/>
      <c r="D22" s="2314"/>
      <c r="E22" s="2314"/>
      <c r="F22" s="2315"/>
    </row>
    <row r="23" spans="1:11" ht="13.5" thickBot="1" x14ac:dyDescent="0.25">
      <c r="A23" s="2319" t="s">
        <v>633</v>
      </c>
      <c r="B23" s="2320"/>
      <c r="C23" s="578"/>
      <c r="D23" s="578"/>
      <c r="E23" s="578"/>
      <c r="F23" s="1752">
        <f>SUM(C23+D23)-E23</f>
        <v>0</v>
      </c>
      <c r="G23" s="549"/>
    </row>
    <row r="24" spans="1:11" ht="15.75" customHeight="1" thickTop="1" x14ac:dyDescent="0.2">
      <c r="A24" s="2331" t="s">
        <v>1113</v>
      </c>
      <c r="B24" s="2305"/>
      <c r="C24" s="2313"/>
      <c r="D24" s="2314"/>
      <c r="E24" s="2314"/>
      <c r="F24" s="2315"/>
    </row>
    <row r="25" spans="1:11" ht="13.5" thickBot="1" x14ac:dyDescent="0.25">
      <c r="A25" s="2319" t="s">
        <v>634</v>
      </c>
      <c r="B25" s="2320"/>
      <c r="C25" s="578"/>
      <c r="D25" s="578"/>
      <c r="E25" s="578"/>
      <c r="F25" s="1752">
        <f>SUM(C25+D25)-E25</f>
        <v>0</v>
      </c>
      <c r="G25" s="549"/>
    </row>
    <row r="26" spans="1:11" ht="15.75" customHeight="1" thickTop="1" x14ac:dyDescent="0.2">
      <c r="A26" s="2304" t="s">
        <v>657</v>
      </c>
      <c r="B26" s="2305"/>
      <c r="C26" s="724"/>
      <c r="D26" s="724"/>
      <c r="E26" s="724"/>
      <c r="F26" s="725"/>
    </row>
    <row r="27" spans="1:11" ht="13.5" thickBot="1" x14ac:dyDescent="0.25">
      <c r="A27" s="2306" t="s">
        <v>1070</v>
      </c>
      <c r="B27" s="2307"/>
      <c r="C27" s="582"/>
      <c r="D27" s="582"/>
      <c r="E27" s="582"/>
      <c r="F27" s="1752">
        <f>SUM(C27+D27)-E27</f>
        <v>0</v>
      </c>
      <c r="G27" s="549"/>
    </row>
    <row r="28" spans="1:11" ht="7.5" customHeight="1" thickTop="1" x14ac:dyDescent="0.2">
      <c r="A28" s="590"/>
    </row>
    <row r="29" spans="1:11" ht="23.25" customHeight="1" x14ac:dyDescent="0.2">
      <c r="A29" s="2332" t="s">
        <v>582</v>
      </c>
      <c r="B29" s="2309"/>
      <c r="C29" s="726"/>
      <c r="D29" s="726"/>
      <c r="E29" s="726"/>
      <c r="F29" s="726"/>
      <c r="G29" s="726"/>
      <c r="H29" s="726"/>
      <c r="I29" s="726"/>
      <c r="J29" s="726"/>
    </row>
    <row r="30" spans="1:11" ht="33.75" x14ac:dyDescent="0.2">
      <c r="A30" s="1526" t="s">
        <v>1071</v>
      </c>
      <c r="B30" s="727" t="s">
        <v>1124</v>
      </c>
      <c r="C30" s="1880" t="s">
        <v>583</v>
      </c>
      <c r="D30" s="1880" t="s">
        <v>1672</v>
      </c>
      <c r="E30" s="1880" t="s">
        <v>1956</v>
      </c>
      <c r="F30" s="1880" t="s">
        <v>1957</v>
      </c>
      <c r="G30" s="1880" t="s">
        <v>1907</v>
      </c>
      <c r="H30" s="1880" t="s">
        <v>1958</v>
      </c>
      <c r="I30" s="1880" t="s">
        <v>1959</v>
      </c>
      <c r="J30" s="1881" t="s">
        <v>2</v>
      </c>
      <c r="K30" s="728"/>
    </row>
    <row r="31" spans="1:11" ht="12" customHeight="1" x14ac:dyDescent="0.2">
      <c r="A31" s="729" t="s">
        <v>2079</v>
      </c>
      <c r="B31" s="730">
        <v>42933</v>
      </c>
      <c r="C31" s="731">
        <v>163904</v>
      </c>
      <c r="D31" s="732">
        <v>7</v>
      </c>
      <c r="E31" s="731">
        <v>106927</v>
      </c>
      <c r="F31" s="731"/>
      <c r="G31" s="731"/>
      <c r="H31" s="731">
        <v>52325</v>
      </c>
      <c r="I31" s="1753">
        <f>((E31+F31)-H31)+G31</f>
        <v>54602</v>
      </c>
      <c r="J31" s="731">
        <v>54602</v>
      </c>
      <c r="K31" s="733"/>
    </row>
    <row r="32" spans="1:11" ht="12" customHeight="1" x14ac:dyDescent="0.2">
      <c r="A32" s="729" t="s">
        <v>2079</v>
      </c>
      <c r="B32" s="730">
        <v>43313</v>
      </c>
      <c r="C32" s="731">
        <v>149970</v>
      </c>
      <c r="D32" s="732">
        <v>7</v>
      </c>
      <c r="E32" s="731"/>
      <c r="F32" s="731"/>
      <c r="G32" s="731">
        <v>149970</v>
      </c>
      <c r="H32" s="731">
        <v>52020</v>
      </c>
      <c r="I32" s="1753">
        <f>((E32+F32)-H32)+G32</f>
        <v>97950</v>
      </c>
      <c r="J32" s="731">
        <v>97950</v>
      </c>
      <c r="K32" s="733"/>
    </row>
    <row r="33" spans="1:11" ht="12" customHeight="1" x14ac:dyDescent="0.2">
      <c r="A33" s="729" t="s">
        <v>2079</v>
      </c>
      <c r="B33" s="730">
        <v>42601</v>
      </c>
      <c r="C33" s="731">
        <v>26305</v>
      </c>
      <c r="D33" s="732">
        <v>7</v>
      </c>
      <c r="E33" s="731">
        <v>8760</v>
      </c>
      <c r="F33" s="731"/>
      <c r="G33" s="731"/>
      <c r="H33" s="731">
        <v>8760</v>
      </c>
      <c r="I33" s="1753">
        <f t="shared" ref="I33:I48" si="1">((E33+F33)-H33)+G33</f>
        <v>0</v>
      </c>
      <c r="J33" s="731"/>
      <c r="K33" s="733"/>
    </row>
    <row r="34" spans="1:11" ht="12" customHeight="1" x14ac:dyDescent="0.2">
      <c r="A34" s="729" t="s">
        <v>2080</v>
      </c>
      <c r="B34" s="730">
        <v>41786</v>
      </c>
      <c r="C34" s="731">
        <v>818000</v>
      </c>
      <c r="D34" s="732">
        <v>8</v>
      </c>
      <c r="E34" s="731">
        <v>168800</v>
      </c>
      <c r="F34" s="731"/>
      <c r="G34" s="731"/>
      <c r="H34" s="731">
        <v>168800</v>
      </c>
      <c r="I34" s="1753">
        <f t="shared" si="1"/>
        <v>0</v>
      </c>
      <c r="J34" s="731">
        <v>-47098</v>
      </c>
      <c r="K34" s="734"/>
    </row>
    <row r="35" spans="1:11" ht="12" customHeight="1" x14ac:dyDescent="0.2">
      <c r="A35" s="729" t="s">
        <v>2081</v>
      </c>
      <c r="B35" s="730">
        <v>42144</v>
      </c>
      <c r="C35" s="735">
        <v>3000000</v>
      </c>
      <c r="D35" s="732">
        <v>1</v>
      </c>
      <c r="E35" s="735">
        <v>1486100</v>
      </c>
      <c r="F35" s="735"/>
      <c r="G35" s="735"/>
      <c r="H35" s="735">
        <v>823400</v>
      </c>
      <c r="I35" s="1753">
        <f t="shared" si="1"/>
        <v>662700</v>
      </c>
      <c r="J35" s="735">
        <v>655557</v>
      </c>
      <c r="K35" s="734"/>
    </row>
    <row r="36" spans="1:11" ht="12" customHeight="1" x14ac:dyDescent="0.2">
      <c r="A36" s="729" t="s">
        <v>2082</v>
      </c>
      <c r="B36" s="730">
        <v>42144</v>
      </c>
      <c r="C36" s="731">
        <v>1069900</v>
      </c>
      <c r="D36" s="732">
        <v>1</v>
      </c>
      <c r="E36" s="731">
        <v>1069900</v>
      </c>
      <c r="F36" s="731"/>
      <c r="G36" s="731"/>
      <c r="H36" s="731"/>
      <c r="I36" s="1753">
        <f t="shared" si="1"/>
        <v>1069900</v>
      </c>
      <c r="J36" s="731">
        <v>1068389</v>
      </c>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5228079</v>
      </c>
      <c r="D49" s="742"/>
      <c r="E49" s="1753">
        <f t="shared" ref="E49:J49" si="2">SUM(E31:E48)</f>
        <v>2840487</v>
      </c>
      <c r="F49" s="1753">
        <f t="shared" si="2"/>
        <v>0</v>
      </c>
      <c r="G49" s="1753">
        <f t="shared" si="2"/>
        <v>149970</v>
      </c>
      <c r="H49" s="1753">
        <f t="shared" si="2"/>
        <v>1105305</v>
      </c>
      <c r="I49" s="1753">
        <f t="shared" si="2"/>
        <v>1885152</v>
      </c>
      <c r="J49" s="1753">
        <f t="shared" si="2"/>
        <v>1829400</v>
      </c>
      <c r="K49" s="734"/>
    </row>
    <row r="50" spans="1:11" ht="6" customHeight="1" x14ac:dyDescent="0.2">
      <c r="A50" s="743"/>
      <c r="B50" s="733"/>
      <c r="C50" s="733"/>
      <c r="D50" s="733"/>
      <c r="E50" s="733"/>
      <c r="F50" s="733"/>
      <c r="G50" s="733"/>
      <c r="H50" s="733"/>
      <c r="I50" s="733"/>
      <c r="J50" s="743"/>
    </row>
    <row r="51" spans="1:11" x14ac:dyDescent="0.2">
      <c r="A51" s="744" t="s">
        <v>1803</v>
      </c>
      <c r="B51" s="743"/>
      <c r="C51" s="734"/>
      <c r="D51" s="734"/>
      <c r="E51" s="734"/>
      <c r="F51" s="734"/>
      <c r="G51" s="734"/>
      <c r="H51" s="733"/>
      <c r="I51" s="733"/>
      <c r="J51" s="743"/>
    </row>
    <row r="52" spans="1:11" ht="11.25" customHeight="1" x14ac:dyDescent="0.2">
      <c r="A52" s="745" t="s">
        <v>912</v>
      </c>
      <c r="B52" s="2323" t="s">
        <v>584</v>
      </c>
      <c r="C52" s="2324"/>
      <c r="D52" s="2324"/>
      <c r="E52" s="746" t="s">
        <v>845</v>
      </c>
      <c r="F52" s="2325" t="s">
        <v>2083</v>
      </c>
      <c r="G52" s="2326"/>
      <c r="H52" s="733"/>
      <c r="I52" s="733"/>
      <c r="J52" s="743"/>
    </row>
    <row r="53" spans="1:11" ht="11.25" customHeight="1" x14ac:dyDescent="0.2">
      <c r="A53" s="747" t="s">
        <v>913</v>
      </c>
      <c r="B53" s="748" t="s">
        <v>951</v>
      </c>
      <c r="C53" s="743"/>
      <c r="D53" s="734"/>
      <c r="E53" s="746" t="s">
        <v>497</v>
      </c>
      <c r="F53" s="2327" t="s">
        <v>2084</v>
      </c>
      <c r="G53" s="2328"/>
      <c r="H53" s="733"/>
      <c r="I53" s="733"/>
      <c r="J53" s="743"/>
    </row>
    <row r="54" spans="1:11" ht="11.25" customHeight="1" x14ac:dyDescent="0.2">
      <c r="A54" s="749" t="s">
        <v>914</v>
      </c>
      <c r="B54" s="744" t="s">
        <v>952</v>
      </c>
      <c r="C54" s="743"/>
      <c r="D54" s="734"/>
      <c r="E54" s="746" t="s">
        <v>498</v>
      </c>
      <c r="F54" s="2327"/>
      <c r="G54" s="2328"/>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57" t="s">
        <v>856</v>
      </c>
      <c r="B1" s="2358"/>
      <c r="C1" s="2358"/>
      <c r="D1" s="2358"/>
      <c r="E1" s="2358"/>
      <c r="F1" s="2358"/>
      <c r="G1" s="2359"/>
      <c r="H1" s="1527"/>
      <c r="I1" s="757"/>
      <c r="J1" s="433"/>
    </row>
    <row r="2" spans="1:11" ht="26.25" x14ac:dyDescent="0.2">
      <c r="A2" s="2336" t="s">
        <v>1676</v>
      </c>
      <c r="B2" s="2337"/>
      <c r="C2" s="2337"/>
      <c r="D2" s="2337"/>
      <c r="E2" s="2338"/>
      <c r="F2" s="758" t="s">
        <v>904</v>
      </c>
      <c r="G2" s="759" t="s">
        <v>1673</v>
      </c>
      <c r="H2" s="759" t="s">
        <v>410</v>
      </c>
      <c r="I2" s="759" t="s">
        <v>1158</v>
      </c>
      <c r="J2" s="759" t="s">
        <v>1808</v>
      </c>
      <c r="K2" s="759" t="s">
        <v>138</v>
      </c>
    </row>
    <row r="3" spans="1:11" x14ac:dyDescent="0.2">
      <c r="A3" s="2339" t="s">
        <v>1960</v>
      </c>
      <c r="B3" s="2340"/>
      <c r="C3" s="2340"/>
      <c r="D3" s="2340"/>
      <c r="E3" s="2341"/>
      <c r="F3" s="760"/>
      <c r="G3" s="761"/>
      <c r="H3" s="761"/>
      <c r="I3" s="761"/>
      <c r="J3" s="762"/>
      <c r="K3" s="762"/>
    </row>
    <row r="4" spans="1:11" x14ac:dyDescent="0.2">
      <c r="A4" s="2342" t="s">
        <v>369</v>
      </c>
      <c r="B4" s="2343"/>
      <c r="C4" s="2343"/>
      <c r="D4" s="2343"/>
      <c r="E4" s="2324"/>
      <c r="F4" s="763"/>
      <c r="G4" s="764"/>
      <c r="H4" s="765"/>
      <c r="I4" s="764"/>
      <c r="J4" s="766"/>
      <c r="K4" s="766"/>
    </row>
    <row r="5" spans="1:11" x14ac:dyDescent="0.2">
      <c r="A5" s="2360" t="s">
        <v>1069</v>
      </c>
      <c r="B5" s="2333"/>
      <c r="C5" s="2333"/>
      <c r="D5" s="2333"/>
      <c r="E5" s="2361"/>
      <c r="F5" s="767" t="s">
        <v>848</v>
      </c>
      <c r="G5" s="768"/>
      <c r="H5" s="761">
        <v>86818</v>
      </c>
      <c r="I5" s="769"/>
      <c r="J5" s="770"/>
      <c r="K5" s="770"/>
    </row>
    <row r="6" spans="1:11" x14ac:dyDescent="0.2">
      <c r="A6" s="771" t="s">
        <v>720</v>
      </c>
      <c r="B6" s="772"/>
      <c r="C6" s="772"/>
      <c r="D6" s="772"/>
      <c r="E6" s="773"/>
      <c r="F6" s="774" t="s">
        <v>849</v>
      </c>
      <c r="G6" s="761"/>
      <c r="H6" s="761">
        <v>74</v>
      </c>
      <c r="I6" s="761"/>
      <c r="J6" s="762"/>
      <c r="K6" s="762"/>
    </row>
    <row r="7" spans="1:11" x14ac:dyDescent="0.2">
      <c r="A7" s="775" t="s">
        <v>246</v>
      </c>
      <c r="B7" s="776"/>
      <c r="C7" s="776"/>
      <c r="D7" s="776"/>
      <c r="E7" s="777"/>
      <c r="F7" s="767" t="s">
        <v>850</v>
      </c>
      <c r="G7" s="764"/>
      <c r="H7" s="764"/>
      <c r="I7" s="764"/>
      <c r="J7" s="778"/>
      <c r="K7" s="762">
        <v>18945</v>
      </c>
    </row>
    <row r="8" spans="1:11" x14ac:dyDescent="0.2">
      <c r="A8" s="775" t="s">
        <v>345</v>
      </c>
      <c r="B8" s="776"/>
      <c r="C8" s="776"/>
      <c r="D8" s="776"/>
      <c r="E8" s="777"/>
      <c r="F8" s="767" t="s">
        <v>851</v>
      </c>
      <c r="G8" s="779"/>
      <c r="H8" s="779"/>
      <c r="I8" s="779"/>
      <c r="J8" s="762">
        <v>311897</v>
      </c>
      <c r="K8" s="766"/>
    </row>
    <row r="9" spans="1:11" x14ac:dyDescent="0.2">
      <c r="A9" s="775" t="s">
        <v>138</v>
      </c>
      <c r="B9" s="776"/>
      <c r="C9" s="776"/>
      <c r="D9" s="776"/>
      <c r="E9" s="777"/>
      <c r="F9" s="774" t="s">
        <v>853</v>
      </c>
      <c r="G9" s="779"/>
      <c r="H9" s="768"/>
      <c r="I9" s="768"/>
      <c r="J9" s="778"/>
      <c r="K9" s="762">
        <v>21662</v>
      </c>
    </row>
    <row r="10" spans="1:11" x14ac:dyDescent="0.2">
      <c r="A10" s="2360" t="s">
        <v>1809</v>
      </c>
      <c r="B10" s="2333"/>
      <c r="C10" s="2333"/>
      <c r="D10" s="2333"/>
      <c r="E10" s="2362"/>
      <c r="F10" s="780" t="s">
        <v>862</v>
      </c>
      <c r="G10" s="779"/>
      <c r="H10" s="781"/>
      <c r="I10" s="761"/>
      <c r="J10" s="762"/>
      <c r="K10" s="762"/>
    </row>
    <row r="11" spans="1:11" x14ac:dyDescent="0.2">
      <c r="A11" s="2360" t="s">
        <v>160</v>
      </c>
      <c r="B11" s="2333"/>
      <c r="C11" s="2333"/>
      <c r="D11" s="2333"/>
      <c r="E11" s="2361"/>
      <c r="F11" s="767" t="s">
        <v>852</v>
      </c>
      <c r="G11" s="768"/>
      <c r="H11" s="761"/>
      <c r="I11" s="761"/>
      <c r="J11" s="762"/>
      <c r="K11" s="770"/>
    </row>
    <row r="12" spans="1:11" ht="13.5" thickBot="1" x14ac:dyDescent="0.25">
      <c r="A12" s="2350" t="s">
        <v>905</v>
      </c>
      <c r="B12" s="2351"/>
      <c r="C12" s="2351"/>
      <c r="D12" s="2351"/>
      <c r="E12" s="2352"/>
      <c r="F12" s="1754"/>
      <c r="G12" s="1755">
        <f>SUM(G5:G11)</f>
        <v>0</v>
      </c>
      <c r="H12" s="1755">
        <f>SUM(H5:H11)</f>
        <v>86892</v>
      </c>
      <c r="I12" s="1755">
        <f>SUM(I5:I11)</f>
        <v>0</v>
      </c>
      <c r="J12" s="1755">
        <f>SUM(J5:J11)</f>
        <v>311897</v>
      </c>
      <c r="K12" s="1755">
        <f>SUM(K5:K11)</f>
        <v>40607</v>
      </c>
    </row>
    <row r="13" spans="1:11" ht="13.5" thickTop="1" x14ac:dyDescent="0.2">
      <c r="A13" s="2344" t="s">
        <v>370</v>
      </c>
      <c r="B13" s="2345"/>
      <c r="C13" s="2345"/>
      <c r="D13" s="2345"/>
      <c r="E13" s="2346"/>
      <c r="F13" s="782"/>
      <c r="G13" s="783"/>
      <c r="H13" s="784"/>
      <c r="I13" s="785"/>
      <c r="J13" s="785"/>
      <c r="K13" s="785"/>
    </row>
    <row r="14" spans="1:11" x14ac:dyDescent="0.2">
      <c r="A14" s="2366" t="s">
        <v>456</v>
      </c>
      <c r="B14" s="2366"/>
      <c r="C14" s="2366"/>
      <c r="D14" s="2366"/>
      <c r="E14" s="2367"/>
      <c r="F14" s="786" t="s">
        <v>854</v>
      </c>
      <c r="G14" s="779"/>
      <c r="H14" s="761">
        <v>86892</v>
      </c>
      <c r="I14" s="768"/>
      <c r="J14" s="770"/>
      <c r="K14" s="762">
        <v>40607</v>
      </c>
    </row>
    <row r="15" spans="1:11" x14ac:dyDescent="0.2">
      <c r="A15" s="2333" t="s">
        <v>4</v>
      </c>
      <c r="B15" s="2333"/>
      <c r="C15" s="2333"/>
      <c r="D15" s="2333"/>
      <c r="E15" s="2361"/>
      <c r="F15" s="786" t="s">
        <v>855</v>
      </c>
      <c r="G15" s="768"/>
      <c r="H15" s="761"/>
      <c r="I15" s="761"/>
      <c r="J15" s="762"/>
      <c r="K15" s="762"/>
    </row>
    <row r="16" spans="1:11" x14ac:dyDescent="0.2">
      <c r="A16" s="2333" t="s">
        <v>298</v>
      </c>
      <c r="B16" s="2333"/>
      <c r="C16" s="2333"/>
      <c r="D16" s="2333"/>
      <c r="E16" s="2361"/>
      <c r="F16" s="786" t="s">
        <v>923</v>
      </c>
      <c r="G16" s="769"/>
      <c r="H16" s="764"/>
      <c r="I16" s="764"/>
      <c r="J16" s="766"/>
      <c r="K16" s="766"/>
    </row>
    <row r="17" spans="1:11" x14ac:dyDescent="0.2">
      <c r="A17" s="2355" t="s">
        <v>935</v>
      </c>
      <c r="B17" s="2355"/>
      <c r="C17" s="2355"/>
      <c r="D17" s="2355"/>
      <c r="E17" s="2356"/>
      <c r="F17" s="787"/>
      <c r="G17" s="788"/>
      <c r="H17" s="789"/>
      <c r="I17" s="789"/>
      <c r="J17" s="790"/>
      <c r="K17" s="791"/>
    </row>
    <row r="18" spans="1:11" x14ac:dyDescent="0.2">
      <c r="A18" s="2347" t="s">
        <v>368</v>
      </c>
      <c r="B18" s="2348"/>
      <c r="C18" s="2348"/>
      <c r="D18" s="2348"/>
      <c r="E18" s="2349"/>
      <c r="F18" s="786" t="s">
        <v>932</v>
      </c>
      <c r="G18" s="779"/>
      <c r="H18" s="779"/>
      <c r="I18" s="779"/>
      <c r="J18" s="762"/>
      <c r="K18" s="792"/>
    </row>
    <row r="19" spans="1:11" ht="21.75" customHeight="1" x14ac:dyDescent="0.2">
      <c r="A19" s="2368" t="s">
        <v>1805</v>
      </c>
      <c r="B19" s="2368"/>
      <c r="C19" s="2368"/>
      <c r="D19" s="2368"/>
      <c r="E19" s="2369"/>
      <c r="F19" s="786" t="s">
        <v>933</v>
      </c>
      <c r="G19" s="779"/>
      <c r="H19" s="779"/>
      <c r="I19" s="779"/>
      <c r="J19" s="762"/>
      <c r="K19" s="792"/>
    </row>
    <row r="20" spans="1:11" x14ac:dyDescent="0.2">
      <c r="A20" s="2347" t="s">
        <v>1810</v>
      </c>
      <c r="B20" s="2348"/>
      <c r="C20" s="2348"/>
      <c r="D20" s="2348"/>
      <c r="E20" s="2349"/>
      <c r="F20" s="786" t="s">
        <v>934</v>
      </c>
      <c r="G20" s="779"/>
      <c r="H20" s="779"/>
      <c r="I20" s="779"/>
      <c r="J20" s="762"/>
      <c r="K20" s="792"/>
    </row>
    <row r="21" spans="1:11" ht="13.5" thickBot="1" x14ac:dyDescent="0.25">
      <c r="A21" s="2353" t="s">
        <v>638</v>
      </c>
      <c r="B21" s="2353"/>
      <c r="C21" s="2353"/>
      <c r="D21" s="2353"/>
      <c r="E21" s="2353"/>
      <c r="F21" s="1756"/>
      <c r="G21" s="789"/>
      <c r="H21" s="793"/>
      <c r="I21" s="793"/>
      <c r="J21" s="1757">
        <f>SUM(J18:J20)</f>
        <v>0</v>
      </c>
      <c r="K21" s="790"/>
    </row>
    <row r="22" spans="1:11" ht="13.5" thickTop="1" x14ac:dyDescent="0.2">
      <c r="A22" s="2333" t="s">
        <v>1811</v>
      </c>
      <c r="B22" s="2333"/>
      <c r="C22" s="2333"/>
      <c r="D22" s="2333"/>
      <c r="E22" s="2361"/>
      <c r="F22" s="786" t="s">
        <v>862</v>
      </c>
      <c r="G22" s="779"/>
      <c r="H22" s="761"/>
      <c r="I22" s="761"/>
      <c r="J22" s="794"/>
      <c r="K22" s="762"/>
    </row>
    <row r="23" spans="1:11" ht="13.5" thickBot="1" x14ac:dyDescent="0.25">
      <c r="A23" s="2354" t="s">
        <v>906</v>
      </c>
      <c r="B23" s="2353"/>
      <c r="C23" s="2353"/>
      <c r="D23" s="2353"/>
      <c r="E23" s="2353"/>
      <c r="F23" s="1758"/>
      <c r="G23" s="1755">
        <f>SUM(G14:G16,G21,G22)</f>
        <v>0</v>
      </c>
      <c r="H23" s="1755">
        <f>SUM(H14:H16,H21,H22)</f>
        <v>86892</v>
      </c>
      <c r="I23" s="1755">
        <f>SUM(I14:I16,I21,I22)</f>
        <v>0</v>
      </c>
      <c r="J23" s="1755">
        <f>SUM(J14:J16,J21,J22)</f>
        <v>0</v>
      </c>
      <c r="K23" s="1755">
        <f>SUM(K14:K16,K21,K22)</f>
        <v>40607</v>
      </c>
    </row>
    <row r="24" spans="1:11" ht="14.25" thickTop="1" thickBot="1" x14ac:dyDescent="0.25">
      <c r="A24" s="2354" t="s">
        <v>1961</v>
      </c>
      <c r="B24" s="2353"/>
      <c r="C24" s="2353"/>
      <c r="D24" s="2353"/>
      <c r="E24" s="2353"/>
      <c r="F24" s="1759"/>
      <c r="G24" s="1760">
        <f>SUM(G3,G12)-G23</f>
        <v>0</v>
      </c>
      <c r="H24" s="1760">
        <f>SUM(H3,H12)-H23</f>
        <v>0</v>
      </c>
      <c r="I24" s="1760">
        <f>SUM(I3,I12)-I23</f>
        <v>0</v>
      </c>
      <c r="J24" s="1760">
        <f>SUM(J3,J12)-J23</f>
        <v>311897</v>
      </c>
      <c r="K24" s="1760">
        <f>SUM(K3,K12)-K23</f>
        <v>0</v>
      </c>
    </row>
    <row r="25" spans="1:11" ht="13.5" thickTop="1" x14ac:dyDescent="0.2">
      <c r="A25" s="795" t="s">
        <v>420</v>
      </c>
      <c r="B25" s="796"/>
      <c r="C25" s="796"/>
      <c r="D25" s="796"/>
      <c r="E25" s="797"/>
      <c r="F25" s="798">
        <v>714</v>
      </c>
      <c r="G25" s="799"/>
      <c r="H25" s="799"/>
      <c r="I25" s="799"/>
      <c r="J25" s="794">
        <v>311897</v>
      </c>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5" t="s">
        <v>1906</v>
      </c>
      <c r="B28" s="1876"/>
      <c r="C28" s="1876"/>
      <c r="D28" s="1876"/>
      <c r="E28" s="1877"/>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363"/>
      <c r="I31" s="2364"/>
      <c r="J31" s="2364"/>
      <c r="K31" s="2364"/>
    </row>
    <row r="32" spans="1:11" x14ac:dyDescent="0.2">
      <c r="A32" s="806"/>
      <c r="B32" s="237"/>
      <c r="C32" s="237"/>
      <c r="D32" s="237"/>
      <c r="E32" s="802"/>
      <c r="F32" s="808" t="s">
        <v>540</v>
      </c>
      <c r="G32" s="761"/>
      <c r="H32" s="2365"/>
      <c r="I32" s="2364"/>
      <c r="J32" s="2364"/>
      <c r="K32" s="2364"/>
    </row>
    <row r="33" spans="1:11" ht="1.5" customHeight="1" x14ac:dyDescent="0.2">
      <c r="A33" s="809" t="s">
        <v>1169</v>
      </c>
      <c r="B33" s="364"/>
      <c r="C33" s="364"/>
      <c r="D33" s="364"/>
      <c r="E33" s="364"/>
      <c r="F33" s="364"/>
      <c r="G33" s="810"/>
      <c r="H33" s="2365"/>
      <c r="I33" s="2364"/>
      <c r="J33" s="2364"/>
      <c r="K33" s="2364"/>
    </row>
    <row r="34" spans="1:11" x14ac:dyDescent="0.2">
      <c r="A34" s="811" t="s">
        <v>1812</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333" t="s">
        <v>541</v>
      </c>
      <c r="B41" s="2334"/>
      <c r="C41" s="2334"/>
      <c r="D41" s="2334"/>
      <c r="E41" s="2334"/>
      <c r="F41" s="2335"/>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1806</v>
      </c>
      <c r="B46" s="408" t="s">
        <v>1674</v>
      </c>
    </row>
    <row r="47" spans="1:11" s="820" customFormat="1" ht="12.75" customHeight="1" x14ac:dyDescent="0.2">
      <c r="A47" s="818"/>
      <c r="B47" s="819" t="s">
        <v>1675</v>
      </c>
      <c r="E47" s="819"/>
      <c r="K47" s="821"/>
    </row>
    <row r="48" spans="1:11" ht="12.75" customHeight="1" x14ac:dyDescent="0.2">
      <c r="A48" s="1529" t="s">
        <v>1807</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72" t="s">
        <v>1905</v>
      </c>
      <c r="B1" s="2373"/>
      <c r="C1" s="2374"/>
      <c r="D1" s="823"/>
      <c r="E1" s="824"/>
      <c r="F1" s="824"/>
      <c r="G1" s="825"/>
      <c r="H1" s="826"/>
      <c r="I1" s="827"/>
      <c r="J1" s="2370"/>
      <c r="K1" s="2371"/>
      <c r="L1" s="2371"/>
    </row>
    <row r="2" spans="1:14" ht="69.75" customHeight="1" x14ac:dyDescent="0.2">
      <c r="A2" s="828" t="s">
        <v>1677</v>
      </c>
      <c r="B2" s="829" t="s">
        <v>378</v>
      </c>
      <c r="C2" s="830" t="s">
        <v>1962</v>
      </c>
      <c r="D2" s="830" t="s">
        <v>1963</v>
      </c>
      <c r="E2" s="830" t="s">
        <v>1964</v>
      </c>
      <c r="F2" s="830" t="s">
        <v>1965</v>
      </c>
      <c r="G2" s="830" t="s">
        <v>605</v>
      </c>
      <c r="H2" s="830" t="s">
        <v>1966</v>
      </c>
      <c r="I2" s="830" t="s">
        <v>1967</v>
      </c>
      <c r="J2" s="830" t="s">
        <v>1968</v>
      </c>
      <c r="K2" s="830" t="s">
        <v>1969</v>
      </c>
      <c r="L2" s="830" t="s">
        <v>1970</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486404</v>
      </c>
      <c r="D5" s="838"/>
      <c r="E5" s="838"/>
      <c r="F5" s="1757">
        <f>(C5+D5)-E5</f>
        <v>486404</v>
      </c>
      <c r="G5" s="834"/>
      <c r="H5" s="839"/>
      <c r="I5" s="839"/>
      <c r="J5" s="839"/>
      <c r="K5" s="790"/>
      <c r="L5" s="1766">
        <f>F5-K5</f>
        <v>486404</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18356712</v>
      </c>
      <c r="D8" s="841">
        <v>145818</v>
      </c>
      <c r="E8" s="841"/>
      <c r="F8" s="1757">
        <f>(C8+D8)-E8</f>
        <v>18502530</v>
      </c>
      <c r="G8" s="840">
        <v>50</v>
      </c>
      <c r="H8" s="762">
        <v>9498311</v>
      </c>
      <c r="I8" s="762">
        <v>370050</v>
      </c>
      <c r="J8" s="762"/>
      <c r="K8" s="1766">
        <f>(H8+I8)-J8</f>
        <v>9868361</v>
      </c>
      <c r="L8" s="1766">
        <f>F8-K8</f>
        <v>8634169</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4316069</v>
      </c>
      <c r="D10" s="843"/>
      <c r="E10" s="843"/>
      <c r="F10" s="1761">
        <f>(C10+D10)-E10</f>
        <v>4316069</v>
      </c>
      <c r="G10" s="840">
        <v>20</v>
      </c>
      <c r="H10" s="844">
        <v>2061558</v>
      </c>
      <c r="I10" s="844">
        <v>165105</v>
      </c>
      <c r="J10" s="844"/>
      <c r="K10" s="1766">
        <f>(H10+I10)-J10</f>
        <v>2226663</v>
      </c>
      <c r="L10" s="1766">
        <f>F10-K10</f>
        <v>2089406</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2871276</v>
      </c>
      <c r="D12" s="841">
        <v>267263</v>
      </c>
      <c r="E12" s="841">
        <v>466239</v>
      </c>
      <c r="F12" s="1757">
        <f>(C12+D12)-E12</f>
        <v>2672300</v>
      </c>
      <c r="G12" s="840">
        <v>10</v>
      </c>
      <c r="H12" s="762">
        <v>1836440</v>
      </c>
      <c r="I12" s="762">
        <v>267227</v>
      </c>
      <c r="J12" s="762">
        <v>466239</v>
      </c>
      <c r="K12" s="1766">
        <f>(H12+I12)-J12</f>
        <v>1637428</v>
      </c>
      <c r="L12" s="1766">
        <f>F12-K12</f>
        <v>1034872</v>
      </c>
    </row>
    <row r="13" spans="1:14" ht="14.25" thickTop="1" thickBot="1" x14ac:dyDescent="0.25">
      <c r="A13" s="845" t="s">
        <v>1122</v>
      </c>
      <c r="B13" s="837">
        <v>252</v>
      </c>
      <c r="C13" s="841">
        <v>1648826</v>
      </c>
      <c r="D13" s="841">
        <v>148010</v>
      </c>
      <c r="E13" s="841">
        <v>115600</v>
      </c>
      <c r="F13" s="1757">
        <f>(C13+D13)-E13</f>
        <v>1681236</v>
      </c>
      <c r="G13" s="840">
        <v>5</v>
      </c>
      <c r="H13" s="762">
        <v>1478051</v>
      </c>
      <c r="I13" s="762">
        <v>108367</v>
      </c>
      <c r="J13" s="762">
        <v>115600</v>
      </c>
      <c r="K13" s="1766">
        <f>(H13+I13)-J13</f>
        <v>1470818</v>
      </c>
      <c r="L13" s="1766">
        <f>F13-K13</f>
        <v>210418</v>
      </c>
    </row>
    <row r="14" spans="1:14" ht="14.25" thickTop="1" thickBot="1" x14ac:dyDescent="0.25">
      <c r="A14" s="845" t="s">
        <v>1123</v>
      </c>
      <c r="B14" s="837">
        <v>253</v>
      </c>
      <c r="C14" s="762">
        <v>4052</v>
      </c>
      <c r="D14" s="762">
        <v>19212</v>
      </c>
      <c r="E14" s="762"/>
      <c r="F14" s="1757">
        <f>(C14+D14)-E14</f>
        <v>23264</v>
      </c>
      <c r="G14" s="840">
        <v>3</v>
      </c>
      <c r="H14" s="762">
        <v>2702</v>
      </c>
      <c r="I14" s="762">
        <v>7754</v>
      </c>
      <c r="J14" s="762"/>
      <c r="K14" s="1766">
        <f>(H14+I14)-J14</f>
        <v>10456</v>
      </c>
      <c r="L14" s="1766">
        <f>F14-K14</f>
        <v>12808</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27683339</v>
      </c>
      <c r="D16" s="1757">
        <f>SUM(D3,D5:D6,D8:D10,D12:D15)</f>
        <v>580303</v>
      </c>
      <c r="E16" s="1757">
        <f>SUM(E3,E5:E6,E8:E10,E12:E15)</f>
        <v>581839</v>
      </c>
      <c r="F16" s="1757">
        <f>SUM(F3,F5:F6,F8:F10,F12:F15)</f>
        <v>27681803</v>
      </c>
      <c r="G16" s="840"/>
      <c r="H16" s="1757">
        <f>SUM(H3,H6,H8:H10,H12:H14,)</f>
        <v>14877062</v>
      </c>
      <c r="I16" s="1757">
        <f>SUM(I3,I6,I8:I10,I12:I14,)</f>
        <v>918503</v>
      </c>
      <c r="J16" s="1757">
        <f>SUM(J3,J6,J8:J10,J12:J14,)</f>
        <v>581839</v>
      </c>
      <c r="K16" s="1757">
        <f>(H16+I16)-J16</f>
        <v>15213726</v>
      </c>
      <c r="L16" s="1757">
        <f>F16-K16</f>
        <v>12468077</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918503</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F17" sqref="F17"/>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78" t="s">
        <v>1971</v>
      </c>
      <c r="B1" s="2379"/>
      <c r="C1" s="2379"/>
      <c r="D1" s="2379"/>
      <c r="E1" s="2379"/>
      <c r="F1" s="2380"/>
      <c r="G1" s="852"/>
    </row>
    <row r="2" spans="1:7" ht="15" customHeight="1" thickBot="1" x14ac:dyDescent="0.25">
      <c r="A2" s="2381" t="s">
        <v>477</v>
      </c>
      <c r="B2" s="2382"/>
      <c r="C2" s="2382"/>
      <c r="D2" s="2382"/>
      <c r="E2" s="2382"/>
      <c r="F2" s="2383"/>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384"/>
      <c r="B5" s="2385"/>
      <c r="C5" s="2385"/>
      <c r="D5" s="2385"/>
      <c r="E5" s="2385"/>
      <c r="F5" s="2385"/>
    </row>
    <row r="6" spans="1:7" ht="13.5" customHeight="1" thickBot="1" x14ac:dyDescent="0.25">
      <c r="A6" s="2375" t="s">
        <v>1104</v>
      </c>
      <c r="B6" s="2376"/>
      <c r="C6" s="2376"/>
      <c r="D6" s="2376"/>
      <c r="E6" s="2376"/>
      <c r="F6" s="2377"/>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3">
        <f>'Expenditures 15-22'!K114</f>
        <v>12741192</v>
      </c>
      <c r="G8" s="862"/>
    </row>
    <row r="9" spans="1:7" x14ac:dyDescent="0.2">
      <c r="A9" s="866" t="s">
        <v>460</v>
      </c>
      <c r="B9" s="867" t="s">
        <v>1873</v>
      </c>
      <c r="C9" s="868"/>
      <c r="D9" s="866" t="s">
        <v>501</v>
      </c>
      <c r="E9" s="865"/>
      <c r="F9" s="1904">
        <f>'Expenditures 15-22'!K151</f>
        <v>808525</v>
      </c>
      <c r="G9" s="869"/>
    </row>
    <row r="10" spans="1:7" x14ac:dyDescent="0.2">
      <c r="A10" s="866" t="s">
        <v>499</v>
      </c>
      <c r="B10" s="867" t="s">
        <v>1874</v>
      </c>
      <c r="C10" s="868"/>
      <c r="D10" s="866" t="s">
        <v>501</v>
      </c>
      <c r="E10" s="865"/>
      <c r="F10" s="1904">
        <f>'Expenditures 15-22'!K174</f>
        <v>1182187</v>
      </c>
      <c r="G10" s="869"/>
    </row>
    <row r="11" spans="1:7" x14ac:dyDescent="0.2">
      <c r="A11" s="866" t="s">
        <v>461</v>
      </c>
      <c r="B11" s="867" t="s">
        <v>1875</v>
      </c>
      <c r="C11" s="868"/>
      <c r="D11" s="866" t="s">
        <v>501</v>
      </c>
      <c r="E11" s="865"/>
      <c r="F11" s="1904">
        <f>'Expenditures 15-22'!K210</f>
        <v>636439</v>
      </c>
      <c r="G11" s="869"/>
    </row>
    <row r="12" spans="1:7" x14ac:dyDescent="0.2">
      <c r="A12" s="866" t="s">
        <v>462</v>
      </c>
      <c r="B12" s="867" t="s">
        <v>1876</v>
      </c>
      <c r="C12" s="868"/>
      <c r="D12" s="866" t="s">
        <v>501</v>
      </c>
      <c r="E12" s="865"/>
      <c r="F12" s="1904">
        <f>'Expenditures 15-22'!K295</f>
        <v>449579</v>
      </c>
      <c r="G12" s="869"/>
    </row>
    <row r="13" spans="1:7" x14ac:dyDescent="0.2">
      <c r="A13" s="866" t="s">
        <v>106</v>
      </c>
      <c r="B13" s="867" t="s">
        <v>1877</v>
      </c>
      <c r="C13" s="868"/>
      <c r="D13" s="866" t="s">
        <v>501</v>
      </c>
      <c r="E13" s="865"/>
      <c r="F13" s="1904">
        <f>'Expenditures 15-22'!K342</f>
        <v>466534</v>
      </c>
      <c r="G13" s="870"/>
    </row>
    <row r="14" spans="1:7" ht="12" customHeight="1" thickBot="1" x14ac:dyDescent="0.25">
      <c r="A14" s="1767"/>
      <c r="B14" s="1768"/>
      <c r="C14" s="1769"/>
      <c r="D14" s="1770" t="s">
        <v>501</v>
      </c>
      <c r="E14" s="1771" t="s">
        <v>958</v>
      </c>
      <c r="F14" s="1772">
        <f>SUM(F8:F13)</f>
        <v>16284456</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5">
        <f>'Revenues 9-14'!F43</f>
        <v>0</v>
      </c>
      <c r="G18" s="862"/>
    </row>
    <row r="19" spans="1:7" x14ac:dyDescent="0.2">
      <c r="A19" s="866" t="s">
        <v>461</v>
      </c>
      <c r="B19" s="867" t="s">
        <v>1011</v>
      </c>
      <c r="C19" s="874">
        <f>'Revenues 9-14'!B47</f>
        <v>1421</v>
      </c>
      <c r="D19" s="875" t="str">
        <f>'Revenues 9-14'!A47</f>
        <v>Summer Sch - Transp. Fees from Pupils or Parents (In State)</v>
      </c>
      <c r="E19" s="876"/>
      <c r="F19" s="1906">
        <f>'Revenues 9-14'!F47</f>
        <v>0</v>
      </c>
      <c r="G19" s="862"/>
    </row>
    <row r="20" spans="1:7" x14ac:dyDescent="0.2">
      <c r="A20" s="866" t="s">
        <v>461</v>
      </c>
      <c r="B20" s="867" t="s">
        <v>1012</v>
      </c>
      <c r="C20" s="872">
        <f>'Revenues 9-14'!B48</f>
        <v>1422</v>
      </c>
      <c r="D20" s="873" t="str">
        <f>'Revenues 9-14'!A48</f>
        <v>Summer Sch - Transp. Fees from Other Districts (In State)</v>
      </c>
      <c r="E20" s="865"/>
      <c r="F20" s="1907">
        <f>'Revenues 9-14'!F48</f>
        <v>0</v>
      </c>
      <c r="G20" s="862"/>
    </row>
    <row r="21" spans="1:7" x14ac:dyDescent="0.2">
      <c r="A21" s="866" t="s">
        <v>461</v>
      </c>
      <c r="B21" s="867" t="s">
        <v>1013</v>
      </c>
      <c r="C21" s="874">
        <f>'Revenues 9-14'!B49</f>
        <v>1423</v>
      </c>
      <c r="D21" s="873" t="str">
        <f>'Revenues 9-14'!A49</f>
        <v>Summer Sch - Transp. Fees from Other Sources (In State)</v>
      </c>
      <c r="E21" s="865"/>
      <c r="F21" s="1908">
        <f>'Revenues 9-14'!F49</f>
        <v>0</v>
      </c>
      <c r="G21" s="862"/>
    </row>
    <row r="22" spans="1:7" x14ac:dyDescent="0.2">
      <c r="A22" s="866" t="s">
        <v>461</v>
      </c>
      <c r="B22" s="867" t="s">
        <v>1014</v>
      </c>
      <c r="C22" s="874">
        <f>'Revenues 9-14'!B50</f>
        <v>1424</v>
      </c>
      <c r="D22" s="873" t="str">
        <f>'Revenues 9-14'!A50</f>
        <v>Summer Sch - Transp. Fees from Other Sources (Out of State)</v>
      </c>
      <c r="E22" s="865"/>
      <c r="F22" s="1908">
        <f>'Revenues 9-14'!F50</f>
        <v>0</v>
      </c>
      <c r="G22" s="862"/>
    </row>
    <row r="23" spans="1:7" x14ac:dyDescent="0.2">
      <c r="A23" s="866" t="s">
        <v>461</v>
      </c>
      <c r="B23" s="867" t="s">
        <v>1015</v>
      </c>
      <c r="C23" s="872">
        <f>'Revenues 9-14'!B52</f>
        <v>1432</v>
      </c>
      <c r="D23" s="873" t="str">
        <f>'Revenues 9-14'!A52</f>
        <v>CTE - Transp Fees from Other Districts (In State)</v>
      </c>
      <c r="E23" s="865"/>
      <c r="F23" s="1908">
        <f>'Revenues 9-14'!F52</f>
        <v>0</v>
      </c>
      <c r="G23" s="862"/>
    </row>
    <row r="24" spans="1:7" x14ac:dyDescent="0.2">
      <c r="A24" s="866" t="s">
        <v>461</v>
      </c>
      <c r="B24" s="867" t="s">
        <v>1016</v>
      </c>
      <c r="C24" s="872">
        <f>'Revenues 9-14'!B56</f>
        <v>1442</v>
      </c>
      <c r="D24" s="873" t="str">
        <f>'Revenues 9-14'!A56</f>
        <v>Special Ed - Transp Fees from Other Districts (In State)</v>
      </c>
      <c r="E24" s="865"/>
      <c r="F24" s="1908">
        <f>'Revenues 9-14'!F56</f>
        <v>0</v>
      </c>
      <c r="G24" s="862"/>
    </row>
    <row r="25" spans="1:7" x14ac:dyDescent="0.2">
      <c r="A25" s="866" t="s">
        <v>461</v>
      </c>
      <c r="B25" s="867" t="s">
        <v>1017</v>
      </c>
      <c r="C25" s="872">
        <f>'Revenues 9-14'!B59</f>
        <v>1451</v>
      </c>
      <c r="D25" s="873" t="str">
        <f>'Revenues 9-14'!A59</f>
        <v>Adult - Transp Fees from Pupils or Parents (In State)</v>
      </c>
      <c r="E25" s="865"/>
      <c r="F25" s="1908">
        <f>'Revenues 9-14'!F59</f>
        <v>0</v>
      </c>
      <c r="G25" s="862"/>
    </row>
    <row r="26" spans="1:7" x14ac:dyDescent="0.2">
      <c r="A26" s="866" t="s">
        <v>461</v>
      </c>
      <c r="B26" s="867" t="s">
        <v>1018</v>
      </c>
      <c r="C26" s="872">
        <f>'Revenues 9-14'!B60</f>
        <v>1452</v>
      </c>
      <c r="D26" s="873" t="str">
        <f>'Revenues 9-14'!A60</f>
        <v>Adult - Transp Fees from Other Districts (In State)</v>
      </c>
      <c r="E26" s="865"/>
      <c r="F26" s="1908">
        <f>'Revenues 9-14'!F60</f>
        <v>0</v>
      </c>
      <c r="G26" s="862"/>
    </row>
    <row r="27" spans="1:7" x14ac:dyDescent="0.2">
      <c r="A27" s="866" t="s">
        <v>461</v>
      </c>
      <c r="B27" s="867" t="s">
        <v>1019</v>
      </c>
      <c r="C27" s="872">
        <f>'Revenues 9-14'!B61</f>
        <v>1453</v>
      </c>
      <c r="D27" s="873" t="str">
        <f>'Revenues 9-14'!A61</f>
        <v>Adult - Transp Fees from Other Sources (In State)</v>
      </c>
      <c r="E27" s="865"/>
      <c r="F27" s="1908">
        <f>'Revenues 9-14'!F61</f>
        <v>0</v>
      </c>
      <c r="G27" s="862"/>
    </row>
    <row r="28" spans="1:7" x14ac:dyDescent="0.2">
      <c r="A28" s="866" t="s">
        <v>461</v>
      </c>
      <c r="B28" s="867" t="s">
        <v>1020</v>
      </c>
      <c r="C28" s="872">
        <f>'Revenues 9-14'!B62</f>
        <v>1454</v>
      </c>
      <c r="D28" s="873" t="str">
        <f>'Revenues 9-14'!A62</f>
        <v>Adult - Transp Fees from Other Sources (Out of State)</v>
      </c>
      <c r="E28" s="865"/>
      <c r="F28" s="1908">
        <f>'Revenues 9-14'!F62</f>
        <v>0</v>
      </c>
      <c r="G28" s="862"/>
    </row>
    <row r="29" spans="1:7" x14ac:dyDescent="0.2">
      <c r="A29" s="866" t="s">
        <v>1097</v>
      </c>
      <c r="B29" s="867" t="s">
        <v>810</v>
      </c>
      <c r="C29" s="877">
        <f>'Revenues 9-14'!B149</f>
        <v>3410</v>
      </c>
      <c r="D29" s="878" t="str">
        <f>'Revenues 9-14'!A149</f>
        <v>Adult Ed (from ICCB)</v>
      </c>
      <c r="E29" s="865"/>
      <c r="F29" s="1908">
        <f>SUM('Revenues 9-14'!D149,'Revenues 9-14'!F149)</f>
        <v>0</v>
      </c>
      <c r="G29" s="862"/>
    </row>
    <row r="30" spans="1:7" x14ac:dyDescent="0.2">
      <c r="A30" s="866" t="s">
        <v>1097</v>
      </c>
      <c r="B30" s="867" t="s">
        <v>1995</v>
      </c>
      <c r="C30" s="877">
        <f>'Revenues 9-14'!B150</f>
        <v>3499</v>
      </c>
      <c r="D30" s="878" t="str">
        <f>'Revenues 9-14'!A150</f>
        <v>Adult Ed - Other (Describe &amp; Itemize)</v>
      </c>
      <c r="E30" s="865"/>
      <c r="F30" s="1909">
        <f>('Revenues 9-14'!D150+'Revenues 9-14'!F150)</f>
        <v>0</v>
      </c>
      <c r="G30" s="862"/>
    </row>
    <row r="31" spans="1:7" x14ac:dyDescent="0.2">
      <c r="A31" s="866" t="s">
        <v>1097</v>
      </c>
      <c r="B31" s="867" t="s">
        <v>1996</v>
      </c>
      <c r="C31" s="872">
        <f>'Revenues 9-14'!B211</f>
        <v>4600</v>
      </c>
      <c r="D31" s="880" t="str">
        <f>'Revenues 9-14'!A211</f>
        <v>Fed - Spec Education - Preschool Flow-Through</v>
      </c>
      <c r="E31" s="881"/>
      <c r="F31" s="1908">
        <f>SUM('Revenues 9-14'!D211,'Revenues 9-14'!F211)</f>
        <v>0</v>
      </c>
      <c r="G31" s="862"/>
    </row>
    <row r="32" spans="1:7" x14ac:dyDescent="0.2">
      <c r="A32" s="866" t="s">
        <v>1097</v>
      </c>
      <c r="B32" s="867" t="s">
        <v>1997</v>
      </c>
      <c r="C32" s="872">
        <f>'Revenues 9-14'!B212</f>
        <v>4605</v>
      </c>
      <c r="D32" s="882" t="str">
        <f>'Revenues 9-14'!A212</f>
        <v>Fed - Spec Education - Preschool Discretionary</v>
      </c>
      <c r="E32" s="881"/>
      <c r="F32" s="1908">
        <f>SUM('Revenues 9-14'!D212,'Revenues 9-14'!F212)</f>
        <v>0</v>
      </c>
      <c r="G32" s="862"/>
    </row>
    <row r="33" spans="1:7" x14ac:dyDescent="0.2">
      <c r="A33" s="866" t="s">
        <v>460</v>
      </c>
      <c r="B33" s="867" t="s">
        <v>1998</v>
      </c>
      <c r="C33" s="872">
        <f>'Revenues 9-14'!B222</f>
        <v>4810</v>
      </c>
      <c r="D33" s="880" t="str">
        <f>'Revenues 9-14'!A222</f>
        <v>Federal - Adult Education</v>
      </c>
      <c r="E33" s="865"/>
      <c r="F33" s="1908">
        <f>'Revenues 9-14'!D222</f>
        <v>0</v>
      </c>
      <c r="G33" s="862"/>
    </row>
    <row r="34" spans="1:7" x14ac:dyDescent="0.2">
      <c r="A34" s="866" t="s">
        <v>459</v>
      </c>
      <c r="B34" s="866" t="s">
        <v>1469</v>
      </c>
      <c r="C34" s="883" t="str">
        <f>'Expenditures 15-22'!B7</f>
        <v>1125</v>
      </c>
      <c r="D34" s="884" t="str">
        <f>'Expenditures 15-22'!A7</f>
        <v>Pre-K Programs</v>
      </c>
      <c r="E34" s="865"/>
      <c r="F34" s="1908">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08">
        <f>'Expenditures 15-22'!K9-SUM('Expenditures 15-22'!G9+'Expenditures 15-22'!I9)</f>
        <v>125557</v>
      </c>
      <c r="G35" s="862"/>
    </row>
    <row r="36" spans="1:7" x14ac:dyDescent="0.2">
      <c r="A36" s="866" t="s">
        <v>459</v>
      </c>
      <c r="B36" s="866" t="s">
        <v>116</v>
      </c>
      <c r="C36" s="883" t="str">
        <f>'Expenditures 15-22'!B11</f>
        <v>1275</v>
      </c>
      <c r="D36" s="884" t="str">
        <f>'Expenditures 15-22'!A11</f>
        <v>Remedial and Supplemental Programs Pre-K</v>
      </c>
      <c r="E36" s="865"/>
      <c r="F36" s="1908">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08">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08">
        <f>'Expenditures 15-22'!K15-SUM('Expenditures 15-22'!G15,'Expenditures 15-22'!I15)</f>
        <v>1268</v>
      </c>
      <c r="G38" s="862"/>
    </row>
    <row r="39" spans="1:7" x14ac:dyDescent="0.2">
      <c r="A39" s="866" t="s">
        <v>459</v>
      </c>
      <c r="B39" s="866" t="s">
        <v>117</v>
      </c>
      <c r="C39" s="883" t="str">
        <f>'Expenditures 15-22'!B20</f>
        <v>1910</v>
      </c>
      <c r="D39" s="885" t="str">
        <f>'Expenditures 15-22'!A20</f>
        <v>Pre-K Programs - Private Tuition</v>
      </c>
      <c r="E39" s="865"/>
      <c r="F39" s="1908">
        <f>'Expenditures 15-22'!K20</f>
        <v>0</v>
      </c>
      <c r="G39" s="862"/>
    </row>
    <row r="40" spans="1:7" x14ac:dyDescent="0.2">
      <c r="A40" s="866" t="s">
        <v>459</v>
      </c>
      <c r="B40" s="866" t="s">
        <v>118</v>
      </c>
      <c r="C40" s="883" t="str">
        <f>'Expenditures 15-22'!B21</f>
        <v>1911</v>
      </c>
      <c r="D40" s="885" t="str">
        <f>'Expenditures 15-22'!A21</f>
        <v>Regular K-12 Programs - Private Tuition</v>
      </c>
      <c r="E40" s="865"/>
      <c r="F40" s="1908">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08">
        <f>'Expenditures 15-22'!K22</f>
        <v>25289</v>
      </c>
      <c r="G41" s="862"/>
    </row>
    <row r="42" spans="1:7" x14ac:dyDescent="0.2">
      <c r="A42" s="866" t="s">
        <v>459</v>
      </c>
      <c r="B42" s="866" t="s">
        <v>120</v>
      </c>
      <c r="C42" s="886" t="str">
        <f>'Expenditures 15-22'!B23</f>
        <v>1913</v>
      </c>
      <c r="D42" s="885" t="str">
        <f>'Expenditures 15-22'!A23</f>
        <v>Special Education Programs Pre-K - Tuition</v>
      </c>
      <c r="E42" s="865"/>
      <c r="F42" s="1908">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08">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08">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08">
        <f>'Expenditures 15-22'!K26</f>
        <v>0</v>
      </c>
      <c r="G45" s="862"/>
    </row>
    <row r="46" spans="1:7" x14ac:dyDescent="0.2">
      <c r="A46" s="866" t="s">
        <v>459</v>
      </c>
      <c r="B46" s="866" t="s">
        <v>124</v>
      </c>
      <c r="C46" s="883" t="str">
        <f>'Expenditures 15-22'!B27</f>
        <v>1917</v>
      </c>
      <c r="D46" s="885" t="str">
        <f>'Expenditures 15-22'!A27</f>
        <v>CTE Programs - Private Tuition</v>
      </c>
      <c r="E46" s="865"/>
      <c r="F46" s="1908">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08">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08">
        <f>'Expenditures 15-22'!K29</f>
        <v>0</v>
      </c>
      <c r="G48" s="862"/>
    </row>
    <row r="49" spans="1:7" x14ac:dyDescent="0.2">
      <c r="A49" s="866" t="s">
        <v>459</v>
      </c>
      <c r="B49" s="866" t="s">
        <v>127</v>
      </c>
      <c r="C49" s="883" t="str">
        <f>'Expenditures 15-22'!B30</f>
        <v>1920</v>
      </c>
      <c r="D49" s="885" t="str">
        <f>'Expenditures 15-22'!A30</f>
        <v>Gifted Programs - Private Tuition</v>
      </c>
      <c r="E49" s="865"/>
      <c r="F49" s="1908">
        <f>'Expenditures 15-22'!K30</f>
        <v>0</v>
      </c>
      <c r="G49" s="862"/>
    </row>
    <row r="50" spans="1:7" x14ac:dyDescent="0.2">
      <c r="A50" s="866" t="s">
        <v>459</v>
      </c>
      <c r="B50" s="866" t="s">
        <v>128</v>
      </c>
      <c r="C50" s="883" t="str">
        <f>'Expenditures 15-22'!B31</f>
        <v>1921</v>
      </c>
      <c r="D50" s="885" t="str">
        <f>'Expenditures 15-22'!A31</f>
        <v>Bilingual Programs - Private Tuition</v>
      </c>
      <c r="E50" s="865"/>
      <c r="F50" s="1908">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08">
        <f>'Expenditures 15-22'!K32</f>
        <v>0</v>
      </c>
      <c r="G51" s="862"/>
    </row>
    <row r="52" spans="1:7" x14ac:dyDescent="0.2">
      <c r="A52" s="866" t="s">
        <v>459</v>
      </c>
      <c r="B52" s="866" t="s">
        <v>1474</v>
      </c>
      <c r="C52" s="886" t="str">
        <f>'Expenditures 15-22'!B75</f>
        <v>3000</v>
      </c>
      <c r="D52" s="885" t="s">
        <v>449</v>
      </c>
      <c r="E52" s="865"/>
      <c r="F52" s="1908">
        <f>'Expenditures 15-22'!K75-SUM('Expenditures 15-22'!G75,'Expenditures 15-22'!I75)</f>
        <v>564</v>
      </c>
      <c r="G52" s="862"/>
    </row>
    <row r="53" spans="1:7" x14ac:dyDescent="0.2">
      <c r="A53" s="866" t="s">
        <v>459</v>
      </c>
      <c r="B53" s="866" t="s">
        <v>1475</v>
      </c>
      <c r="C53" s="886">
        <f>'Expenditures 15-22'!B102</f>
        <v>4000</v>
      </c>
      <c r="D53" s="885" t="str">
        <f>'Expenditures 15-22'!A102</f>
        <v>Total Payments to Other Govt Units</v>
      </c>
      <c r="E53" s="865"/>
      <c r="F53" s="1908">
        <f>'Expenditures 15-22'!K102</f>
        <v>847860</v>
      </c>
      <c r="G53" s="862"/>
    </row>
    <row r="54" spans="1:7" x14ac:dyDescent="0.2">
      <c r="A54" s="866" t="s">
        <v>459</v>
      </c>
      <c r="B54" s="866" t="s">
        <v>1476</v>
      </c>
      <c r="C54" s="886" t="s">
        <v>982</v>
      </c>
      <c r="D54" s="882" t="s">
        <v>1095</v>
      </c>
      <c r="E54" s="865"/>
      <c r="F54" s="1908">
        <f>'Expenditures 15-22'!G114</f>
        <v>259214</v>
      </c>
      <c r="G54" s="862"/>
    </row>
    <row r="55" spans="1:7" x14ac:dyDescent="0.2">
      <c r="A55" s="866" t="s">
        <v>459</v>
      </c>
      <c r="B55" s="866" t="s">
        <v>1477</v>
      </c>
      <c r="C55" s="886" t="s">
        <v>982</v>
      </c>
      <c r="D55" s="882" t="s">
        <v>291</v>
      </c>
      <c r="E55" s="865"/>
      <c r="F55" s="1908">
        <f>'Expenditures 15-22'!I114</f>
        <v>0</v>
      </c>
      <c r="G55" s="862"/>
    </row>
    <row r="56" spans="1:7" x14ac:dyDescent="0.2">
      <c r="A56" s="866" t="s">
        <v>460</v>
      </c>
      <c r="B56" s="866" t="s">
        <v>1478</v>
      </c>
      <c r="C56" s="883" t="str">
        <f>'Expenditures 15-22'!B130</f>
        <v>3000</v>
      </c>
      <c r="D56" s="889" t="s">
        <v>449</v>
      </c>
      <c r="E56" s="865"/>
      <c r="F56" s="1908">
        <f>'Expenditures 15-22'!K130-SUM('Expenditures 15-22'!G130+'Expenditures 15-22'!I130)</f>
        <v>0</v>
      </c>
      <c r="G56" s="862"/>
    </row>
    <row r="57" spans="1:7" x14ac:dyDescent="0.2">
      <c r="A57" s="866" t="s">
        <v>460</v>
      </c>
      <c r="B57" s="866" t="s">
        <v>1878</v>
      </c>
      <c r="C57" s="886">
        <f>'Expenditures 15-22'!B139</f>
        <v>4000</v>
      </c>
      <c r="D57" s="884" t="str">
        <f>'Expenditures 15-22'!A139</f>
        <v>Total Payments to Other Govt Units</v>
      </c>
      <c r="E57" s="865"/>
      <c r="F57" s="1908">
        <f>'Expenditures 15-22'!K139</f>
        <v>13056</v>
      </c>
      <c r="G57" s="862"/>
    </row>
    <row r="58" spans="1:7" x14ac:dyDescent="0.2">
      <c r="A58" s="866" t="s">
        <v>460</v>
      </c>
      <c r="B58" s="866" t="s">
        <v>1879</v>
      </c>
      <c r="C58" s="883" t="s">
        <v>982</v>
      </c>
      <c r="D58" s="882" t="s">
        <v>1095</v>
      </c>
      <c r="E58" s="865"/>
      <c r="F58" s="1910">
        <f>'Expenditures 15-22'!G151</f>
        <v>80247</v>
      </c>
      <c r="G58" s="862"/>
    </row>
    <row r="59" spans="1:7" x14ac:dyDescent="0.2">
      <c r="A59" s="890" t="s">
        <v>460</v>
      </c>
      <c r="B59" s="853" t="s">
        <v>1880</v>
      </c>
      <c r="C59" s="891" t="s">
        <v>982</v>
      </c>
      <c r="D59" s="853" t="s">
        <v>291</v>
      </c>
      <c r="F59" s="1911">
        <f>'Expenditures 15-22'!I151</f>
        <v>0</v>
      </c>
      <c r="G59" s="862"/>
    </row>
    <row r="60" spans="1:7" x14ac:dyDescent="0.2">
      <c r="A60" s="890" t="s">
        <v>499</v>
      </c>
      <c r="B60" s="853" t="s">
        <v>1881</v>
      </c>
      <c r="C60" s="891">
        <v>4000</v>
      </c>
      <c r="D60" s="853" t="s">
        <v>312</v>
      </c>
      <c r="F60" s="1909">
        <f>'Expenditures 15-22'!K160</f>
        <v>0</v>
      </c>
      <c r="G60" s="862"/>
    </row>
    <row r="61" spans="1:7" x14ac:dyDescent="0.2">
      <c r="A61" s="892" t="s">
        <v>499</v>
      </c>
      <c r="B61" s="892" t="s">
        <v>1882</v>
      </c>
      <c r="C61" s="893" t="str">
        <f>'Expenditures 15-22'!B170</f>
        <v>5300</v>
      </c>
      <c r="D61" s="894" t="s">
        <v>311</v>
      </c>
      <c r="E61" s="876"/>
      <c r="F61" s="1908">
        <f>'Expenditures 15-22'!K170</f>
        <v>1105305</v>
      </c>
      <c r="G61" s="862"/>
    </row>
    <row r="62" spans="1:7" x14ac:dyDescent="0.2">
      <c r="A62" s="866" t="s">
        <v>461</v>
      </c>
      <c r="B62" s="866" t="s">
        <v>1883</v>
      </c>
      <c r="C62" s="883">
        <f>'Expenditures 15-22'!B185</f>
        <v>3000</v>
      </c>
      <c r="D62" s="873" t="s">
        <v>449</v>
      </c>
      <c r="E62" s="865"/>
      <c r="F62" s="1908">
        <f>'Expenditures 15-22'!K185-SUM('Expenditures 15-22'!G185,'Expenditures 15-22'!I185)</f>
        <v>0</v>
      </c>
      <c r="G62" s="862"/>
    </row>
    <row r="63" spans="1:7" x14ac:dyDescent="0.2">
      <c r="A63" s="866" t="s">
        <v>461</v>
      </c>
      <c r="B63" s="866" t="s">
        <v>1884</v>
      </c>
      <c r="C63" s="883" t="str">
        <f>'Expenditures 15-22'!B196</f>
        <v>4000</v>
      </c>
      <c r="D63" s="884" t="str">
        <f>'Expenditures 15-22'!A196</f>
        <v>Total Payments to Other Govt Units</v>
      </c>
      <c r="E63" s="865"/>
      <c r="F63" s="1908">
        <f>'Expenditures 15-22'!K196</f>
        <v>0</v>
      </c>
      <c r="G63" s="862"/>
    </row>
    <row r="64" spans="1:7" x14ac:dyDescent="0.2">
      <c r="A64" s="892" t="s">
        <v>461</v>
      </c>
      <c r="B64" s="892" t="s">
        <v>1885</v>
      </c>
      <c r="C64" s="893" t="str">
        <f>'Expenditures 15-22'!B206</f>
        <v>5300</v>
      </c>
      <c r="D64" s="889" t="s">
        <v>311</v>
      </c>
      <c r="E64" s="865"/>
      <c r="F64" s="1908">
        <f>'Expenditures 15-22'!K206</f>
        <v>0</v>
      </c>
      <c r="G64" s="862"/>
    </row>
    <row r="65" spans="1:8" x14ac:dyDescent="0.2">
      <c r="A65" s="866" t="s">
        <v>461</v>
      </c>
      <c r="B65" s="866" t="s">
        <v>1886</v>
      </c>
      <c r="C65" s="883" t="s">
        <v>982</v>
      </c>
      <c r="D65" s="882" t="s">
        <v>1095</v>
      </c>
      <c r="E65" s="865"/>
      <c r="F65" s="1908">
        <f>'Expenditures 15-22'!G210</f>
        <v>130500</v>
      </c>
      <c r="G65" s="862"/>
    </row>
    <row r="66" spans="1:8" x14ac:dyDescent="0.2">
      <c r="A66" s="866" t="s">
        <v>461</v>
      </c>
      <c r="B66" s="866" t="s">
        <v>1887</v>
      </c>
      <c r="C66" s="883" t="s">
        <v>982</v>
      </c>
      <c r="D66" s="882" t="s">
        <v>291</v>
      </c>
      <c r="E66" s="865"/>
      <c r="F66" s="1908">
        <f>'Expenditures 15-22'!I210</f>
        <v>0</v>
      </c>
      <c r="G66" s="862"/>
    </row>
    <row r="67" spans="1:8" x14ac:dyDescent="0.2">
      <c r="A67" s="866" t="s">
        <v>462</v>
      </c>
      <c r="B67" s="866" t="s">
        <v>1888</v>
      </c>
      <c r="C67" s="883" t="str">
        <f>'Expenditures 15-22'!B216</f>
        <v>1125</v>
      </c>
      <c r="D67" s="889" t="str">
        <f>'Expenditures 15-22'!A216</f>
        <v>Pre-K Programs</v>
      </c>
      <c r="E67" s="865"/>
      <c r="F67" s="1908">
        <f>'Expenditures 15-22'!K216</f>
        <v>0</v>
      </c>
      <c r="G67" s="862"/>
    </row>
    <row r="68" spans="1:8" x14ac:dyDescent="0.2">
      <c r="A68" s="866" t="s">
        <v>462</v>
      </c>
      <c r="B68" s="866" t="s">
        <v>1479</v>
      </c>
      <c r="C68" s="883" t="str">
        <f>'Expenditures 15-22'!B218</f>
        <v>1225</v>
      </c>
      <c r="D68" s="889" t="str">
        <f>'Expenditures 15-22'!A218</f>
        <v>Special Education Programs - Pre-K</v>
      </c>
      <c r="E68" s="865"/>
      <c r="F68" s="1908">
        <f>'Expenditures 15-22'!K218</f>
        <v>4222</v>
      </c>
      <c r="G68" s="862"/>
    </row>
    <row r="69" spans="1:8" x14ac:dyDescent="0.2">
      <c r="A69" s="866" t="s">
        <v>462</v>
      </c>
      <c r="B69" s="866" t="s">
        <v>1889</v>
      </c>
      <c r="C69" s="883" t="str">
        <f>'Expenditures 15-22'!B220</f>
        <v>1275</v>
      </c>
      <c r="D69" s="889" t="str">
        <f>'Expenditures 15-22'!A220</f>
        <v>Remedial and Supplemental Programs - Pre-K</v>
      </c>
      <c r="E69" s="865"/>
      <c r="F69" s="1908">
        <f>'Expenditures 15-22'!K220</f>
        <v>0</v>
      </c>
      <c r="G69" s="862"/>
    </row>
    <row r="70" spans="1:8" x14ac:dyDescent="0.2">
      <c r="A70" s="866" t="s">
        <v>462</v>
      </c>
      <c r="B70" s="866" t="s">
        <v>1890</v>
      </c>
      <c r="C70" s="883">
        <f>'Expenditures 15-22'!B221</f>
        <v>1300</v>
      </c>
      <c r="D70" s="884" t="str">
        <f>'Expenditures 15-22'!A221</f>
        <v>Adult/Continuing Education Programs</v>
      </c>
      <c r="E70" s="865"/>
      <c r="F70" s="1908">
        <f>'Expenditures 15-22'!K221</f>
        <v>0</v>
      </c>
      <c r="G70" s="862"/>
    </row>
    <row r="71" spans="1:8" x14ac:dyDescent="0.2">
      <c r="A71" s="866" t="s">
        <v>462</v>
      </c>
      <c r="B71" s="866" t="s">
        <v>1891</v>
      </c>
      <c r="C71" s="883">
        <f>'Expenditures 15-22'!B224</f>
        <v>1600</v>
      </c>
      <c r="D71" s="884" t="str">
        <f>'Expenditures 15-22'!A224</f>
        <v>Summer School Programs</v>
      </c>
      <c r="E71" s="865"/>
      <c r="F71" s="1908">
        <f>'Expenditures 15-22'!K224</f>
        <v>19</v>
      </c>
      <c r="G71" s="862"/>
    </row>
    <row r="72" spans="1:8" x14ac:dyDescent="0.2">
      <c r="A72" s="866" t="s">
        <v>462</v>
      </c>
      <c r="B72" s="866" t="s">
        <v>1892</v>
      </c>
      <c r="C72" s="883">
        <f>'Expenditures 15-22'!B280</f>
        <v>3000</v>
      </c>
      <c r="D72" s="873" t="s">
        <v>449</v>
      </c>
      <c r="E72" s="865"/>
      <c r="F72" s="1908">
        <f>'Expenditures 15-22'!K280</f>
        <v>0</v>
      </c>
      <c r="G72" s="862"/>
    </row>
    <row r="73" spans="1:8" x14ac:dyDescent="0.2">
      <c r="A73" s="866" t="s">
        <v>462</v>
      </c>
      <c r="B73" s="866" t="s">
        <v>1893</v>
      </c>
      <c r="C73" s="883" t="str">
        <f>'Expenditures 15-22'!B285</f>
        <v>4000</v>
      </c>
      <c r="D73" s="884" t="str">
        <f>'Expenditures 15-22'!A285</f>
        <v>Total Payments to Other Govt Units</v>
      </c>
      <c r="E73" s="865"/>
      <c r="F73" s="1908">
        <f>'Expenditures 15-22'!K285</f>
        <v>1065</v>
      </c>
      <c r="G73" s="862"/>
    </row>
    <row r="74" spans="1:8" x14ac:dyDescent="0.2">
      <c r="A74" s="866" t="s">
        <v>436</v>
      </c>
      <c r="B74" s="866" t="s">
        <v>1894</v>
      </c>
      <c r="C74" s="883" t="s">
        <v>860</v>
      </c>
      <c r="D74" s="884" t="s">
        <v>1487</v>
      </c>
      <c r="E74" s="865"/>
      <c r="F74" s="1912">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1895</v>
      </c>
      <c r="E76" s="1771" t="s">
        <v>958</v>
      </c>
      <c r="F76" s="1775">
        <f>SUM(F18:F74)</f>
        <v>2594166</v>
      </c>
      <c r="G76" s="862"/>
    </row>
    <row r="77" spans="1:8" s="890" customFormat="1" ht="12" customHeight="1" thickTop="1" thickBot="1" x14ac:dyDescent="0.25">
      <c r="A77" s="1776"/>
      <c r="B77" s="1773"/>
      <c r="C77" s="1769"/>
      <c r="D77" s="1774" t="s">
        <v>1896</v>
      </c>
      <c r="E77" s="1771"/>
      <c r="F77" s="1777">
        <f>(F14-F76)</f>
        <v>13690290</v>
      </c>
      <c r="G77" s="866"/>
    </row>
    <row r="78" spans="1:8" s="890" customFormat="1" ht="12" customHeight="1" thickTop="1" x14ac:dyDescent="0.2">
      <c r="A78" s="1778"/>
      <c r="B78" s="1773"/>
      <c r="C78" s="1769"/>
      <c r="D78" s="1774" t="s">
        <v>2058</v>
      </c>
      <c r="E78" s="1771"/>
      <c r="F78" s="895">
        <v>1485.8</v>
      </c>
      <c r="G78" s="896"/>
      <c r="H78" s="866"/>
    </row>
    <row r="79" spans="1:8" s="890" customFormat="1" ht="12" customHeight="1" thickBot="1" x14ac:dyDescent="0.25">
      <c r="A79" s="1779"/>
      <c r="B79" s="1773"/>
      <c r="C79" s="1769"/>
      <c r="D79" s="1774" t="s">
        <v>1897</v>
      </c>
      <c r="E79" s="1771" t="s">
        <v>958</v>
      </c>
      <c r="F79" s="1780">
        <f>IF(F78&gt;0,F77/F78," Complete Line 78")</f>
        <v>9214.0866873065024</v>
      </c>
      <c r="G79" s="866"/>
    </row>
    <row r="80" spans="1:8" s="890" customFormat="1" ht="8.25" customHeight="1" thickTop="1" x14ac:dyDescent="0.2">
      <c r="A80" s="897"/>
      <c r="B80" s="866"/>
      <c r="C80" s="868"/>
      <c r="D80" s="898"/>
      <c r="E80" s="865"/>
      <c r="F80" s="899"/>
      <c r="G80" s="866"/>
    </row>
    <row r="81" spans="1:7" s="890" customFormat="1" ht="12" thickBot="1" x14ac:dyDescent="0.25">
      <c r="A81" s="2375" t="s">
        <v>1105</v>
      </c>
      <c r="B81" s="2376"/>
      <c r="C81" s="2376"/>
      <c r="D81" s="2376"/>
      <c r="E81" s="2376"/>
      <c r="F81" s="2377"/>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2">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264</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320631</v>
      </c>
      <c r="G94" s="909"/>
    </row>
    <row r="95" spans="1:7" x14ac:dyDescent="0.2">
      <c r="A95" s="905" t="s">
        <v>140</v>
      </c>
      <c r="B95" s="905" t="s">
        <v>175</v>
      </c>
      <c r="C95" s="907">
        <v>1700</v>
      </c>
      <c r="D95" s="915" t="str">
        <f>'Revenues 9-14'!A82</f>
        <v>Total District/School Activity Income</v>
      </c>
      <c r="E95" s="903"/>
      <c r="F95" s="1786">
        <f>SUM('Revenues 9-14'!C82,'Revenues 9-14'!D82)</f>
        <v>51597</v>
      </c>
      <c r="G95" s="909"/>
    </row>
    <row r="96" spans="1:7" x14ac:dyDescent="0.2">
      <c r="A96" s="905" t="s">
        <v>459</v>
      </c>
      <c r="B96" s="905" t="s">
        <v>176</v>
      </c>
      <c r="C96" s="907">
        <f>'Revenues 9-14'!B84</f>
        <v>1811</v>
      </c>
      <c r="D96" s="908" t="str">
        <f>'Revenues 9-14'!A84</f>
        <v>Rentals - Regular Textbooks</v>
      </c>
      <c r="E96" s="903"/>
      <c r="F96" s="1786">
        <f>'Revenues 9-14'!C84</f>
        <v>117995</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14075</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21679</v>
      </c>
      <c r="G104" s="909"/>
    </row>
    <row r="105" spans="1:7" x14ac:dyDescent="0.2">
      <c r="A105" s="905" t="s">
        <v>503</v>
      </c>
      <c r="B105" s="905" t="s">
        <v>1999</v>
      </c>
      <c r="C105" s="910">
        <v>3100</v>
      </c>
      <c r="D105" s="916" t="str">
        <f>'Revenues 9-14'!A132</f>
        <v>Total Special Education</v>
      </c>
      <c r="E105" s="903"/>
      <c r="F105" s="1786">
        <f>SUM('Revenues 9-14'!C132:D132,'Revenues 9-14'!F132)</f>
        <v>17705</v>
      </c>
      <c r="G105" s="909"/>
    </row>
    <row r="106" spans="1:7" x14ac:dyDescent="0.2">
      <c r="A106" s="905" t="s">
        <v>673</v>
      </c>
      <c r="B106" s="905" t="s">
        <v>2000</v>
      </c>
      <c r="C106" s="917">
        <v>3200</v>
      </c>
      <c r="D106" s="908" t="str">
        <f>'Revenues 9-14'!A141</f>
        <v>Total Career and Technical Education</v>
      </c>
      <c r="E106" s="903"/>
      <c r="F106" s="1786">
        <f>SUM('Revenues 9-14'!C141,'Revenues 9-14'!D141,'Revenues 9-14'!G141)</f>
        <v>51423</v>
      </c>
      <c r="G106" s="909"/>
    </row>
    <row r="107" spans="1:7" x14ac:dyDescent="0.2">
      <c r="A107" s="918" t="s">
        <v>664</v>
      </c>
      <c r="B107" s="905" t="s">
        <v>2001</v>
      </c>
      <c r="C107" s="917">
        <v>3300</v>
      </c>
      <c r="D107" s="908" t="str">
        <f>'Revenues 9-14'!A145</f>
        <v>Total Bilingual Ed</v>
      </c>
      <c r="E107" s="903"/>
      <c r="F107" s="1786">
        <f>SUM('Revenues 9-14'!C145,'Revenues 9-14'!G145)</f>
        <v>0</v>
      </c>
      <c r="G107" s="909"/>
    </row>
    <row r="108" spans="1:7" x14ac:dyDescent="0.2">
      <c r="A108" s="905" t="s">
        <v>459</v>
      </c>
      <c r="B108" s="905" t="s">
        <v>2002</v>
      </c>
      <c r="C108" s="917">
        <f>'Revenues 9-14'!B146</f>
        <v>3360</v>
      </c>
      <c r="D108" s="908" t="str">
        <f>'Revenues 9-14'!A146</f>
        <v>State Free Lunch &amp; Breakfast</v>
      </c>
      <c r="E108" s="903"/>
      <c r="F108" s="1786">
        <f>'Revenues 9-14'!C146</f>
        <v>2926</v>
      </c>
      <c r="G108" s="909"/>
    </row>
    <row r="109" spans="1:7" x14ac:dyDescent="0.2">
      <c r="A109" s="905" t="s">
        <v>673</v>
      </c>
      <c r="B109" s="905" t="s">
        <v>2003</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2004</v>
      </c>
      <c r="C110" s="917">
        <f>'Revenues 9-14'!B148</f>
        <v>3370</v>
      </c>
      <c r="D110" s="908" t="str">
        <f>'Revenues 9-14'!A148</f>
        <v>Driver Education</v>
      </c>
      <c r="E110" s="903"/>
      <c r="F110" s="1786">
        <f>SUM('Revenues 9-14'!C148,'Revenues 9-14'!D148)</f>
        <v>21662</v>
      </c>
      <c r="G110" s="909"/>
    </row>
    <row r="111" spans="1:7" x14ac:dyDescent="0.2">
      <c r="A111" s="905" t="s">
        <v>668</v>
      </c>
      <c r="B111" s="905" t="s">
        <v>2005</v>
      </c>
      <c r="C111" s="919">
        <v>3500</v>
      </c>
      <c r="D111" s="908" t="str">
        <f>'Revenues 9-14'!A155</f>
        <v>Total Transportation</v>
      </c>
      <c r="E111" s="903"/>
      <c r="F111" s="1786">
        <f>SUM('Revenues 9-14'!C155,'Revenues 9-14'!D155,'Revenues 9-14'!F155,'Revenues 9-14'!G155)</f>
        <v>308913</v>
      </c>
      <c r="G111" s="909"/>
    </row>
    <row r="112" spans="1:7" x14ac:dyDescent="0.2">
      <c r="A112" s="905" t="s">
        <v>459</v>
      </c>
      <c r="B112" s="905" t="s">
        <v>2006</v>
      </c>
      <c r="C112" s="917">
        <f>'Revenues 9-14'!B156</f>
        <v>3610</v>
      </c>
      <c r="D112" s="908" t="str">
        <f>'Revenues 9-14'!A156</f>
        <v>Learning Improvement - Change Grants</v>
      </c>
      <c r="E112" s="903"/>
      <c r="F112" s="1786">
        <f>'Revenues 9-14'!C156</f>
        <v>0</v>
      </c>
      <c r="G112" s="909"/>
    </row>
    <row r="113" spans="1:7" x14ac:dyDescent="0.2">
      <c r="A113" s="905" t="s">
        <v>668</v>
      </c>
      <c r="B113" s="905" t="s">
        <v>2007</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2008</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2009</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2010</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2011</v>
      </c>
      <c r="C117" s="921">
        <f>'Revenues 9-14'!B162</f>
        <v>3775</v>
      </c>
      <c r="D117" s="922" t="str">
        <f>'Revenues 9-14'!A162</f>
        <v>School Safety &amp; Educational Improvement Block Grant</v>
      </c>
      <c r="E117" s="903"/>
      <c r="F117" s="1902">
        <f>SUM('Revenues 9-14'!C162,'Revenues 9-14'!D162,'Revenues 9-14'!E162,'Revenues 9-14'!F162,'Revenues 9-14'!G162)</f>
        <v>0</v>
      </c>
      <c r="G117" s="909"/>
    </row>
    <row r="118" spans="1:7" x14ac:dyDescent="0.2">
      <c r="A118" s="920" t="s">
        <v>1009</v>
      </c>
      <c r="B118" s="920" t="s">
        <v>2012</v>
      </c>
      <c r="C118" s="921">
        <f>'Revenues 9-14'!B163</f>
        <v>3780</v>
      </c>
      <c r="D118" s="922" t="str">
        <f>'Revenues 9-14'!A163</f>
        <v>Technology - Technology for Success</v>
      </c>
      <c r="E118" s="903"/>
      <c r="F118" s="1902">
        <f>SUM('Revenues 9-14'!C163:G163)</f>
        <v>0</v>
      </c>
      <c r="G118" s="909"/>
    </row>
    <row r="119" spans="1:7" x14ac:dyDescent="0.2">
      <c r="A119" s="920" t="s">
        <v>504</v>
      </c>
      <c r="B119" s="920" t="s">
        <v>2013</v>
      </c>
      <c r="C119" s="921">
        <f>'Revenues 9-14'!B164</f>
        <v>3815</v>
      </c>
      <c r="D119" s="922" t="str">
        <f>'Revenues 9-14'!A164</f>
        <v>State Charter Schools</v>
      </c>
      <c r="E119" s="903"/>
      <c r="F119" s="1902">
        <f>SUM('Revenues 9-14'!C164,'Revenues 9-14'!F164)</f>
        <v>0</v>
      </c>
      <c r="G119" s="909"/>
    </row>
    <row r="120" spans="1:7" x14ac:dyDescent="0.2">
      <c r="A120" s="924" t="s">
        <v>460</v>
      </c>
      <c r="B120" s="924" t="s">
        <v>2014</v>
      </c>
      <c r="C120" s="925">
        <f>'Revenues 9-14'!B167</f>
        <v>3925</v>
      </c>
      <c r="D120" s="926" t="str">
        <f>'Revenues 9-14'!A167</f>
        <v>School Infrastructure - Maintenance Projects</v>
      </c>
      <c r="E120" s="903"/>
      <c r="F120" s="1786">
        <f>'Revenues 9-14'!D167</f>
        <v>0</v>
      </c>
      <c r="G120" s="927"/>
    </row>
    <row r="121" spans="1:7" x14ac:dyDescent="0.2">
      <c r="A121" s="924" t="s">
        <v>500</v>
      </c>
      <c r="B121" s="924" t="s">
        <v>2015</v>
      </c>
      <c r="C121" s="925">
        <f>'Revenues 9-14'!B168</f>
        <v>3999</v>
      </c>
      <c r="D121" s="926" t="s">
        <v>543</v>
      </c>
      <c r="E121" s="928"/>
      <c r="F121" s="1786">
        <f>SUM('Revenues 9-14'!C168:G168,'Revenues 9-14'!J168)</f>
        <v>3136</v>
      </c>
      <c r="G121" s="927"/>
    </row>
    <row r="122" spans="1:7" x14ac:dyDescent="0.2">
      <c r="A122" s="924" t="s">
        <v>459</v>
      </c>
      <c r="B122" s="924" t="s">
        <v>2016</v>
      </c>
      <c r="C122" s="929">
        <f>'Revenues 9-14'!B177</f>
        <v>4045</v>
      </c>
      <c r="D122" s="926" t="str">
        <f>'Revenues 9-14'!A177 &amp; " (Subtract)"</f>
        <v>Head Start (Subtract)</v>
      </c>
      <c r="E122" s="903"/>
      <c r="F122" s="1786">
        <f>SUM(-'Revenues 9-14'!C177)</f>
        <v>0</v>
      </c>
      <c r="G122" s="927"/>
    </row>
    <row r="123" spans="1:7" x14ac:dyDescent="0.2">
      <c r="A123" s="924" t="s">
        <v>668</v>
      </c>
      <c r="B123" s="924" t="s">
        <v>2017</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2018</v>
      </c>
      <c r="C124" s="929">
        <v>4100</v>
      </c>
      <c r="D124" s="930" t="str">
        <f>'Revenues 9-14'!A188</f>
        <v>Total Title V</v>
      </c>
      <c r="E124" s="903"/>
      <c r="F124" s="1786">
        <f>SUM('Revenues 9-14'!C188,'Revenues 9-14'!D188,'Revenues 9-14'!F188,'Revenues 9-14'!G188)</f>
        <v>0</v>
      </c>
      <c r="G124" s="927"/>
    </row>
    <row r="125" spans="1:7" x14ac:dyDescent="0.2">
      <c r="A125" s="924" t="s">
        <v>664</v>
      </c>
      <c r="B125" s="924" t="s">
        <v>2019</v>
      </c>
      <c r="C125" s="929">
        <v>4200</v>
      </c>
      <c r="D125" s="926" t="str">
        <f>'Revenues 9-14'!A198</f>
        <v>Total Food Service</v>
      </c>
      <c r="E125" s="903"/>
      <c r="F125" s="1786">
        <f>SUM('Revenues 9-14'!C198,'Revenues 9-14'!G198)</f>
        <v>222061</v>
      </c>
      <c r="G125" s="927"/>
    </row>
    <row r="126" spans="1:7" x14ac:dyDescent="0.2">
      <c r="A126" s="924" t="s">
        <v>668</v>
      </c>
      <c r="B126" s="924" t="s">
        <v>2020</v>
      </c>
      <c r="C126" s="929">
        <v>4300</v>
      </c>
      <c r="D126" s="930" t="str">
        <f>'Revenues 9-14'!A204</f>
        <v>Total Title I</v>
      </c>
      <c r="E126" s="903"/>
      <c r="F126" s="1786">
        <f>SUM('Revenues 9-14'!C204,'Revenues 9-14'!D204,'Revenues 9-14'!F204,'Revenues 9-14'!G204)</f>
        <v>140179</v>
      </c>
      <c r="G126" s="927"/>
    </row>
    <row r="127" spans="1:7" x14ac:dyDescent="0.2">
      <c r="A127" s="924" t="s">
        <v>668</v>
      </c>
      <c r="B127" s="924" t="s">
        <v>2021</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2022</v>
      </c>
      <c r="C128" s="929">
        <f>'Revenues 9-14'!B213</f>
        <v>4620</v>
      </c>
      <c r="D128" s="930" t="str">
        <f>'Revenues 9-14'!A213</f>
        <v>Fed - Spec Education - IDEA - Flow Through</v>
      </c>
      <c r="E128" s="903"/>
      <c r="F128" s="1786">
        <f>SUM('Revenues 9-14'!C213:D213,'Revenues 9-14'!F213:G213)</f>
        <v>320360</v>
      </c>
      <c r="G128" s="927"/>
    </row>
    <row r="129" spans="1:7" x14ac:dyDescent="0.2">
      <c r="A129" s="924" t="s">
        <v>668</v>
      </c>
      <c r="B129" s="924" t="s">
        <v>2023</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2024</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2025</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2026</v>
      </c>
      <c r="C133" s="932" t="s">
        <v>207</v>
      </c>
      <c r="D133" s="933" t="str">
        <f>'Revenues 9-14'!A224</f>
        <v>ARRA - Title I - Low Income</v>
      </c>
      <c r="E133" s="934"/>
      <c r="F133" s="1902">
        <f>SUM('Revenues 9-14'!$C$224:$D$224,'Revenues 9-14'!$F$224:$G$224)</f>
        <v>0</v>
      </c>
      <c r="G133" s="902"/>
    </row>
    <row r="134" spans="1:7" s="864" customFormat="1" hidden="1" x14ac:dyDescent="0.2">
      <c r="A134" s="931" t="s">
        <v>206</v>
      </c>
      <c r="B134" s="931" t="s">
        <v>2027</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2028</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2029</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2030</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2031</v>
      </c>
      <c r="C138" s="932" t="s">
        <v>212</v>
      </c>
      <c r="D138" s="933" t="str">
        <f>'Revenues 9-14'!A229</f>
        <v>ARRA - IDEA - Part B - Preschool</v>
      </c>
      <c r="E138" s="934"/>
      <c r="F138" s="1786">
        <v>0</v>
      </c>
      <c r="G138" s="902"/>
    </row>
    <row r="139" spans="1:7" s="864" customFormat="1" hidden="1" x14ac:dyDescent="0.2">
      <c r="A139" s="931" t="s">
        <v>206</v>
      </c>
      <c r="B139" s="931" t="s">
        <v>2032</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2033</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2034</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2035</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2036</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2037</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2038</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2039</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2040</v>
      </c>
      <c r="C157" s="937" t="s">
        <v>841</v>
      </c>
      <c r="D157" s="938" t="s">
        <v>777</v>
      </c>
      <c r="E157" s="939"/>
      <c r="F157" s="1786">
        <f>SUM(F133:F156)</f>
        <v>0</v>
      </c>
      <c r="G157" s="902"/>
    </row>
    <row r="158" spans="1:7" s="864" customFormat="1" x14ac:dyDescent="0.2">
      <c r="A158" s="935" t="s">
        <v>459</v>
      </c>
      <c r="B158" s="936" t="s">
        <v>2041</v>
      </c>
      <c r="C158" s="937" t="s">
        <v>1427</v>
      </c>
      <c r="D158" s="938" t="s">
        <v>1428</v>
      </c>
      <c r="E158" s="939"/>
      <c r="F158" s="1786">
        <f>SUM('Revenues 9-14'!C253)</f>
        <v>0</v>
      </c>
      <c r="G158" s="902"/>
    </row>
    <row r="159" spans="1:7" s="864" customFormat="1" x14ac:dyDescent="0.2">
      <c r="A159" s="935" t="s">
        <v>500</v>
      </c>
      <c r="B159" s="936" t="s">
        <v>2042</v>
      </c>
      <c r="C159" s="937" t="s">
        <v>1466</v>
      </c>
      <c r="D159" s="938" t="s">
        <v>1467</v>
      </c>
      <c r="E159" s="939"/>
      <c r="F159" s="1786">
        <f>SUM('Revenues 9-14'!C254:H254,'Revenues 9-14'!J254:K254)</f>
        <v>0</v>
      </c>
      <c r="G159" s="902"/>
    </row>
    <row r="160" spans="1:7" x14ac:dyDescent="0.2">
      <c r="A160" s="924" t="s">
        <v>5</v>
      </c>
      <c r="B160" s="924" t="s">
        <v>2043</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2044</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2045</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2046</v>
      </c>
      <c r="C163" s="942">
        <f>'Revenues 9-14'!B258</f>
        <v>4930</v>
      </c>
      <c r="D163" s="943" t="str">
        <f>'Revenues 9-14'!A258</f>
        <v>Title II - Eisenhower Professional Development Formula</v>
      </c>
      <c r="E163" s="923"/>
      <c r="F163" s="1902">
        <f>SUM('Revenues 9-14'!C258:D258,'Revenues 9-14'!F258,'Revenues 9-14'!G258)</f>
        <v>0</v>
      </c>
      <c r="G163" s="927"/>
    </row>
    <row r="164" spans="1:7" x14ac:dyDescent="0.2">
      <c r="A164" s="924" t="s">
        <v>668</v>
      </c>
      <c r="B164" s="924" t="s">
        <v>2047</v>
      </c>
      <c r="C164" s="929">
        <f>'Revenues 9-14'!B259</f>
        <v>4932</v>
      </c>
      <c r="D164" s="930" t="str">
        <f>'Revenues 9-14'!A259</f>
        <v>Title II - Teacher Quality</v>
      </c>
      <c r="E164" s="903"/>
      <c r="F164" s="1902">
        <f>SUM('Revenues 9-14'!C259,'Revenues 9-14'!D259,'Revenues 9-14'!F259,'Revenues 9-14'!G259)</f>
        <v>43866</v>
      </c>
      <c r="G164" s="927"/>
    </row>
    <row r="165" spans="1:7" x14ac:dyDescent="0.2">
      <c r="A165" s="924" t="s">
        <v>668</v>
      </c>
      <c r="B165" s="924" t="s">
        <v>2048</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1993</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1994</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2049</v>
      </c>
      <c r="C168" s="929">
        <f>'Revenues 9-14'!B263</f>
        <v>4991</v>
      </c>
      <c r="D168" s="930" t="str">
        <f>'Revenues 9-14'!A263</f>
        <v>Medicaid Matching Funds - Administrative Outreach</v>
      </c>
      <c r="E168" s="903"/>
      <c r="F168" s="1786">
        <f>SUM('Revenues 9-14'!C263:D263,'Revenues 9-14'!F263:G263)</f>
        <v>17318</v>
      </c>
      <c r="G168" s="944">
        <v>6320</v>
      </c>
    </row>
    <row r="169" spans="1:7" x14ac:dyDescent="0.2">
      <c r="A169" s="924" t="s">
        <v>668</v>
      </c>
      <c r="B169" s="924" t="s">
        <v>2050</v>
      </c>
      <c r="C169" s="929">
        <f>'Revenues 9-14'!B264</f>
        <v>4992</v>
      </c>
      <c r="D169" s="930" t="str">
        <f>'Revenues 9-14'!A264</f>
        <v>Medicaid Matching Funds - Fee-for-Service Program</v>
      </c>
      <c r="E169" s="903"/>
      <c r="F169" s="1786">
        <f>SUM('Revenues 9-14'!C264:D264,'Revenues 9-14'!F264:G264)</f>
        <v>45886</v>
      </c>
      <c r="G169" s="944"/>
    </row>
    <row r="170" spans="1:7" x14ac:dyDescent="0.2">
      <c r="A170" s="945" t="s">
        <v>668</v>
      </c>
      <c r="B170" s="941" t="s">
        <v>2051</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3" t="s">
        <v>5</v>
      </c>
      <c r="B171" s="1914" t="s">
        <v>1916</v>
      </c>
      <c r="C171" s="1915">
        <v>3100</v>
      </c>
      <c r="D171" s="1916" t="s">
        <v>1918</v>
      </c>
      <c r="E171" s="903"/>
      <c r="F171" s="1901">
        <v>412836.88</v>
      </c>
      <c r="G171" s="924"/>
    </row>
    <row r="172" spans="1:7" x14ac:dyDescent="0.2">
      <c r="A172" s="1913" t="s">
        <v>664</v>
      </c>
      <c r="B172" s="1914" t="s">
        <v>1916</v>
      </c>
      <c r="C172" s="1915">
        <v>3300</v>
      </c>
      <c r="D172" s="1916" t="s">
        <v>1919</v>
      </c>
      <c r="E172" s="903"/>
      <c r="F172" s="1901">
        <v>22.94</v>
      </c>
      <c r="G172" s="924"/>
    </row>
    <row r="173" spans="1:7" ht="6" customHeight="1" x14ac:dyDescent="0.2">
      <c r="A173" s="924"/>
      <c r="B173" s="924"/>
      <c r="C173" s="946"/>
      <c r="D173" s="924"/>
      <c r="E173" s="903"/>
      <c r="F173" s="947"/>
      <c r="G173" s="944"/>
    </row>
    <row r="174" spans="1:7" x14ac:dyDescent="0.2">
      <c r="A174" s="1767"/>
      <c r="B174" s="1781"/>
      <c r="C174" s="1782"/>
      <c r="D174" s="1783" t="s">
        <v>2052</v>
      </c>
      <c r="E174" s="1784" t="s">
        <v>958</v>
      </c>
      <c r="F174" s="1785">
        <f>SUM(F84:F132,F157:F172)</f>
        <v>2134535.8199999998</v>
      </c>
    </row>
    <row r="175" spans="1:7" ht="12" customHeight="1" x14ac:dyDescent="0.2">
      <c r="A175" s="1767"/>
      <c r="B175" s="1781"/>
      <c r="C175" s="1782"/>
      <c r="D175" s="1783" t="s">
        <v>2053</v>
      </c>
      <c r="E175" s="1784"/>
      <c r="F175" s="1786">
        <f>'PCTC-OEPP 27-28'!F77-F174</f>
        <v>11555754.18</v>
      </c>
    </row>
    <row r="176" spans="1:7" ht="12" customHeight="1" x14ac:dyDescent="0.2">
      <c r="A176" s="1767"/>
      <c r="B176" s="1781"/>
      <c r="C176" s="1782"/>
      <c r="D176" s="1783" t="s">
        <v>1813</v>
      </c>
      <c r="E176" s="1784"/>
      <c r="F176" s="1786">
        <f>'Cap Outlay Deprec 26'!I18</f>
        <v>918503</v>
      </c>
    </row>
    <row r="177" spans="1:7" ht="12" customHeight="1" x14ac:dyDescent="0.2">
      <c r="A177" s="1767"/>
      <c r="B177" s="1781"/>
      <c r="C177" s="1782"/>
      <c r="D177" s="1783" t="s">
        <v>2054</v>
      </c>
      <c r="E177" s="1784"/>
      <c r="F177" s="1786">
        <f>F175+F176</f>
        <v>12474257.18</v>
      </c>
    </row>
    <row r="178" spans="1:7" ht="12" customHeight="1" x14ac:dyDescent="0.2">
      <c r="A178" s="1767"/>
      <c r="B178" s="1787"/>
      <c r="C178" s="1782"/>
      <c r="D178" s="1783" t="str">
        <f>D78</f>
        <v>9 Month ADA from District Average Daily Attendance/Prior General State Aid Inquiry 2018-2019</v>
      </c>
      <c r="E178" s="1784"/>
      <c r="F178" s="1788">
        <f>'PCTC-OEPP 27-28'!F78</f>
        <v>1485.8</v>
      </c>
      <c r="G178" s="927"/>
    </row>
    <row r="179" spans="1:7" ht="12" customHeight="1" thickBot="1" x14ac:dyDescent="0.25">
      <c r="A179" s="1767"/>
      <c r="B179" s="1787"/>
      <c r="C179" s="1782"/>
      <c r="D179" s="1783" t="s">
        <v>2055</v>
      </c>
      <c r="E179" s="1784" t="s">
        <v>1545</v>
      </c>
      <c r="F179" s="1789">
        <f>F177/F178</f>
        <v>8395.650275945618</v>
      </c>
      <c r="G179" s="853">
        <v>6323</v>
      </c>
    </row>
    <row r="180" spans="1:7" ht="12" thickTop="1" x14ac:dyDescent="0.2">
      <c r="B180" s="927"/>
      <c r="C180" s="946"/>
      <c r="D180" s="927"/>
      <c r="E180" s="946"/>
      <c r="F180" s="927"/>
      <c r="G180" s="948">
        <v>6326</v>
      </c>
    </row>
    <row r="181" spans="1:7" ht="12.2" customHeight="1" x14ac:dyDescent="0.2">
      <c r="A181" s="927" t="s">
        <v>1917</v>
      </c>
      <c r="B181" s="927"/>
      <c r="C181" s="946"/>
      <c r="D181" s="927"/>
      <c r="E181" s="946"/>
      <c r="F181" s="927"/>
      <c r="G181" s="927"/>
    </row>
    <row r="182" spans="1:7" s="1917" customFormat="1" ht="12.2" customHeight="1" x14ac:dyDescent="0.2">
      <c r="A182" s="1917" t="s">
        <v>1990</v>
      </c>
      <c r="B182" s="1918"/>
      <c r="C182" s="1919"/>
      <c r="D182" s="1918"/>
      <c r="E182" s="1919"/>
      <c r="F182" s="1918"/>
      <c r="G182" s="1918"/>
    </row>
    <row r="183" spans="1:7" s="1917" customFormat="1" ht="12.2" customHeight="1" x14ac:dyDescent="0.2">
      <c r="A183" s="1920" t="s">
        <v>1992</v>
      </c>
      <c r="C183" s="1919"/>
      <c r="D183" s="1918"/>
      <c r="E183" s="1919"/>
      <c r="F183" s="1918"/>
      <c r="G183" s="1918"/>
    </row>
    <row r="184" spans="1:7" ht="12" customHeight="1" x14ac:dyDescent="0.2">
      <c r="C184" s="946"/>
      <c r="D184" s="927"/>
      <c r="E184" s="946"/>
      <c r="F184" s="927"/>
      <c r="G184" s="927"/>
    </row>
    <row r="185" spans="1:7" x14ac:dyDescent="0.2">
      <c r="A185" s="1921" t="s">
        <v>1921</v>
      </c>
      <c r="B185" s="1922" t="s">
        <v>1920</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F17" sqref="F17"/>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1828</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389" t="s">
        <v>1814</v>
      </c>
      <c r="B4" s="2390"/>
      <c r="C4" s="2390"/>
      <c r="D4" s="2390"/>
      <c r="E4" s="2390"/>
      <c r="F4" s="2390"/>
      <c r="G4" s="2391"/>
    </row>
    <row r="5" spans="1:7" x14ac:dyDescent="0.25">
      <c r="A5" s="2392"/>
      <c r="B5" s="2393"/>
      <c r="C5" s="2393"/>
      <c r="D5" s="2393"/>
      <c r="E5" s="2393"/>
      <c r="F5" s="2393"/>
      <c r="G5" s="2394"/>
    </row>
    <row r="6" spans="1:7" ht="18.75" x14ac:dyDescent="0.25">
      <c r="A6" s="1531" t="s">
        <v>1815</v>
      </c>
      <c r="B6" s="1532"/>
      <c r="C6" s="1532"/>
      <c r="D6" s="1532"/>
      <c r="E6" s="1532"/>
      <c r="F6" s="1532"/>
      <c r="G6" s="1533"/>
    </row>
    <row r="7" spans="1:7" ht="30.75" customHeight="1" x14ac:dyDescent="0.25">
      <c r="A7" s="2395" t="s">
        <v>1928</v>
      </c>
      <c r="B7" s="2396"/>
      <c r="C7" s="2396"/>
      <c r="D7" s="2396"/>
      <c r="E7" s="2396"/>
      <c r="F7" s="2396"/>
      <c r="G7" s="2397"/>
    </row>
    <row r="8" spans="1:7" ht="15.75" customHeight="1" x14ac:dyDescent="0.25">
      <c r="A8" s="2398" t="s">
        <v>1903</v>
      </c>
      <c r="B8" s="2399"/>
      <c r="C8" s="2399"/>
      <c r="D8" s="2399"/>
      <c r="E8" s="2399"/>
      <c r="F8" s="2399"/>
      <c r="G8" s="2400"/>
    </row>
    <row r="9" spans="1:7" ht="35.25" customHeight="1" x14ac:dyDescent="0.25">
      <c r="A9" s="2395" t="s">
        <v>1931</v>
      </c>
      <c r="B9" s="2396"/>
      <c r="C9" s="2396"/>
      <c r="D9" s="2396"/>
      <c r="E9" s="2396"/>
      <c r="F9" s="2396"/>
      <c r="G9" s="2397"/>
    </row>
    <row r="10" spans="1:7" ht="15" customHeight="1" x14ac:dyDescent="0.25">
      <c r="A10" s="1534" t="s">
        <v>1816</v>
      </c>
      <c r="B10" s="1535"/>
      <c r="C10" s="1535"/>
      <c r="D10" s="1535"/>
      <c r="E10" s="1535"/>
      <c r="F10" s="1535"/>
      <c r="G10" s="1536"/>
    </row>
    <row r="11" spans="1:7" ht="17.25" customHeight="1" x14ac:dyDescent="0.25">
      <c r="A11" s="2395" t="s">
        <v>1930</v>
      </c>
      <c r="B11" s="2396"/>
      <c r="C11" s="2396"/>
      <c r="D11" s="2396"/>
      <c r="E11" s="2396"/>
      <c r="F11" s="2396"/>
      <c r="G11" s="2397"/>
    </row>
    <row r="12" spans="1:7" ht="15" customHeight="1" x14ac:dyDescent="0.25">
      <c r="A12" s="1534" t="s">
        <v>1821</v>
      </c>
      <c r="B12" s="1535"/>
      <c r="C12" s="1535"/>
      <c r="D12" s="1535"/>
      <c r="E12" s="1535"/>
      <c r="F12" s="1535"/>
      <c r="G12" s="1536"/>
    </row>
    <row r="13" spans="1:7" ht="32.25" customHeight="1" x14ac:dyDescent="0.25">
      <c r="A13" s="2386" t="s">
        <v>1972</v>
      </c>
      <c r="B13" s="2387"/>
      <c r="C13" s="2387"/>
      <c r="D13" s="2387"/>
      <c r="E13" s="2387"/>
      <c r="F13" s="2387"/>
      <c r="G13" s="2388"/>
    </row>
    <row r="14" spans="1:7" x14ac:dyDescent="0.25">
      <c r="A14" s="1658" t="s">
        <v>1829</v>
      </c>
      <c r="B14" s="1659"/>
      <c r="C14" s="1659"/>
      <c r="D14" s="1659"/>
      <c r="E14" s="1659"/>
      <c r="F14" s="1659"/>
      <c r="G14" s="1660"/>
    </row>
    <row r="15" spans="1:7" ht="61.5" customHeight="1" x14ac:dyDescent="0.25">
      <c r="A15" s="1543" t="s">
        <v>1822</v>
      </c>
      <c r="B15" s="1543" t="s">
        <v>1823</v>
      </c>
      <c r="C15" s="1543" t="s">
        <v>1824</v>
      </c>
      <c r="D15" s="1544" t="s">
        <v>1825</v>
      </c>
      <c r="E15" s="1544" t="s">
        <v>1817</v>
      </c>
      <c r="F15" s="1544" t="s">
        <v>1826</v>
      </c>
      <c r="G15" s="1544" t="s">
        <v>1827</v>
      </c>
    </row>
    <row r="16" spans="1:7" x14ac:dyDescent="0.25">
      <c r="A16" s="1645" t="s">
        <v>1830</v>
      </c>
      <c r="B16" s="1646" t="s">
        <v>1820</v>
      </c>
      <c r="C16" s="1647" t="s">
        <v>1818</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2059" t="s">
        <v>2177</v>
      </c>
      <c r="B17" s="1929"/>
      <c r="C17" s="1653"/>
      <c r="D17" s="1841"/>
      <c r="E17" s="1537">
        <f t="shared" ref="E17:E141" si="0">IF(D17&lt;=25000,D17,IF(D17&gt;25000,25000,0))</f>
        <v>0</v>
      </c>
      <c r="F17" s="1927">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29"/>
      <c r="C18" s="1653"/>
      <c r="D18" s="1841"/>
      <c r="E18" s="1537">
        <f t="shared" ref="E18:E140" si="2">IF(D18&lt;=25000,D18,IF(D18&gt;25000,25000,0))</f>
        <v>0</v>
      </c>
      <c r="F18" s="1927">
        <f t="shared" si="1"/>
        <v>0</v>
      </c>
      <c r="G18" s="1790">
        <f t="shared" ref="G18:G140" si="3">IF(F18=0,0,D18-F18)</f>
        <v>0</v>
      </c>
    </row>
    <row r="19" spans="1:8" x14ac:dyDescent="0.25">
      <c r="A19" s="1650"/>
      <c r="B19" s="1929"/>
      <c r="C19" s="1653"/>
      <c r="D19" s="1841"/>
      <c r="E19" s="1537">
        <f t="shared" si="2"/>
        <v>0</v>
      </c>
      <c r="F19" s="1927">
        <f t="shared" si="1"/>
        <v>0</v>
      </c>
      <c r="G19" s="1790">
        <f t="shared" si="3"/>
        <v>0</v>
      </c>
    </row>
    <row r="20" spans="1:8" x14ac:dyDescent="0.25">
      <c r="A20" s="1650"/>
      <c r="B20" s="1929"/>
      <c r="C20" s="1653"/>
      <c r="D20" s="1841"/>
      <c r="E20" s="1537">
        <f t="shared" si="2"/>
        <v>0</v>
      </c>
      <c r="F20" s="1927">
        <f t="shared" si="1"/>
        <v>0</v>
      </c>
      <c r="G20" s="1790">
        <f t="shared" si="3"/>
        <v>0</v>
      </c>
    </row>
    <row r="21" spans="1:8" x14ac:dyDescent="0.25">
      <c r="A21" s="1650"/>
      <c r="B21" s="1929"/>
      <c r="C21" s="1653"/>
      <c r="D21" s="1841"/>
      <c r="E21" s="1537">
        <f t="shared" si="2"/>
        <v>0</v>
      </c>
      <c r="F21" s="1927">
        <f t="shared" si="1"/>
        <v>0</v>
      </c>
      <c r="G21" s="1790">
        <f t="shared" si="3"/>
        <v>0</v>
      </c>
    </row>
    <row r="22" spans="1:8" x14ac:dyDescent="0.25">
      <c r="A22" s="1650"/>
      <c r="B22" s="1929"/>
      <c r="C22" s="1653"/>
      <c r="D22" s="1841"/>
      <c r="E22" s="1537">
        <f t="shared" si="2"/>
        <v>0</v>
      </c>
      <c r="F22" s="1927">
        <f t="shared" si="1"/>
        <v>0</v>
      </c>
      <c r="G22" s="1790">
        <f t="shared" si="3"/>
        <v>0</v>
      </c>
    </row>
    <row r="23" spans="1:8" x14ac:dyDescent="0.25">
      <c r="A23" s="1650"/>
      <c r="B23" s="1929"/>
      <c r="C23" s="1653"/>
      <c r="D23" s="1841"/>
      <c r="E23" s="1537">
        <f t="shared" si="2"/>
        <v>0</v>
      </c>
      <c r="F23" s="1927">
        <f t="shared" si="1"/>
        <v>0</v>
      </c>
      <c r="G23" s="1790">
        <f t="shared" si="3"/>
        <v>0</v>
      </c>
    </row>
    <row r="24" spans="1:8" x14ac:dyDescent="0.25">
      <c r="A24" s="1650"/>
      <c r="B24" s="1929"/>
      <c r="C24" s="1653"/>
      <c r="D24" s="1841"/>
      <c r="E24" s="1537">
        <f t="shared" si="2"/>
        <v>0</v>
      </c>
      <c r="F24" s="1927">
        <f t="shared" si="1"/>
        <v>0</v>
      </c>
      <c r="G24" s="1790">
        <f t="shared" si="3"/>
        <v>0</v>
      </c>
    </row>
    <row r="25" spans="1:8" x14ac:dyDescent="0.25">
      <c r="A25" s="1650"/>
      <c r="B25" s="1929"/>
      <c r="C25" s="1653"/>
      <c r="D25" s="1841"/>
      <c r="E25" s="1537">
        <f t="shared" si="2"/>
        <v>0</v>
      </c>
      <c r="F25" s="1927">
        <f t="shared" si="1"/>
        <v>0</v>
      </c>
      <c r="G25" s="1790">
        <f t="shared" si="3"/>
        <v>0</v>
      </c>
    </row>
    <row r="26" spans="1:8" x14ac:dyDescent="0.25">
      <c r="A26" s="1650"/>
      <c r="B26" s="1929"/>
      <c r="C26" s="1651"/>
      <c r="D26" s="1841"/>
      <c r="E26" s="1537">
        <f t="shared" si="2"/>
        <v>0</v>
      </c>
      <c r="F26" s="1927">
        <f t="shared" si="1"/>
        <v>0</v>
      </c>
      <c r="G26" s="1790">
        <f t="shared" si="3"/>
        <v>0</v>
      </c>
    </row>
    <row r="27" spans="1:8" x14ac:dyDescent="0.25">
      <c r="A27" s="1650"/>
      <c r="B27" s="1929"/>
      <c r="C27" s="1651"/>
      <c r="D27" s="1841"/>
      <c r="E27" s="1537">
        <f t="shared" si="2"/>
        <v>0</v>
      </c>
      <c r="F27" s="1927">
        <f t="shared" si="1"/>
        <v>0</v>
      </c>
      <c r="G27" s="1790">
        <f t="shared" si="3"/>
        <v>0</v>
      </c>
    </row>
    <row r="28" spans="1:8" x14ac:dyDescent="0.25">
      <c r="A28" s="1650"/>
      <c r="B28" s="1929"/>
      <c r="C28" s="1651"/>
      <c r="D28" s="1841"/>
      <c r="E28" s="1537">
        <f t="shared" si="2"/>
        <v>0</v>
      </c>
      <c r="F28" s="1927">
        <f t="shared" si="1"/>
        <v>0</v>
      </c>
      <c r="G28" s="1790">
        <f t="shared" si="3"/>
        <v>0</v>
      </c>
    </row>
    <row r="29" spans="1:8" x14ac:dyDescent="0.25">
      <c r="A29" s="1650"/>
      <c r="B29" s="1929"/>
      <c r="C29" s="1651"/>
      <c r="D29" s="1841"/>
      <c r="E29" s="1537">
        <f t="shared" si="2"/>
        <v>0</v>
      </c>
      <c r="F29" s="1927">
        <f t="shared" si="1"/>
        <v>0</v>
      </c>
      <c r="G29" s="1790">
        <f t="shared" si="3"/>
        <v>0</v>
      </c>
    </row>
    <row r="30" spans="1:8" x14ac:dyDescent="0.25">
      <c r="A30" s="1650"/>
      <c r="B30" s="1929"/>
      <c r="C30" s="1651"/>
      <c r="D30" s="1841"/>
      <c r="E30" s="1537">
        <f t="shared" si="2"/>
        <v>0</v>
      </c>
      <c r="F30" s="1927">
        <f t="shared" si="1"/>
        <v>0</v>
      </c>
      <c r="G30" s="1790">
        <f t="shared" si="3"/>
        <v>0</v>
      </c>
    </row>
    <row r="31" spans="1:8" x14ac:dyDescent="0.25">
      <c r="A31" s="1650"/>
      <c r="B31" s="1929"/>
      <c r="C31" s="1651"/>
      <c r="D31" s="1841"/>
      <c r="E31" s="1537">
        <f t="shared" si="2"/>
        <v>0</v>
      </c>
      <c r="F31" s="1927">
        <f t="shared" si="1"/>
        <v>0</v>
      </c>
      <c r="G31" s="1790">
        <f t="shared" si="3"/>
        <v>0</v>
      </c>
    </row>
    <row r="32" spans="1:8" x14ac:dyDescent="0.25">
      <c r="A32" s="1650"/>
      <c r="B32" s="1929"/>
      <c r="C32" s="1651"/>
      <c r="D32" s="1841"/>
      <c r="E32" s="1537">
        <f t="shared" si="2"/>
        <v>0</v>
      </c>
      <c r="F32" s="1927">
        <f t="shared" si="1"/>
        <v>0</v>
      </c>
      <c r="G32" s="1790">
        <f t="shared" si="3"/>
        <v>0</v>
      </c>
    </row>
    <row r="33" spans="1:7" x14ac:dyDescent="0.25">
      <c r="A33" s="1650"/>
      <c r="B33" s="1929"/>
      <c r="C33" s="1651"/>
      <c r="D33" s="1841"/>
      <c r="E33" s="1537">
        <f t="shared" si="2"/>
        <v>0</v>
      </c>
      <c r="F33" s="1927">
        <f t="shared" si="1"/>
        <v>0</v>
      </c>
      <c r="G33" s="1790">
        <f t="shared" si="3"/>
        <v>0</v>
      </c>
    </row>
    <row r="34" spans="1:7" x14ac:dyDescent="0.25">
      <c r="A34" s="1650"/>
      <c r="B34" s="1929"/>
      <c r="C34" s="1651"/>
      <c r="D34" s="1841"/>
      <c r="E34" s="1537">
        <f t="shared" si="2"/>
        <v>0</v>
      </c>
      <c r="F34" s="1927">
        <f t="shared" si="1"/>
        <v>0</v>
      </c>
      <c r="G34" s="1790">
        <f t="shared" si="3"/>
        <v>0</v>
      </c>
    </row>
    <row r="35" spans="1:7" x14ac:dyDescent="0.25">
      <c r="A35" s="1650"/>
      <c r="B35" s="1929"/>
      <c r="C35" s="1651"/>
      <c r="D35" s="1841"/>
      <c r="E35" s="1537">
        <f t="shared" si="2"/>
        <v>0</v>
      </c>
      <c r="F35" s="1927">
        <f t="shared" si="1"/>
        <v>0</v>
      </c>
      <c r="G35" s="1790">
        <f t="shared" si="3"/>
        <v>0</v>
      </c>
    </row>
    <row r="36" spans="1:7" x14ac:dyDescent="0.25">
      <c r="A36" s="1650"/>
      <c r="B36" s="1929"/>
      <c r="C36" s="1651"/>
      <c r="D36" s="1841"/>
      <c r="E36" s="1537">
        <f t="shared" si="2"/>
        <v>0</v>
      </c>
      <c r="F36" s="1927">
        <f t="shared" si="1"/>
        <v>0</v>
      </c>
      <c r="G36" s="1790">
        <f t="shared" si="3"/>
        <v>0</v>
      </c>
    </row>
    <row r="37" spans="1:7" x14ac:dyDescent="0.25">
      <c r="A37" s="1650"/>
      <c r="B37" s="1929"/>
      <c r="C37" s="1651"/>
      <c r="D37" s="1841"/>
      <c r="E37" s="1537">
        <f t="shared" si="2"/>
        <v>0</v>
      </c>
      <c r="F37" s="1927">
        <f t="shared" si="1"/>
        <v>0</v>
      </c>
      <c r="G37" s="1790">
        <f t="shared" si="3"/>
        <v>0</v>
      </c>
    </row>
    <row r="38" spans="1:7" x14ac:dyDescent="0.25">
      <c r="A38" s="1650"/>
      <c r="B38" s="1930"/>
      <c r="C38" s="1651"/>
      <c r="D38" s="1841"/>
      <c r="E38" s="1537">
        <f t="shared" si="2"/>
        <v>0</v>
      </c>
      <c r="F38" s="1927">
        <f t="shared" si="1"/>
        <v>0</v>
      </c>
      <c r="G38" s="1790">
        <f t="shared" si="3"/>
        <v>0</v>
      </c>
    </row>
    <row r="39" spans="1:7" x14ac:dyDescent="0.25">
      <c r="A39" s="1650"/>
      <c r="B39" s="1930"/>
      <c r="C39" s="1651"/>
      <c r="D39" s="1841"/>
      <c r="E39" s="1537">
        <f t="shared" si="2"/>
        <v>0</v>
      </c>
      <c r="F39" s="1927">
        <f t="shared" si="1"/>
        <v>0</v>
      </c>
      <c r="G39" s="1790">
        <f t="shared" si="3"/>
        <v>0</v>
      </c>
    </row>
    <row r="40" spans="1:7" x14ac:dyDescent="0.25">
      <c r="A40" s="1650"/>
      <c r="B40" s="1930"/>
      <c r="C40" s="1651"/>
      <c r="D40" s="1841"/>
      <c r="E40" s="1537">
        <f t="shared" si="2"/>
        <v>0</v>
      </c>
      <c r="F40" s="1927">
        <f t="shared" si="1"/>
        <v>0</v>
      </c>
      <c r="G40" s="1790">
        <f t="shared" si="3"/>
        <v>0</v>
      </c>
    </row>
    <row r="41" spans="1:7" x14ac:dyDescent="0.25">
      <c r="A41" s="1650"/>
      <c r="B41" s="1930"/>
      <c r="C41" s="1651"/>
      <c r="D41" s="1841"/>
      <c r="E41" s="1537">
        <f t="shared" si="2"/>
        <v>0</v>
      </c>
      <c r="F41" s="1927">
        <f t="shared" si="1"/>
        <v>0</v>
      </c>
      <c r="G41" s="1790">
        <f t="shared" si="3"/>
        <v>0</v>
      </c>
    </row>
    <row r="42" spans="1:7" x14ac:dyDescent="0.25">
      <c r="A42" s="1650"/>
      <c r="B42" s="1930"/>
      <c r="C42" s="1651"/>
      <c r="D42" s="1841"/>
      <c r="E42" s="1537">
        <f t="shared" si="2"/>
        <v>0</v>
      </c>
      <c r="F42" s="1927">
        <f t="shared" si="1"/>
        <v>0</v>
      </c>
      <c r="G42" s="1790">
        <f t="shared" si="3"/>
        <v>0</v>
      </c>
    </row>
    <row r="43" spans="1:7" x14ac:dyDescent="0.25">
      <c r="A43" s="1650"/>
      <c r="B43" s="1930"/>
      <c r="C43" s="1651"/>
      <c r="D43" s="1841"/>
      <c r="E43" s="1537">
        <f t="shared" si="2"/>
        <v>0</v>
      </c>
      <c r="F43" s="1927">
        <f t="shared" si="1"/>
        <v>0</v>
      </c>
      <c r="G43" s="1790">
        <f t="shared" si="3"/>
        <v>0</v>
      </c>
    </row>
    <row r="44" spans="1:7" x14ac:dyDescent="0.25">
      <c r="A44" s="1650"/>
      <c r="B44" s="1930"/>
      <c r="C44" s="1651"/>
      <c r="D44" s="1841"/>
      <c r="E44" s="1537">
        <f t="shared" si="2"/>
        <v>0</v>
      </c>
      <c r="F44" s="1927">
        <f t="shared" si="1"/>
        <v>0</v>
      </c>
      <c r="G44" s="1790">
        <f t="shared" si="3"/>
        <v>0</v>
      </c>
    </row>
    <row r="45" spans="1:7" x14ac:dyDescent="0.25">
      <c r="A45" s="1650"/>
      <c r="B45" s="1930"/>
      <c r="C45" s="1651"/>
      <c r="D45" s="1841"/>
      <c r="E45" s="1537">
        <f t="shared" si="2"/>
        <v>0</v>
      </c>
      <c r="F45" s="1927">
        <f t="shared" si="1"/>
        <v>0</v>
      </c>
      <c r="G45" s="1790">
        <f t="shared" si="3"/>
        <v>0</v>
      </c>
    </row>
    <row r="46" spans="1:7" x14ac:dyDescent="0.25">
      <c r="A46" s="1650"/>
      <c r="B46" s="1664"/>
      <c r="C46" s="1651"/>
      <c r="D46" s="1841"/>
      <c r="E46" s="1537">
        <f t="shared" si="2"/>
        <v>0</v>
      </c>
      <c r="F46" s="1927">
        <f t="shared" si="1"/>
        <v>0</v>
      </c>
      <c r="G46" s="1790">
        <f t="shared" si="3"/>
        <v>0</v>
      </c>
    </row>
    <row r="47" spans="1:7" x14ac:dyDescent="0.25">
      <c r="A47" s="1650"/>
      <c r="B47" s="1664"/>
      <c r="C47" s="1651"/>
      <c r="D47" s="1841"/>
      <c r="E47" s="1537">
        <f t="shared" si="2"/>
        <v>0</v>
      </c>
      <c r="F47" s="1927">
        <f t="shared" si="1"/>
        <v>0</v>
      </c>
      <c r="G47" s="1790">
        <f t="shared" si="3"/>
        <v>0</v>
      </c>
    </row>
    <row r="48" spans="1:7" x14ac:dyDescent="0.25">
      <c r="A48" s="1650"/>
      <c r="B48" s="1664"/>
      <c r="C48" s="1651"/>
      <c r="D48" s="1841"/>
      <c r="E48" s="1537">
        <f t="shared" si="2"/>
        <v>0</v>
      </c>
      <c r="F48" s="1927">
        <f t="shared" si="1"/>
        <v>0</v>
      </c>
      <c r="G48" s="1790">
        <f t="shared" si="3"/>
        <v>0</v>
      </c>
    </row>
    <row r="49" spans="1:7" x14ac:dyDescent="0.25">
      <c r="A49" s="1650"/>
      <c r="B49" s="1664"/>
      <c r="C49" s="1651"/>
      <c r="D49" s="1841"/>
      <c r="E49" s="1537">
        <f t="shared" si="2"/>
        <v>0</v>
      </c>
      <c r="F49" s="1927">
        <f t="shared" si="1"/>
        <v>0</v>
      </c>
      <c r="G49" s="1790">
        <f t="shared" si="3"/>
        <v>0</v>
      </c>
    </row>
    <row r="50" spans="1:7" x14ac:dyDescent="0.25">
      <c r="A50" s="1650"/>
      <c r="B50" s="1664"/>
      <c r="C50" s="1651"/>
      <c r="D50" s="1841"/>
      <c r="E50" s="1537">
        <f t="shared" si="2"/>
        <v>0</v>
      </c>
      <c r="F50" s="1927">
        <f t="shared" si="1"/>
        <v>0</v>
      </c>
      <c r="G50" s="1790">
        <f t="shared" si="3"/>
        <v>0</v>
      </c>
    </row>
    <row r="51" spans="1:7" x14ac:dyDescent="0.25">
      <c r="A51" s="1650"/>
      <c r="B51" s="1664"/>
      <c r="C51" s="1651"/>
      <c r="D51" s="1841"/>
      <c r="E51" s="1537">
        <f t="shared" si="2"/>
        <v>0</v>
      </c>
      <c r="F51" s="1927">
        <f t="shared" si="1"/>
        <v>0</v>
      </c>
      <c r="G51" s="1790">
        <f t="shared" si="3"/>
        <v>0</v>
      </c>
    </row>
    <row r="52" spans="1:7" x14ac:dyDescent="0.25">
      <c r="A52" s="1650"/>
      <c r="B52" s="1664"/>
      <c r="C52" s="1651"/>
      <c r="D52" s="1841"/>
      <c r="E52" s="1537">
        <f t="shared" si="2"/>
        <v>0</v>
      </c>
      <c r="F52" s="1927">
        <f t="shared" si="1"/>
        <v>0</v>
      </c>
      <c r="G52" s="1790">
        <f t="shared" si="3"/>
        <v>0</v>
      </c>
    </row>
    <row r="53" spans="1:7" x14ac:dyDescent="0.25">
      <c r="A53" s="1650"/>
      <c r="B53" s="1664"/>
      <c r="C53" s="1651"/>
      <c r="D53" s="1841"/>
      <c r="E53" s="1537">
        <f t="shared" si="2"/>
        <v>0</v>
      </c>
      <c r="F53" s="1927">
        <f t="shared" si="1"/>
        <v>0</v>
      </c>
      <c r="G53" s="1790">
        <f t="shared" si="3"/>
        <v>0</v>
      </c>
    </row>
    <row r="54" spans="1:7" x14ac:dyDescent="0.25">
      <c r="A54" s="1650"/>
      <c r="B54" s="1664"/>
      <c r="C54" s="1651"/>
      <c r="D54" s="1841"/>
      <c r="E54" s="1537">
        <f t="shared" si="2"/>
        <v>0</v>
      </c>
      <c r="F54" s="1927">
        <f t="shared" si="1"/>
        <v>0</v>
      </c>
      <c r="G54" s="1790">
        <f t="shared" si="3"/>
        <v>0</v>
      </c>
    </row>
    <row r="55" spans="1:7" x14ac:dyDescent="0.25">
      <c r="A55" s="1650"/>
      <c r="B55" s="1664"/>
      <c r="C55" s="1651"/>
      <c r="D55" s="1841"/>
      <c r="E55" s="1537">
        <f t="shared" si="2"/>
        <v>0</v>
      </c>
      <c r="F55" s="1927">
        <f t="shared" si="1"/>
        <v>0</v>
      </c>
      <c r="G55" s="1790">
        <f t="shared" si="3"/>
        <v>0</v>
      </c>
    </row>
    <row r="56" spans="1:7" x14ac:dyDescent="0.25">
      <c r="A56" s="1650"/>
      <c r="B56" s="1664"/>
      <c r="C56" s="1651"/>
      <c r="D56" s="1841"/>
      <c r="E56" s="1537">
        <f t="shared" si="2"/>
        <v>0</v>
      </c>
      <c r="F56" s="1927">
        <f t="shared" si="1"/>
        <v>0</v>
      </c>
      <c r="G56" s="1790">
        <f t="shared" si="3"/>
        <v>0</v>
      </c>
    </row>
    <row r="57" spans="1:7" x14ac:dyDescent="0.25">
      <c r="A57" s="1650"/>
      <c r="B57" s="1664"/>
      <c r="C57" s="1651"/>
      <c r="D57" s="1841"/>
      <c r="E57" s="1537">
        <f t="shared" si="2"/>
        <v>0</v>
      </c>
      <c r="F57" s="1927">
        <f t="shared" si="1"/>
        <v>0</v>
      </c>
      <c r="G57" s="1790">
        <f t="shared" si="3"/>
        <v>0</v>
      </c>
    </row>
    <row r="58" spans="1:7" x14ac:dyDescent="0.25">
      <c r="A58" s="1650"/>
      <c r="B58" s="1664"/>
      <c r="C58" s="1651"/>
      <c r="D58" s="1841"/>
      <c r="E58" s="1537">
        <f t="shared" si="2"/>
        <v>0</v>
      </c>
      <c r="F58" s="1927">
        <f t="shared" si="1"/>
        <v>0</v>
      </c>
      <c r="G58" s="1790">
        <f t="shared" si="3"/>
        <v>0</v>
      </c>
    </row>
    <row r="59" spans="1:7" x14ac:dyDescent="0.25">
      <c r="A59" s="1650"/>
      <c r="B59" s="1664"/>
      <c r="C59" s="1651"/>
      <c r="D59" s="1841"/>
      <c r="E59" s="1537">
        <f t="shared" si="2"/>
        <v>0</v>
      </c>
      <c r="F59" s="1927">
        <f t="shared" si="1"/>
        <v>0</v>
      </c>
      <c r="G59" s="1790">
        <f t="shared" si="3"/>
        <v>0</v>
      </c>
    </row>
    <row r="60" spans="1:7" x14ac:dyDescent="0.25">
      <c r="A60" s="1650"/>
      <c r="B60" s="1664"/>
      <c r="C60" s="1651"/>
      <c r="D60" s="1841"/>
      <c r="E60" s="1537">
        <f t="shared" si="2"/>
        <v>0</v>
      </c>
      <c r="F60" s="1927">
        <f t="shared" si="1"/>
        <v>0</v>
      </c>
      <c r="G60" s="1790">
        <f t="shared" si="3"/>
        <v>0</v>
      </c>
    </row>
    <row r="61" spans="1:7" x14ac:dyDescent="0.25">
      <c r="A61" s="1650"/>
      <c r="B61" s="1664"/>
      <c r="C61" s="1651"/>
      <c r="D61" s="1841"/>
      <c r="E61" s="1537">
        <f t="shared" si="2"/>
        <v>0</v>
      </c>
      <c r="F61" s="1927">
        <f t="shared" si="1"/>
        <v>0</v>
      </c>
      <c r="G61" s="1790">
        <f t="shared" si="3"/>
        <v>0</v>
      </c>
    </row>
    <row r="62" spans="1:7" x14ac:dyDescent="0.25">
      <c r="A62" s="1650"/>
      <c r="B62" s="1664"/>
      <c r="C62" s="1651"/>
      <c r="D62" s="1841"/>
      <c r="E62" s="1537">
        <f t="shared" si="2"/>
        <v>0</v>
      </c>
      <c r="F62" s="1927">
        <f t="shared" si="1"/>
        <v>0</v>
      </c>
      <c r="G62" s="1790">
        <f t="shared" si="3"/>
        <v>0</v>
      </c>
    </row>
    <row r="63" spans="1:7" x14ac:dyDescent="0.25">
      <c r="A63" s="1650"/>
      <c r="B63" s="1664"/>
      <c r="C63" s="1651"/>
      <c r="D63" s="1841"/>
      <c r="E63" s="1537">
        <f t="shared" si="2"/>
        <v>0</v>
      </c>
      <c r="F63" s="1927">
        <f t="shared" si="1"/>
        <v>0</v>
      </c>
      <c r="G63" s="1790">
        <f t="shared" si="3"/>
        <v>0</v>
      </c>
    </row>
    <row r="64" spans="1:7" x14ac:dyDescent="0.25">
      <c r="A64" s="1652"/>
      <c r="B64" s="1664"/>
      <c r="C64" s="1653"/>
      <c r="D64" s="1841"/>
      <c r="E64" s="1537">
        <f t="shared" si="2"/>
        <v>0</v>
      </c>
      <c r="F64" s="1927">
        <f t="shared" si="1"/>
        <v>0</v>
      </c>
      <c r="G64" s="1790">
        <f t="shared" si="3"/>
        <v>0</v>
      </c>
    </row>
    <row r="65" spans="1:7" x14ac:dyDescent="0.25">
      <c r="A65" s="1650"/>
      <c r="B65" s="1664"/>
      <c r="C65" s="1651"/>
      <c r="D65" s="1841"/>
      <c r="E65" s="1537">
        <f t="shared" si="2"/>
        <v>0</v>
      </c>
      <c r="F65" s="1927">
        <f t="shared" si="1"/>
        <v>0</v>
      </c>
      <c r="G65" s="1790">
        <f t="shared" si="3"/>
        <v>0</v>
      </c>
    </row>
    <row r="66" spans="1:7" x14ac:dyDescent="0.25">
      <c r="A66" s="1650"/>
      <c r="B66" s="1664"/>
      <c r="C66" s="1651"/>
      <c r="D66" s="1841"/>
      <c r="E66" s="1537">
        <f t="shared" si="2"/>
        <v>0</v>
      </c>
      <c r="F66" s="1927">
        <f t="shared" si="1"/>
        <v>0</v>
      </c>
      <c r="G66" s="1790">
        <f t="shared" si="3"/>
        <v>0</v>
      </c>
    </row>
    <row r="67" spans="1:7" x14ac:dyDescent="0.25">
      <c r="A67" s="1650"/>
      <c r="B67" s="1664"/>
      <c r="C67" s="1651"/>
      <c r="D67" s="1841"/>
      <c r="E67" s="1537">
        <f t="shared" si="2"/>
        <v>0</v>
      </c>
      <c r="F67" s="1927">
        <f t="shared" si="1"/>
        <v>0</v>
      </c>
      <c r="G67" s="1790">
        <f t="shared" si="3"/>
        <v>0</v>
      </c>
    </row>
    <row r="68" spans="1:7" x14ac:dyDescent="0.25">
      <c r="A68" s="1650"/>
      <c r="B68" s="1664"/>
      <c r="C68" s="1651"/>
      <c r="D68" s="1841"/>
      <c r="E68" s="1537">
        <f t="shared" si="2"/>
        <v>0</v>
      </c>
      <c r="F68" s="1927">
        <f t="shared" si="1"/>
        <v>0</v>
      </c>
      <c r="G68" s="1790">
        <f t="shared" si="3"/>
        <v>0</v>
      </c>
    </row>
    <row r="69" spans="1:7" x14ac:dyDescent="0.25">
      <c r="A69" s="1650"/>
      <c r="B69" s="1664"/>
      <c r="C69" s="1651"/>
      <c r="D69" s="1841"/>
      <c r="E69" s="1537">
        <f t="shared" si="2"/>
        <v>0</v>
      </c>
      <c r="F69" s="1927">
        <f t="shared" si="1"/>
        <v>0</v>
      </c>
      <c r="G69" s="1790">
        <f t="shared" si="3"/>
        <v>0</v>
      </c>
    </row>
    <row r="70" spans="1:7" x14ac:dyDescent="0.25">
      <c r="A70" s="1650"/>
      <c r="B70" s="1664"/>
      <c r="C70" s="1651"/>
      <c r="D70" s="1841"/>
      <c r="E70" s="1537">
        <f t="shared" si="2"/>
        <v>0</v>
      </c>
      <c r="F70" s="1927">
        <f t="shared" si="1"/>
        <v>0</v>
      </c>
      <c r="G70" s="1790">
        <f t="shared" si="3"/>
        <v>0</v>
      </c>
    </row>
    <row r="71" spans="1:7" x14ac:dyDescent="0.25">
      <c r="A71" s="1650"/>
      <c r="B71" s="1664"/>
      <c r="C71" s="1651"/>
      <c r="D71" s="1841"/>
      <c r="E71" s="1537">
        <f t="shared" si="2"/>
        <v>0</v>
      </c>
      <c r="F71" s="1927">
        <f t="shared" si="1"/>
        <v>0</v>
      </c>
      <c r="G71" s="1790">
        <f t="shared" si="3"/>
        <v>0</v>
      </c>
    </row>
    <row r="72" spans="1:7" x14ac:dyDescent="0.25">
      <c r="A72" s="1650"/>
      <c r="B72" s="1664"/>
      <c r="C72" s="1651"/>
      <c r="D72" s="1841"/>
      <c r="E72" s="1537">
        <f t="shared" si="2"/>
        <v>0</v>
      </c>
      <c r="F72" s="1927">
        <f t="shared" si="1"/>
        <v>0</v>
      </c>
      <c r="G72" s="1790">
        <f t="shared" si="3"/>
        <v>0</v>
      </c>
    </row>
    <row r="73" spans="1:7" x14ac:dyDescent="0.25">
      <c r="A73" s="1650"/>
      <c r="B73" s="1664"/>
      <c r="C73" s="1651"/>
      <c r="D73" s="1841"/>
      <c r="E73" s="1537">
        <f t="shared" ref="E73:E84" si="4">IF(D73&lt;=25000,D73,IF(D73&gt;25000,25000,0))</f>
        <v>0</v>
      </c>
      <c r="F73" s="1927">
        <f t="shared" si="1"/>
        <v>0</v>
      </c>
      <c r="G73" s="1790">
        <f t="shared" ref="G73:G84" si="5">IF(F73=0,0,D73-F73)</f>
        <v>0</v>
      </c>
    </row>
    <row r="74" spans="1:7" x14ac:dyDescent="0.25">
      <c r="A74" s="1650"/>
      <c r="B74" s="1664"/>
      <c r="C74" s="1651"/>
      <c r="D74" s="1841"/>
      <c r="E74" s="1537">
        <f t="shared" si="4"/>
        <v>0</v>
      </c>
      <c r="F74" s="1927">
        <f t="shared" si="1"/>
        <v>0</v>
      </c>
      <c r="G74" s="1790">
        <f t="shared" si="5"/>
        <v>0</v>
      </c>
    </row>
    <row r="75" spans="1:7" x14ac:dyDescent="0.25">
      <c r="A75" s="1650"/>
      <c r="B75" s="1664"/>
      <c r="C75" s="1651"/>
      <c r="D75" s="1841"/>
      <c r="E75" s="1537">
        <f t="shared" si="4"/>
        <v>0</v>
      </c>
      <c r="F75" s="1927">
        <f t="shared" si="1"/>
        <v>0</v>
      </c>
      <c r="G75" s="1790">
        <f t="shared" si="5"/>
        <v>0</v>
      </c>
    </row>
    <row r="76" spans="1:7" x14ac:dyDescent="0.25">
      <c r="A76" s="1650"/>
      <c r="B76" s="1664"/>
      <c r="C76" s="1651"/>
      <c r="D76" s="1841"/>
      <c r="E76" s="1537">
        <f t="shared" si="4"/>
        <v>0</v>
      </c>
      <c r="F76" s="1927">
        <f t="shared" si="1"/>
        <v>0</v>
      </c>
      <c r="G76" s="1790">
        <f t="shared" si="5"/>
        <v>0</v>
      </c>
    </row>
    <row r="77" spans="1:7" x14ac:dyDescent="0.25">
      <c r="A77" s="1650"/>
      <c r="B77" s="1664"/>
      <c r="C77" s="1651"/>
      <c r="D77" s="1841"/>
      <c r="E77" s="1537">
        <f t="shared" si="4"/>
        <v>0</v>
      </c>
      <c r="F77" s="1927">
        <f t="shared" si="1"/>
        <v>0</v>
      </c>
      <c r="G77" s="1790">
        <f t="shared" si="5"/>
        <v>0</v>
      </c>
    </row>
    <row r="78" spans="1:7" x14ac:dyDescent="0.25">
      <c r="A78" s="1650"/>
      <c r="B78" s="1664"/>
      <c r="C78" s="1651"/>
      <c r="D78" s="1841"/>
      <c r="E78" s="1537">
        <f t="shared" si="4"/>
        <v>0</v>
      </c>
      <c r="F78" s="1927">
        <f t="shared" si="1"/>
        <v>0</v>
      </c>
      <c r="G78" s="1790">
        <f t="shared" si="5"/>
        <v>0</v>
      </c>
    </row>
    <row r="79" spans="1:7" x14ac:dyDescent="0.25">
      <c r="A79" s="1650"/>
      <c r="B79" s="1664"/>
      <c r="C79" s="1651"/>
      <c r="D79" s="1841"/>
      <c r="E79" s="1537">
        <f t="shared" si="4"/>
        <v>0</v>
      </c>
      <c r="F79" s="1927">
        <f t="shared" si="1"/>
        <v>0</v>
      </c>
      <c r="G79" s="1790">
        <f t="shared" si="5"/>
        <v>0</v>
      </c>
    </row>
    <row r="80" spans="1:7" x14ac:dyDescent="0.25">
      <c r="A80" s="1650"/>
      <c r="B80" s="1664"/>
      <c r="C80" s="1651"/>
      <c r="D80" s="1841"/>
      <c r="E80" s="1537">
        <f t="shared" si="4"/>
        <v>0</v>
      </c>
      <c r="F80" s="1927">
        <f t="shared" si="1"/>
        <v>0</v>
      </c>
      <c r="G80" s="1790">
        <f t="shared" si="5"/>
        <v>0</v>
      </c>
    </row>
    <row r="81" spans="1:7" x14ac:dyDescent="0.25">
      <c r="A81" s="1650"/>
      <c r="B81" s="1664"/>
      <c r="C81" s="1651"/>
      <c r="D81" s="1841"/>
      <c r="E81" s="1537">
        <f t="shared" si="4"/>
        <v>0</v>
      </c>
      <c r="F81" s="1927">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7">
        <f t="shared" si="6"/>
        <v>0</v>
      </c>
      <c r="G82" s="1790">
        <f t="shared" si="5"/>
        <v>0</v>
      </c>
    </row>
    <row r="83" spans="1:7" x14ac:dyDescent="0.25">
      <c r="A83" s="1650"/>
      <c r="B83" s="1664"/>
      <c r="C83" s="1651"/>
      <c r="D83" s="1841"/>
      <c r="E83" s="1537">
        <f t="shared" si="4"/>
        <v>0</v>
      </c>
      <c r="F83" s="1927">
        <f t="shared" si="6"/>
        <v>0</v>
      </c>
      <c r="G83" s="1790">
        <f t="shared" si="5"/>
        <v>0</v>
      </c>
    </row>
    <row r="84" spans="1:7" x14ac:dyDescent="0.25">
      <c r="A84" s="1650"/>
      <c r="B84" s="1664"/>
      <c r="C84" s="1651"/>
      <c r="D84" s="1841"/>
      <c r="E84" s="1537">
        <f t="shared" si="4"/>
        <v>0</v>
      </c>
      <c r="F84" s="1927">
        <f t="shared" si="6"/>
        <v>0</v>
      </c>
      <c r="G84" s="1790">
        <f t="shared" si="5"/>
        <v>0</v>
      </c>
    </row>
    <row r="85" spans="1:7" x14ac:dyDescent="0.25">
      <c r="A85" s="1650"/>
      <c r="B85" s="1664"/>
      <c r="C85" s="1651"/>
      <c r="D85" s="1841"/>
      <c r="E85" s="1537">
        <f t="shared" si="2"/>
        <v>0</v>
      </c>
      <c r="F85" s="1927">
        <f t="shared" si="6"/>
        <v>0</v>
      </c>
      <c r="G85" s="1790">
        <f t="shared" si="3"/>
        <v>0</v>
      </c>
    </row>
    <row r="86" spans="1:7" x14ac:dyDescent="0.25">
      <c r="A86" s="1650"/>
      <c r="B86" s="1664"/>
      <c r="C86" s="1651"/>
      <c r="D86" s="1841"/>
      <c r="E86" s="1537">
        <f t="shared" si="2"/>
        <v>0</v>
      </c>
      <c r="F86" s="1927">
        <f t="shared" si="6"/>
        <v>0</v>
      </c>
      <c r="G86" s="1790">
        <f t="shared" si="3"/>
        <v>0</v>
      </c>
    </row>
    <row r="87" spans="1:7" x14ac:dyDescent="0.25">
      <c r="A87" s="1650"/>
      <c r="B87" s="1664"/>
      <c r="C87" s="1651"/>
      <c r="D87" s="1841"/>
      <c r="E87" s="1537">
        <f t="shared" si="2"/>
        <v>0</v>
      </c>
      <c r="F87" s="1927">
        <f t="shared" si="6"/>
        <v>0</v>
      </c>
      <c r="G87" s="1790">
        <f t="shared" si="3"/>
        <v>0</v>
      </c>
    </row>
    <row r="88" spans="1:7" x14ac:dyDescent="0.25">
      <c r="A88" s="1650"/>
      <c r="B88" s="1664"/>
      <c r="C88" s="1651"/>
      <c r="D88" s="1841"/>
      <c r="E88" s="1537">
        <f t="shared" si="2"/>
        <v>0</v>
      </c>
      <c r="F88" s="1927">
        <f t="shared" si="6"/>
        <v>0</v>
      </c>
      <c r="G88" s="1790">
        <f t="shared" si="3"/>
        <v>0</v>
      </c>
    </row>
    <row r="89" spans="1:7" x14ac:dyDescent="0.25">
      <c r="A89" s="1650"/>
      <c r="B89" s="1664"/>
      <c r="C89" s="1651"/>
      <c r="D89" s="1841"/>
      <c r="E89" s="1537">
        <f t="shared" si="2"/>
        <v>0</v>
      </c>
      <c r="F89" s="1927">
        <f t="shared" si="6"/>
        <v>0</v>
      </c>
      <c r="G89" s="1790">
        <f t="shared" si="3"/>
        <v>0</v>
      </c>
    </row>
    <row r="90" spans="1:7" x14ac:dyDescent="0.25">
      <c r="A90" s="1650"/>
      <c r="B90" s="1664"/>
      <c r="C90" s="1651"/>
      <c r="D90" s="1841"/>
      <c r="E90" s="1537">
        <f t="shared" si="2"/>
        <v>0</v>
      </c>
      <c r="F90" s="1927">
        <f t="shared" si="6"/>
        <v>0</v>
      </c>
      <c r="G90" s="1790">
        <f t="shared" si="3"/>
        <v>0</v>
      </c>
    </row>
    <row r="91" spans="1:7" x14ac:dyDescent="0.25">
      <c r="A91" s="1650"/>
      <c r="B91" s="1664"/>
      <c r="C91" s="1651"/>
      <c r="D91" s="1841"/>
      <c r="E91" s="1537">
        <f t="shared" si="2"/>
        <v>0</v>
      </c>
      <c r="F91" s="1927">
        <f t="shared" si="6"/>
        <v>0</v>
      </c>
      <c r="G91" s="1790">
        <f t="shared" si="3"/>
        <v>0</v>
      </c>
    </row>
    <row r="92" spans="1:7" x14ac:dyDescent="0.25">
      <c r="A92" s="1650"/>
      <c r="B92" s="1664"/>
      <c r="C92" s="1651"/>
      <c r="D92" s="1841"/>
      <c r="E92" s="1537">
        <f t="shared" si="2"/>
        <v>0</v>
      </c>
      <c r="F92" s="1927">
        <f t="shared" si="6"/>
        <v>0</v>
      </c>
      <c r="G92" s="1790">
        <f t="shared" si="3"/>
        <v>0</v>
      </c>
    </row>
    <row r="93" spans="1:7" x14ac:dyDescent="0.25">
      <c r="A93" s="1650"/>
      <c r="B93" s="1664"/>
      <c r="C93" s="1651"/>
      <c r="D93" s="1841"/>
      <c r="E93" s="1537">
        <f t="shared" ref="E93" si="7">IF(D93&lt;=25000,D93,IF(D93&gt;25000,25000,0))</f>
        <v>0</v>
      </c>
      <c r="F93" s="1927">
        <f t="shared" si="6"/>
        <v>0</v>
      </c>
      <c r="G93" s="1790">
        <f t="shared" ref="G93" si="8">IF(F93=0,0,D93-F93)</f>
        <v>0</v>
      </c>
    </row>
    <row r="94" spans="1:7" x14ac:dyDescent="0.25">
      <c r="A94" s="1650"/>
      <c r="B94" s="1664"/>
      <c r="C94" s="1651"/>
      <c r="D94" s="1841"/>
      <c r="E94" s="1537">
        <f t="shared" si="2"/>
        <v>0</v>
      </c>
      <c r="F94" s="1927">
        <f t="shared" si="6"/>
        <v>0</v>
      </c>
      <c r="G94" s="1790">
        <f t="shared" si="3"/>
        <v>0</v>
      </c>
    </row>
    <row r="95" spans="1:7" x14ac:dyDescent="0.25">
      <c r="A95" s="1650"/>
      <c r="B95" s="1664"/>
      <c r="C95" s="1651"/>
      <c r="D95" s="1841"/>
      <c r="E95" s="1537">
        <f t="shared" ref="E95:E98" si="9">IF(D95&lt;=25000,D95,IF(D95&gt;25000,25000,0))</f>
        <v>0</v>
      </c>
      <c r="F95" s="1927">
        <f t="shared" si="6"/>
        <v>0</v>
      </c>
      <c r="G95" s="1790">
        <f t="shared" ref="G95:G98" si="10">IF(F95=0,0,D95-F95)</f>
        <v>0</v>
      </c>
    </row>
    <row r="96" spans="1:7" x14ac:dyDescent="0.25">
      <c r="A96" s="1650"/>
      <c r="B96" s="1664"/>
      <c r="C96" s="1651"/>
      <c r="D96" s="1841"/>
      <c r="E96" s="1537">
        <f t="shared" si="9"/>
        <v>0</v>
      </c>
      <c r="F96" s="1927">
        <f t="shared" si="6"/>
        <v>0</v>
      </c>
      <c r="G96" s="1790">
        <f t="shared" si="10"/>
        <v>0</v>
      </c>
    </row>
    <row r="97" spans="1:7" x14ac:dyDescent="0.25">
      <c r="A97" s="1650"/>
      <c r="B97" s="1664"/>
      <c r="C97" s="1651"/>
      <c r="D97" s="1841"/>
      <c r="E97" s="1537">
        <f t="shared" si="9"/>
        <v>0</v>
      </c>
      <c r="F97" s="1927">
        <f t="shared" si="6"/>
        <v>0</v>
      </c>
      <c r="G97" s="1790">
        <f t="shared" si="10"/>
        <v>0</v>
      </c>
    </row>
    <row r="98" spans="1:7" x14ac:dyDescent="0.25">
      <c r="A98" s="1650"/>
      <c r="B98" s="1664"/>
      <c r="C98" s="1651"/>
      <c r="D98" s="1841"/>
      <c r="E98" s="1537">
        <f t="shared" si="9"/>
        <v>0</v>
      </c>
      <c r="F98" s="1927">
        <f t="shared" si="6"/>
        <v>0</v>
      </c>
      <c r="G98" s="1790">
        <f t="shared" si="10"/>
        <v>0</v>
      </c>
    </row>
    <row r="99" spans="1:7" x14ac:dyDescent="0.25">
      <c r="A99" s="1650"/>
      <c r="B99" s="1664"/>
      <c r="C99" s="1651"/>
      <c r="D99" s="1841"/>
      <c r="E99" s="1537">
        <f t="shared" ref="E99" si="11">IF(D99&lt;=25000,D99,IF(D99&gt;25000,25000,0))</f>
        <v>0</v>
      </c>
      <c r="F99" s="1927">
        <f t="shared" si="6"/>
        <v>0</v>
      </c>
      <c r="G99" s="1790">
        <f t="shared" ref="G99" si="12">IF(F99=0,0,D99-F99)</f>
        <v>0</v>
      </c>
    </row>
    <row r="100" spans="1:7" x14ac:dyDescent="0.25">
      <c r="A100" s="1650"/>
      <c r="B100" s="1664"/>
      <c r="C100" s="1651"/>
      <c r="D100" s="1841"/>
      <c r="E100" s="1537">
        <f t="shared" ref="E100:E112" si="13">IF(D100&lt;=25000,D100,IF(D100&gt;25000,25000,0))</f>
        <v>0</v>
      </c>
      <c r="F100" s="1927">
        <f t="shared" si="6"/>
        <v>0</v>
      </c>
      <c r="G100" s="1790">
        <f t="shared" ref="G100:G112" si="14">IF(F100=0,0,D100-F100)</f>
        <v>0</v>
      </c>
    </row>
    <row r="101" spans="1:7" x14ac:dyDescent="0.25">
      <c r="A101" s="1650"/>
      <c r="B101" s="1664"/>
      <c r="C101" s="1651"/>
      <c r="D101" s="1841"/>
      <c r="E101" s="1537">
        <f t="shared" si="13"/>
        <v>0</v>
      </c>
      <c r="F101" s="1927">
        <f t="shared" si="6"/>
        <v>0</v>
      </c>
      <c r="G101" s="1790">
        <f t="shared" si="14"/>
        <v>0</v>
      </c>
    </row>
    <row r="102" spans="1:7" x14ac:dyDescent="0.25">
      <c r="A102" s="1650"/>
      <c r="B102" s="1664"/>
      <c r="C102" s="1651"/>
      <c r="D102" s="1841"/>
      <c r="E102" s="1537">
        <f t="shared" si="13"/>
        <v>0</v>
      </c>
      <c r="F102" s="1927">
        <f t="shared" si="6"/>
        <v>0</v>
      </c>
      <c r="G102" s="1790">
        <f t="shared" si="14"/>
        <v>0</v>
      </c>
    </row>
    <row r="103" spans="1:7" x14ac:dyDescent="0.25">
      <c r="A103" s="1650"/>
      <c r="B103" s="1664"/>
      <c r="C103" s="1651"/>
      <c r="D103" s="1841"/>
      <c r="E103" s="1537">
        <f t="shared" si="13"/>
        <v>0</v>
      </c>
      <c r="F103" s="1927">
        <f t="shared" si="6"/>
        <v>0</v>
      </c>
      <c r="G103" s="1790">
        <f t="shared" si="14"/>
        <v>0</v>
      </c>
    </row>
    <row r="104" spans="1:7" x14ac:dyDescent="0.25">
      <c r="A104" s="1650"/>
      <c r="B104" s="1664"/>
      <c r="C104" s="1651"/>
      <c r="D104" s="1841"/>
      <c r="E104" s="1537">
        <f t="shared" si="13"/>
        <v>0</v>
      </c>
      <c r="F104" s="1927">
        <f t="shared" si="6"/>
        <v>0</v>
      </c>
      <c r="G104" s="1790">
        <f t="shared" si="14"/>
        <v>0</v>
      </c>
    </row>
    <row r="105" spans="1:7" x14ac:dyDescent="0.25">
      <c r="A105" s="1650"/>
      <c r="B105" s="1664"/>
      <c r="C105" s="1651"/>
      <c r="D105" s="1841"/>
      <c r="E105" s="1537">
        <f t="shared" si="13"/>
        <v>0</v>
      </c>
      <c r="F105" s="1927">
        <f t="shared" si="6"/>
        <v>0</v>
      </c>
      <c r="G105" s="1790">
        <f t="shared" si="14"/>
        <v>0</v>
      </c>
    </row>
    <row r="106" spans="1:7" x14ac:dyDescent="0.25">
      <c r="A106" s="1650"/>
      <c r="B106" s="1664"/>
      <c r="C106" s="1651"/>
      <c r="D106" s="1841"/>
      <c r="E106" s="1537">
        <f t="shared" si="13"/>
        <v>0</v>
      </c>
      <c r="F106" s="1927">
        <f t="shared" si="6"/>
        <v>0</v>
      </c>
      <c r="G106" s="1790">
        <f t="shared" si="14"/>
        <v>0</v>
      </c>
    </row>
    <row r="107" spans="1:7" x14ac:dyDescent="0.25">
      <c r="A107" s="1650"/>
      <c r="B107" s="1664"/>
      <c r="C107" s="1651"/>
      <c r="D107" s="1841"/>
      <c r="E107" s="1537">
        <f t="shared" si="13"/>
        <v>0</v>
      </c>
      <c r="F107" s="1927">
        <f t="shared" si="6"/>
        <v>0</v>
      </c>
      <c r="G107" s="1790">
        <f t="shared" si="14"/>
        <v>0</v>
      </c>
    </row>
    <row r="108" spans="1:7" x14ac:dyDescent="0.25">
      <c r="A108" s="1650"/>
      <c r="B108" s="1664"/>
      <c r="C108" s="1651"/>
      <c r="D108" s="1841"/>
      <c r="E108" s="1537">
        <f t="shared" si="13"/>
        <v>0</v>
      </c>
      <c r="F108" s="1927">
        <f t="shared" si="6"/>
        <v>0</v>
      </c>
      <c r="G108" s="1790">
        <f t="shared" si="14"/>
        <v>0</v>
      </c>
    </row>
    <row r="109" spans="1:7" x14ac:dyDescent="0.25">
      <c r="A109" s="1650"/>
      <c r="B109" s="1664"/>
      <c r="C109" s="1651"/>
      <c r="D109" s="1841"/>
      <c r="E109" s="1537">
        <f t="shared" si="13"/>
        <v>0</v>
      </c>
      <c r="F109" s="1927">
        <f t="shared" si="6"/>
        <v>0</v>
      </c>
      <c r="G109" s="1790">
        <f t="shared" si="14"/>
        <v>0</v>
      </c>
    </row>
    <row r="110" spans="1:7" x14ac:dyDescent="0.25">
      <c r="A110" s="1650"/>
      <c r="B110" s="1664"/>
      <c r="C110" s="1651"/>
      <c r="D110" s="1841"/>
      <c r="E110" s="1537">
        <f t="shared" si="13"/>
        <v>0</v>
      </c>
      <c r="F110" s="1927">
        <f t="shared" si="6"/>
        <v>0</v>
      </c>
      <c r="G110" s="1790">
        <f t="shared" si="14"/>
        <v>0</v>
      </c>
    </row>
    <row r="111" spans="1:7" x14ac:dyDescent="0.25">
      <c r="A111" s="1650"/>
      <c r="B111" s="1664"/>
      <c r="C111" s="1651"/>
      <c r="D111" s="1841"/>
      <c r="E111" s="1537">
        <f t="shared" si="13"/>
        <v>0</v>
      </c>
      <c r="F111" s="1927">
        <f t="shared" si="6"/>
        <v>0</v>
      </c>
      <c r="G111" s="1790">
        <f t="shared" si="14"/>
        <v>0</v>
      </c>
    </row>
    <row r="112" spans="1:7" x14ac:dyDescent="0.25">
      <c r="A112" s="1650"/>
      <c r="B112" s="1664"/>
      <c r="C112" s="1651"/>
      <c r="D112" s="1841"/>
      <c r="E112" s="1537">
        <f t="shared" si="13"/>
        <v>0</v>
      </c>
      <c r="F112" s="1927">
        <f t="shared" si="6"/>
        <v>0</v>
      </c>
      <c r="G112" s="1790">
        <f t="shared" si="14"/>
        <v>0</v>
      </c>
    </row>
    <row r="113" spans="1:7" x14ac:dyDescent="0.25">
      <c r="A113" s="1650"/>
      <c r="B113" s="1664"/>
      <c r="C113" s="1651"/>
      <c r="D113" s="1841"/>
      <c r="E113" s="1537">
        <f t="shared" ref="E113:E125" si="15">IF(D113&lt;=25000,D113,IF(D113&gt;25000,25000,0))</f>
        <v>0</v>
      </c>
      <c r="F113" s="1927">
        <f t="shared" si="6"/>
        <v>0</v>
      </c>
      <c r="G113" s="1790">
        <f t="shared" ref="G113:G125" si="16">IF(F113=0,0,D113-F113)</f>
        <v>0</v>
      </c>
    </row>
    <row r="114" spans="1:7" x14ac:dyDescent="0.25">
      <c r="A114" s="1650"/>
      <c r="B114" s="1664"/>
      <c r="C114" s="1651"/>
      <c r="D114" s="1841"/>
      <c r="E114" s="1537">
        <f t="shared" si="15"/>
        <v>0</v>
      </c>
      <c r="F114" s="1927">
        <f t="shared" si="6"/>
        <v>0</v>
      </c>
      <c r="G114" s="1790">
        <f t="shared" si="16"/>
        <v>0</v>
      </c>
    </row>
    <row r="115" spans="1:7" x14ac:dyDescent="0.25">
      <c r="A115" s="1650"/>
      <c r="B115" s="1664"/>
      <c r="C115" s="1651"/>
      <c r="D115" s="1841"/>
      <c r="E115" s="1537">
        <f t="shared" si="15"/>
        <v>0</v>
      </c>
      <c r="F115" s="1927">
        <f t="shared" si="6"/>
        <v>0</v>
      </c>
      <c r="G115" s="1790">
        <f t="shared" si="16"/>
        <v>0</v>
      </c>
    </row>
    <row r="116" spans="1:7" x14ac:dyDescent="0.25">
      <c r="A116" s="1650"/>
      <c r="B116" s="1664"/>
      <c r="C116" s="1651"/>
      <c r="D116" s="1841"/>
      <c r="E116" s="1537">
        <f t="shared" si="15"/>
        <v>0</v>
      </c>
      <c r="F116" s="1927">
        <f t="shared" si="6"/>
        <v>0</v>
      </c>
      <c r="G116" s="1790">
        <f t="shared" si="16"/>
        <v>0</v>
      </c>
    </row>
    <row r="117" spans="1:7" x14ac:dyDescent="0.25">
      <c r="A117" s="1650"/>
      <c r="B117" s="1664"/>
      <c r="C117" s="1651"/>
      <c r="D117" s="1841"/>
      <c r="E117" s="1537">
        <f t="shared" si="15"/>
        <v>0</v>
      </c>
      <c r="F117" s="1927">
        <f t="shared" si="6"/>
        <v>0</v>
      </c>
      <c r="G117" s="1790">
        <f t="shared" si="16"/>
        <v>0</v>
      </c>
    </row>
    <row r="118" spans="1:7" x14ac:dyDescent="0.25">
      <c r="A118" s="1650"/>
      <c r="B118" s="1664"/>
      <c r="C118" s="1651"/>
      <c r="D118" s="1841"/>
      <c r="E118" s="1537">
        <f t="shared" si="15"/>
        <v>0</v>
      </c>
      <c r="F118" s="1927">
        <f t="shared" si="6"/>
        <v>0</v>
      </c>
      <c r="G118" s="1790">
        <f t="shared" si="16"/>
        <v>0</v>
      </c>
    </row>
    <row r="119" spans="1:7" x14ac:dyDescent="0.25">
      <c r="A119" s="1650"/>
      <c r="B119" s="1664"/>
      <c r="C119" s="1651"/>
      <c r="D119" s="1841"/>
      <c r="E119" s="1537">
        <f t="shared" si="15"/>
        <v>0</v>
      </c>
      <c r="F119" s="1927">
        <f t="shared" si="6"/>
        <v>0</v>
      </c>
      <c r="G119" s="1790">
        <f t="shared" si="16"/>
        <v>0</v>
      </c>
    </row>
    <row r="120" spans="1:7" x14ac:dyDescent="0.25">
      <c r="A120" s="1650"/>
      <c r="B120" s="1664"/>
      <c r="C120" s="1651"/>
      <c r="D120" s="1841"/>
      <c r="E120" s="1537">
        <f t="shared" si="15"/>
        <v>0</v>
      </c>
      <c r="F120" s="1927">
        <f t="shared" si="6"/>
        <v>0</v>
      </c>
      <c r="G120" s="1790">
        <f t="shared" si="16"/>
        <v>0</v>
      </c>
    </row>
    <row r="121" spans="1:7" x14ac:dyDescent="0.25">
      <c r="A121" s="1650"/>
      <c r="B121" s="1664"/>
      <c r="C121" s="1651"/>
      <c r="D121" s="1841"/>
      <c r="E121" s="1537">
        <f t="shared" si="15"/>
        <v>0</v>
      </c>
      <c r="F121" s="1927">
        <f t="shared" si="6"/>
        <v>0</v>
      </c>
      <c r="G121" s="1790">
        <f t="shared" si="16"/>
        <v>0</v>
      </c>
    </row>
    <row r="122" spans="1:7" x14ac:dyDescent="0.25">
      <c r="A122" s="1650"/>
      <c r="B122" s="1664"/>
      <c r="C122" s="1651"/>
      <c r="D122" s="1841"/>
      <c r="E122" s="1537">
        <f t="shared" si="15"/>
        <v>0</v>
      </c>
      <c r="F122" s="1927">
        <f t="shared" si="6"/>
        <v>0</v>
      </c>
      <c r="G122" s="1790">
        <f t="shared" si="16"/>
        <v>0</v>
      </c>
    </row>
    <row r="123" spans="1:7" x14ac:dyDescent="0.25">
      <c r="A123" s="1650"/>
      <c r="B123" s="1664"/>
      <c r="C123" s="1651"/>
      <c r="D123" s="1841"/>
      <c r="E123" s="1537">
        <f t="shared" si="15"/>
        <v>0</v>
      </c>
      <c r="F123" s="1927">
        <f t="shared" si="6"/>
        <v>0</v>
      </c>
      <c r="G123" s="1790">
        <f t="shared" si="16"/>
        <v>0</v>
      </c>
    </row>
    <row r="124" spans="1:7" x14ac:dyDescent="0.25">
      <c r="A124" s="1650"/>
      <c r="B124" s="1664"/>
      <c r="C124" s="1651"/>
      <c r="D124" s="1841"/>
      <c r="E124" s="1537">
        <f t="shared" si="15"/>
        <v>0</v>
      </c>
      <c r="F124" s="1927">
        <f t="shared" si="6"/>
        <v>0</v>
      </c>
      <c r="G124" s="1790">
        <f t="shared" si="16"/>
        <v>0</v>
      </c>
    </row>
    <row r="125" spans="1:7" x14ac:dyDescent="0.25">
      <c r="A125" s="1650"/>
      <c r="B125" s="1664"/>
      <c r="C125" s="1651"/>
      <c r="D125" s="1841"/>
      <c r="E125" s="1537">
        <f t="shared" si="15"/>
        <v>0</v>
      </c>
      <c r="F125" s="1927">
        <f t="shared" si="6"/>
        <v>0</v>
      </c>
      <c r="G125" s="1790">
        <f t="shared" si="16"/>
        <v>0</v>
      </c>
    </row>
    <row r="126" spans="1:7" x14ac:dyDescent="0.25">
      <c r="A126" s="1650"/>
      <c r="B126" s="1664"/>
      <c r="C126" s="1651"/>
      <c r="D126" s="1841"/>
      <c r="E126" s="1537">
        <f t="shared" ref="E126:E134" si="17">IF(D126&lt;=25000,D126,IF(D126&gt;25000,25000,0))</f>
        <v>0</v>
      </c>
      <c r="F126" s="1927">
        <f t="shared" si="6"/>
        <v>0</v>
      </c>
      <c r="G126" s="1790">
        <f t="shared" ref="G126:G134" si="18">IF(F126=0,0,D126-F126)</f>
        <v>0</v>
      </c>
    </row>
    <row r="127" spans="1:7" x14ac:dyDescent="0.25">
      <c r="A127" s="1650"/>
      <c r="B127" s="1664"/>
      <c r="C127" s="1651"/>
      <c r="D127" s="1841"/>
      <c r="E127" s="1537">
        <f t="shared" si="17"/>
        <v>0</v>
      </c>
      <c r="F127" s="1927">
        <f t="shared" si="6"/>
        <v>0</v>
      </c>
      <c r="G127" s="1790">
        <f t="shared" si="18"/>
        <v>0</v>
      </c>
    </row>
    <row r="128" spans="1:7" x14ac:dyDescent="0.25">
      <c r="A128" s="1650"/>
      <c r="B128" s="1664"/>
      <c r="C128" s="1651"/>
      <c r="D128" s="1841"/>
      <c r="E128" s="1537">
        <f t="shared" si="17"/>
        <v>0</v>
      </c>
      <c r="F128" s="1927">
        <f t="shared" si="6"/>
        <v>0</v>
      </c>
      <c r="G128" s="1790">
        <f t="shared" si="18"/>
        <v>0</v>
      </c>
    </row>
    <row r="129" spans="1:7" x14ac:dyDescent="0.25">
      <c r="A129" s="1650"/>
      <c r="B129" s="1664"/>
      <c r="C129" s="1651"/>
      <c r="D129" s="1841"/>
      <c r="E129" s="1537">
        <f t="shared" si="17"/>
        <v>0</v>
      </c>
      <c r="F129" s="1927">
        <f t="shared" si="6"/>
        <v>0</v>
      </c>
      <c r="G129" s="1790">
        <f t="shared" si="18"/>
        <v>0</v>
      </c>
    </row>
    <row r="130" spans="1:7" x14ac:dyDescent="0.25">
      <c r="A130" s="1650"/>
      <c r="B130" s="1664"/>
      <c r="C130" s="1651"/>
      <c r="D130" s="1841"/>
      <c r="E130" s="1537">
        <f t="shared" si="17"/>
        <v>0</v>
      </c>
      <c r="F130" s="1927">
        <f t="shared" si="6"/>
        <v>0</v>
      </c>
      <c r="G130" s="1790">
        <f t="shared" si="18"/>
        <v>0</v>
      </c>
    </row>
    <row r="131" spans="1:7" x14ac:dyDescent="0.25">
      <c r="A131" s="1650"/>
      <c r="B131" s="1834"/>
      <c r="C131" s="1651"/>
      <c r="D131" s="1841"/>
      <c r="E131" s="1537">
        <f t="shared" si="17"/>
        <v>0</v>
      </c>
      <c r="F131" s="1927">
        <f t="shared" si="6"/>
        <v>0</v>
      </c>
      <c r="G131" s="1790">
        <f t="shared" si="18"/>
        <v>0</v>
      </c>
    </row>
    <row r="132" spans="1:7" x14ac:dyDescent="0.25">
      <c r="A132" s="1650"/>
      <c r="B132" s="1834"/>
      <c r="C132" s="1651"/>
      <c r="D132" s="1841"/>
      <c r="E132" s="1537">
        <f t="shared" si="17"/>
        <v>0</v>
      </c>
      <c r="F132" s="1927">
        <f t="shared" si="6"/>
        <v>0</v>
      </c>
      <c r="G132" s="1790">
        <f t="shared" si="18"/>
        <v>0</v>
      </c>
    </row>
    <row r="133" spans="1:7" x14ac:dyDescent="0.25">
      <c r="A133" s="1650"/>
      <c r="B133" s="1664"/>
      <c r="C133" s="1651"/>
      <c r="D133" s="1841"/>
      <c r="E133" s="1537">
        <f t="shared" si="17"/>
        <v>0</v>
      </c>
      <c r="F133" s="1927">
        <f t="shared" si="6"/>
        <v>0</v>
      </c>
      <c r="G133" s="1790">
        <f t="shared" si="18"/>
        <v>0</v>
      </c>
    </row>
    <row r="134" spans="1:7" x14ac:dyDescent="0.25">
      <c r="A134" s="1650"/>
      <c r="B134" s="1664"/>
      <c r="C134" s="1651"/>
      <c r="D134" s="1841"/>
      <c r="E134" s="1537">
        <f t="shared" si="17"/>
        <v>0</v>
      </c>
      <c r="F134" s="1927">
        <f t="shared" si="6"/>
        <v>0</v>
      </c>
      <c r="G134" s="1790">
        <f t="shared" si="18"/>
        <v>0</v>
      </c>
    </row>
    <row r="135" spans="1:7" x14ac:dyDescent="0.25">
      <c r="A135" s="1650"/>
      <c r="B135" s="1664"/>
      <c r="C135" s="1651"/>
      <c r="D135" s="1841"/>
      <c r="E135" s="1537">
        <f t="shared" ref="E135:E139" si="19">IF(D135&lt;=25000,D135,IF(D135&gt;25000,25000,0))</f>
        <v>0</v>
      </c>
      <c r="F135" s="1927">
        <f t="shared" si="6"/>
        <v>0</v>
      </c>
      <c r="G135" s="1790">
        <f t="shared" ref="G135:G139" si="20">IF(F135=0,0,D135-F135)</f>
        <v>0</v>
      </c>
    </row>
    <row r="136" spans="1:7" x14ac:dyDescent="0.25">
      <c r="A136" s="1650"/>
      <c r="B136" s="1664"/>
      <c r="C136" s="1651"/>
      <c r="D136" s="1841"/>
      <c r="E136" s="1537">
        <f t="shared" si="19"/>
        <v>0</v>
      </c>
      <c r="F136" s="1927">
        <f t="shared" si="6"/>
        <v>0</v>
      </c>
      <c r="G136" s="1790">
        <f t="shared" si="20"/>
        <v>0</v>
      </c>
    </row>
    <row r="137" spans="1:7" x14ac:dyDescent="0.25">
      <c r="A137" s="1650"/>
      <c r="B137" s="1664"/>
      <c r="C137" s="1651"/>
      <c r="D137" s="1841"/>
      <c r="E137" s="1537">
        <f t="shared" si="19"/>
        <v>0</v>
      </c>
      <c r="F137" s="1927">
        <f t="shared" si="6"/>
        <v>0</v>
      </c>
      <c r="G137" s="1790">
        <f t="shared" si="20"/>
        <v>0</v>
      </c>
    </row>
    <row r="138" spans="1:7" x14ac:dyDescent="0.25">
      <c r="A138" s="1650"/>
      <c r="B138" s="1664"/>
      <c r="C138" s="1651"/>
      <c r="D138" s="1841"/>
      <c r="E138" s="1537">
        <f t="shared" si="19"/>
        <v>0</v>
      </c>
      <c r="F138" s="1927">
        <f t="shared" si="6"/>
        <v>0</v>
      </c>
      <c r="G138" s="1790">
        <f t="shared" si="20"/>
        <v>0</v>
      </c>
    </row>
    <row r="139" spans="1:7" x14ac:dyDescent="0.25">
      <c r="A139" s="1650"/>
      <c r="B139" s="1664"/>
      <c r="C139" s="1651"/>
      <c r="D139" s="1841"/>
      <c r="E139" s="1537">
        <f t="shared" si="19"/>
        <v>0</v>
      </c>
      <c r="F139" s="1927">
        <f t="shared" si="6"/>
        <v>0</v>
      </c>
      <c r="G139" s="1790">
        <f t="shared" si="20"/>
        <v>0</v>
      </c>
    </row>
    <row r="140" spans="1:7" x14ac:dyDescent="0.25">
      <c r="A140" s="1650"/>
      <c r="B140" s="1663"/>
      <c r="C140" s="1651"/>
      <c r="D140" s="1841"/>
      <c r="E140" s="1537">
        <f t="shared" si="2"/>
        <v>0</v>
      </c>
      <c r="F140" s="1927">
        <f t="shared" si="6"/>
        <v>0</v>
      </c>
      <c r="G140" s="1790">
        <f t="shared" si="3"/>
        <v>0</v>
      </c>
    </row>
    <row r="141" spans="1:7" x14ac:dyDescent="0.25">
      <c r="A141" s="1793" t="s">
        <v>156</v>
      </c>
      <c r="B141" s="1794"/>
      <c r="C141" s="1795"/>
      <c r="D141" s="1791">
        <f>SUM(D17:D140)</f>
        <v>0</v>
      </c>
      <c r="E141" s="1538">
        <f t="shared" si="0"/>
        <v>0</v>
      </c>
      <c r="F141" s="1928">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401" t="s">
        <v>1678</v>
      </c>
      <c r="B5" s="2402"/>
      <c r="C5" s="2402"/>
      <c r="D5" s="2402"/>
      <c r="E5" s="2402"/>
      <c r="F5" s="2402"/>
      <c r="G5" s="2403"/>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1929</v>
      </c>
      <c r="B10" s="968"/>
      <c r="C10" s="973"/>
      <c r="D10" s="969"/>
      <c r="E10" s="970">
        <v>286463</v>
      </c>
      <c r="F10" s="971"/>
      <c r="G10" s="972"/>
      <c r="H10" s="162"/>
      <c r="I10" s="162"/>
    </row>
    <row r="11" spans="1:9" s="665" customFormat="1" ht="22.5" customHeight="1" x14ac:dyDescent="0.2">
      <c r="A11" s="2406" t="s">
        <v>1973</v>
      </c>
      <c r="B11" s="2407"/>
      <c r="C11" s="2407"/>
      <c r="D11" s="2408"/>
      <c r="E11" s="974">
        <v>49628</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8535209</v>
      </c>
      <c r="F19" s="1796"/>
      <c r="G19" s="1798">
        <f>'Expenditures 15-22'!K33-SUM('Expenditures 15-22'!G33,'Expenditures 15-22'!I33)+'Expenditures 15-22'!D229</f>
        <v>8535209</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313606</v>
      </c>
      <c r="F21" s="1799"/>
      <c r="G21" s="1802">
        <f>'Expenditures 15-22'!K42-SUM('Expenditures 15-22'!G42,'Expenditures 15-22'!I42)+'Expenditures 15-22'!K120-SUM('Expenditures 15-22'!G120,'Expenditures 15-22'!I120)+'Expenditures 15-22'!K180-SUM('Expenditures 15-22'!G180,'Expenditures 15-22'!I180)+'Expenditures 15-22'!D238</f>
        <v>313606</v>
      </c>
      <c r="H21" s="984"/>
      <c r="I21" s="162"/>
    </row>
    <row r="22" spans="1:9" s="665" customFormat="1" ht="12" customHeight="1" x14ac:dyDescent="0.2">
      <c r="A22" s="991" t="s">
        <v>564</v>
      </c>
      <c r="B22" s="992"/>
      <c r="C22" s="990">
        <v>2200</v>
      </c>
      <c r="D22" s="1799"/>
      <c r="E22" s="1801">
        <f>'Expenditures 15-22'!K47-SUM('Expenditures 15-22'!G47,'Expenditures 15-22'!I47)+'Expenditures 15-22'!D243</f>
        <v>516324</v>
      </c>
      <c r="F22" s="1799"/>
      <c r="G22" s="1802">
        <f>'Expenditures 15-22'!K47-SUM('Expenditures 15-22'!G47,'Expenditures 15-22'!I47)+'Expenditures 15-22'!D243</f>
        <v>516324</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756291</v>
      </c>
      <c r="F23" s="1799"/>
      <c r="G23" s="1801">
        <f>'Expenditures 15-22'!K53-SUM('Expenditures 15-22'!G53,'Expenditures 15-22'!I53)+'Expenditures 15-22'!D257+'Expenditures 15-22'!K330-SUM('Expenditures 15-22'!G330,'Expenditures 15-22'!I330)</f>
        <v>756291</v>
      </c>
      <c r="H23" s="984"/>
      <c r="I23" s="162"/>
    </row>
    <row r="24" spans="1:9" s="665" customFormat="1" ht="12" customHeight="1" x14ac:dyDescent="0.2">
      <c r="A24" s="991" t="s">
        <v>566</v>
      </c>
      <c r="B24" s="992"/>
      <c r="C24" s="990">
        <v>2400</v>
      </c>
      <c r="D24" s="1799"/>
      <c r="E24" s="1801">
        <f>'Expenditures 15-22'!K57-SUM('Expenditures 15-22'!G57,'Expenditures 15-22'!I57)+'Expenditures 15-22'!D261</f>
        <v>973667</v>
      </c>
      <c r="F24" s="1799"/>
      <c r="G24" s="1802">
        <f>'Expenditures 15-22'!K57-SUM('Expenditures 15-22'!G57,'Expenditures 15-22'!I57)+'Expenditures 15-22'!D261</f>
        <v>973667</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83743</v>
      </c>
      <c r="E27" s="1801">
        <f>E8</f>
        <v>0</v>
      </c>
      <c r="F27" s="1801">
        <f>'Expenditures 15-22'!K60-SUM('Expenditures 15-22'!G60,'Expenditures 15-22'!I60)+'Expenditures 15-22'!D264-E8</f>
        <v>83743</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1413330</v>
      </c>
      <c r="F28" s="1803">
        <f>'Expenditures 15-22'!K61-SUM('Expenditures 15-22'!G61,'Expenditures 15-22'!I61)+'Expenditures 15-22'!K124-SUM('Expenditures 15-22'!G124,'Expenditures 15-22'!I124)+'Expenditures 15-22'!D266-E9</f>
        <v>1413330</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552114</v>
      </c>
      <c r="F29" s="1799"/>
      <c r="G29" s="1802">
        <f>'Expenditures 15-22'!K62-SUM('Expenditures 15-22'!G62,'Expenditures 15-22'!I62)+'Expenditures 15-22'!K125-SUM('Expenditures 15-22'!G125,'Expenditures 15-22'!I125)+'Expenditures 15-22'!K182-SUM('Expenditures 15-22'!G182,'Expenditures 15-22'!I182)+'Expenditures 15-22'!D267</f>
        <v>552114</v>
      </c>
      <c r="H29" s="982"/>
    </row>
    <row r="30" spans="1:9" ht="12" customHeight="1" x14ac:dyDescent="0.2">
      <c r="A30" s="991" t="s">
        <v>100</v>
      </c>
      <c r="B30" s="994"/>
      <c r="C30" s="990">
        <v>2560</v>
      </c>
      <c r="D30" s="1799"/>
      <c r="E30" s="1801">
        <f>'Expenditures 15-22'!K63-SUM('Expenditures 15-22'!G63,'Expenditures 15-22'!I63)+'Expenditures 15-22'!D268-E10</f>
        <v>316934</v>
      </c>
      <c r="F30" s="1799"/>
      <c r="G30" s="1801">
        <f>'Expenditures 15-22'!K63-SUM('Expenditures 15-22'!G63,'Expenditures 15-22'!I63)+'Expenditures 15-22'!D268-E10</f>
        <v>316934</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564</v>
      </c>
      <c r="F39" s="1799"/>
      <c r="G39" s="1801">
        <f>'Expenditures 15-22'!K75-SUM('Expenditures 15-22'!G75,'Expenditures 15-22'!I75)+'Expenditures 15-22'!K130-SUM('Expenditures 15-22'!G130,'Expenditures 15-22'!I130)+'Expenditures 15-22'!K185-SUM('Expenditures 15-22'!G185,'Expenditures 15-22'!I185)+'Expenditures 15-22'!D280</f>
        <v>564</v>
      </c>
    </row>
    <row r="40" spans="1:7" ht="12" customHeight="1" x14ac:dyDescent="0.2">
      <c r="A40" s="987" t="s">
        <v>1819</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83743</v>
      </c>
      <c r="E41" s="1803">
        <f>SUM(E19:E40)</f>
        <v>13378039</v>
      </c>
      <c r="F41" s="1803">
        <f>SUM(F19:F39)</f>
        <v>1497073</v>
      </c>
      <c r="G41" s="1803">
        <f>SUM(G19:G40)</f>
        <v>11964709</v>
      </c>
    </row>
    <row r="42" spans="1:7" x14ac:dyDescent="0.2">
      <c r="A42" s="984"/>
      <c r="B42" s="162"/>
      <c r="C42" s="998"/>
      <c r="D42" s="2404" t="s">
        <v>522</v>
      </c>
      <c r="E42" s="2405"/>
      <c r="F42" s="999" t="s">
        <v>523</v>
      </c>
      <c r="G42" s="1000"/>
    </row>
    <row r="43" spans="1:7" ht="12" customHeight="1" x14ac:dyDescent="0.2">
      <c r="A43" s="984"/>
      <c r="B43" s="162"/>
      <c r="C43" s="998"/>
      <c r="D43" s="1804" t="s">
        <v>473</v>
      </c>
      <c r="E43" s="1805">
        <f>D41</f>
        <v>83743</v>
      </c>
      <c r="F43" s="1804" t="s">
        <v>473</v>
      </c>
      <c r="G43" s="1805">
        <f>F41</f>
        <v>1497073</v>
      </c>
    </row>
    <row r="44" spans="1:7" ht="12" customHeight="1" x14ac:dyDescent="0.2">
      <c r="A44" s="984"/>
      <c r="B44" s="162"/>
      <c r="C44" s="998"/>
      <c r="D44" s="1804" t="s">
        <v>474</v>
      </c>
      <c r="E44" s="1805">
        <f>E41</f>
        <v>13378039</v>
      </c>
      <c r="F44" s="1804" t="s">
        <v>474</v>
      </c>
      <c r="G44" s="1805">
        <f>G41</f>
        <v>11964709</v>
      </c>
    </row>
    <row r="45" spans="1:7" ht="12" customHeight="1" x14ac:dyDescent="0.2">
      <c r="A45" s="984"/>
      <c r="B45" s="162"/>
      <c r="C45" s="162"/>
      <c r="D45" s="1806" t="s">
        <v>1006</v>
      </c>
      <c r="E45" s="1807">
        <f>(E43/E44)</f>
        <v>6.2597365727518062E-3</v>
      </c>
      <c r="F45" s="1806" t="s">
        <v>1006</v>
      </c>
      <c r="G45" s="1807">
        <f>(G43/G44)</f>
        <v>0.12512406277494922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1" customWidth="1"/>
    <col min="2" max="2" width="4.140625" style="1871" customWidth="1"/>
    <col min="3" max="4" width="9.85546875" style="1842" customWidth="1"/>
    <col min="5" max="5" width="12.5703125" style="1872" customWidth="1"/>
    <col min="6" max="6" width="67.5703125" style="1842" customWidth="1"/>
    <col min="7" max="7" width="9.140625" style="1842" customWidth="1"/>
    <col min="8" max="8" width="5.5703125" style="1873" bestFit="1" customWidth="1"/>
    <col min="9" max="10" width="2" style="1873" bestFit="1" customWidth="1"/>
    <col min="11" max="11" width="9" style="1873" customWidth="1"/>
    <col min="12" max="16384" width="9.140625" style="1842"/>
  </cols>
  <sheetData>
    <row r="1" spans="1:10" x14ac:dyDescent="0.2">
      <c r="A1" s="2412" t="s">
        <v>1379</v>
      </c>
      <c r="B1" s="2412"/>
      <c r="C1" s="2412"/>
      <c r="D1" s="2412"/>
      <c r="E1" s="2412"/>
      <c r="F1" s="2412"/>
    </row>
    <row r="2" spans="1:10" x14ac:dyDescent="0.2">
      <c r="A2" s="1882" t="s">
        <v>1908</v>
      </c>
      <c r="B2" s="1843"/>
      <c r="C2" s="1882"/>
      <c r="D2" s="1843"/>
      <c r="E2" s="1843"/>
      <c r="F2" s="1844"/>
    </row>
    <row r="3" spans="1:10" x14ac:dyDescent="0.2">
      <c r="A3" s="1882" t="s">
        <v>1974</v>
      </c>
      <c r="B3" s="1843"/>
      <c r="C3" s="1882"/>
      <c r="D3" s="1843"/>
      <c r="E3" s="1843"/>
      <c r="F3" s="1844"/>
    </row>
    <row r="4" spans="1:10" ht="3.75" customHeight="1" x14ac:dyDescent="0.2">
      <c r="A4" s="1843"/>
      <c r="B4" s="1843"/>
      <c r="C4" s="1843"/>
      <c r="D4" s="1843"/>
      <c r="E4" s="1843"/>
      <c r="F4" s="1844"/>
    </row>
    <row r="5" spans="1:10" ht="15" x14ac:dyDescent="0.25">
      <c r="A5" s="2413" t="s">
        <v>1546</v>
      </c>
      <c r="B5" s="2414"/>
      <c r="C5" s="2415"/>
      <c r="D5" s="2415"/>
      <c r="E5" s="2415"/>
      <c r="F5" s="2415"/>
    </row>
    <row r="6" spans="1:10" ht="12" customHeight="1" x14ac:dyDescent="0.25">
      <c r="A6" s="1845"/>
      <c r="B6" s="1846"/>
      <c r="C6" s="2416" t="str">
        <f>COVER!A17</f>
        <v>Eureka CUD 140</v>
      </c>
      <c r="D6" s="2416"/>
      <c r="E6" s="2416"/>
      <c r="F6" s="1847"/>
    </row>
    <row r="7" spans="1:10" ht="11.25" customHeight="1" thickBot="1" x14ac:dyDescent="0.3">
      <c r="A7" s="1845"/>
      <c r="B7" s="1846"/>
      <c r="C7" s="2417">
        <f>COVER!A13</f>
        <v>53102140026</v>
      </c>
      <c r="D7" s="2417"/>
      <c r="E7" s="2417"/>
      <c r="F7" s="1847"/>
    </row>
    <row r="8" spans="1:10" ht="25.5" customHeight="1" thickBot="1" x14ac:dyDescent="0.25">
      <c r="A8" s="1888" t="s">
        <v>1904</v>
      </c>
      <c r="B8" s="1848"/>
      <c r="C8" s="1884" t="s">
        <v>1680</v>
      </c>
      <c r="D8" s="1883" t="s">
        <v>1681</v>
      </c>
      <c r="E8" s="1885" t="s">
        <v>1380</v>
      </c>
      <c r="F8" s="1883" t="s">
        <v>1682</v>
      </c>
      <c r="H8" s="1849" t="b">
        <v>0</v>
      </c>
    </row>
    <row r="9" spans="1:10" ht="15.75" customHeight="1" x14ac:dyDescent="0.2">
      <c r="A9" s="1850" t="s">
        <v>1542</v>
      </c>
      <c r="B9" s="1851"/>
      <c r="C9" s="1852"/>
      <c r="D9" s="1852"/>
      <c r="E9" s="1853"/>
      <c r="F9" s="1854"/>
    </row>
    <row r="10" spans="1:10" ht="27.75" customHeight="1" x14ac:dyDescent="0.2">
      <c r="A10" s="1855" t="s">
        <v>1679</v>
      </c>
      <c r="B10" s="1856"/>
      <c r="C10" s="1857"/>
      <c r="D10" s="1857"/>
      <c r="E10" s="1886" t="s">
        <v>1381</v>
      </c>
      <c r="F10" s="1887" t="s">
        <v>1382</v>
      </c>
    </row>
    <row r="11" spans="1:10" ht="12" customHeight="1" x14ac:dyDescent="0.2">
      <c r="A11" s="1858" t="s">
        <v>1383</v>
      </c>
      <c r="B11" s="1859"/>
      <c r="C11" s="1860"/>
      <c r="D11" s="1860"/>
      <c r="E11" s="1861"/>
      <c r="F11" s="1862"/>
      <c r="H11" s="1873">
        <f>IF(C11="X",5,0)</f>
        <v>0</v>
      </c>
      <c r="I11" s="1873">
        <f>IF(D11="X",5,0)</f>
        <v>0</v>
      </c>
      <c r="J11" s="1873">
        <f>IF(E11="X",5,0)</f>
        <v>0</v>
      </c>
    </row>
    <row r="12" spans="1:10" ht="12" customHeight="1" x14ac:dyDescent="0.2">
      <c r="A12" s="1858" t="s">
        <v>1384</v>
      </c>
      <c r="B12" s="1859"/>
      <c r="C12" s="1860"/>
      <c r="D12" s="1860"/>
      <c r="E12" s="1863"/>
      <c r="F12" s="1862"/>
      <c r="H12" s="1873">
        <f t="shared" ref="H12:H33" si="0">IF(C12="X",5,0)</f>
        <v>0</v>
      </c>
      <c r="I12" s="1873">
        <f t="shared" ref="I12:I33" si="1">IF(D12="X",5,0)</f>
        <v>0</v>
      </c>
      <c r="J12" s="1873">
        <f t="shared" ref="J12:J33" si="2">IF(E12="X",5,0)</f>
        <v>0</v>
      </c>
    </row>
    <row r="13" spans="1:10" ht="12" customHeight="1" x14ac:dyDescent="0.2">
      <c r="A13" s="1858" t="s">
        <v>1385</v>
      </c>
      <c r="B13" s="1859"/>
      <c r="C13" s="1860"/>
      <c r="D13" s="1860"/>
      <c r="E13" s="1863"/>
      <c r="F13" s="1862"/>
      <c r="H13" s="1873">
        <f t="shared" si="0"/>
        <v>0</v>
      </c>
      <c r="I13" s="1873">
        <f t="shared" si="1"/>
        <v>0</v>
      </c>
      <c r="J13" s="1873">
        <f t="shared" si="2"/>
        <v>0</v>
      </c>
    </row>
    <row r="14" spans="1:10" ht="12" customHeight="1" x14ac:dyDescent="0.2">
      <c r="A14" s="1858" t="s">
        <v>1386</v>
      </c>
      <c r="B14" s="1859"/>
      <c r="C14" s="1860"/>
      <c r="D14" s="1860"/>
      <c r="E14" s="1863"/>
      <c r="F14" s="1862"/>
      <c r="H14" s="1873">
        <f t="shared" si="0"/>
        <v>0</v>
      </c>
      <c r="I14" s="1873">
        <f t="shared" si="1"/>
        <v>0</v>
      </c>
      <c r="J14" s="1873">
        <f t="shared" si="2"/>
        <v>0</v>
      </c>
    </row>
    <row r="15" spans="1:10" ht="12" customHeight="1" x14ac:dyDescent="0.2">
      <c r="A15" s="1858" t="s">
        <v>1387</v>
      </c>
      <c r="B15" s="1859"/>
      <c r="C15" s="1860"/>
      <c r="D15" s="1860"/>
      <c r="E15" s="1863"/>
      <c r="F15" s="1862"/>
      <c r="H15" s="1873">
        <f t="shared" si="0"/>
        <v>0</v>
      </c>
      <c r="I15" s="1873">
        <f t="shared" si="1"/>
        <v>0</v>
      </c>
      <c r="J15" s="1873">
        <f t="shared" si="2"/>
        <v>0</v>
      </c>
    </row>
    <row r="16" spans="1:10" ht="12" customHeight="1" x14ac:dyDescent="0.2">
      <c r="A16" s="1858" t="s">
        <v>1388</v>
      </c>
      <c r="B16" s="1859"/>
      <c r="C16" s="1860" t="s">
        <v>2066</v>
      </c>
      <c r="D16" s="1860" t="s">
        <v>2066</v>
      </c>
      <c r="E16" s="1863"/>
      <c r="F16" s="1862" t="s">
        <v>2089</v>
      </c>
      <c r="H16" s="1873">
        <f t="shared" si="0"/>
        <v>5</v>
      </c>
      <c r="I16" s="1873">
        <f t="shared" si="1"/>
        <v>5</v>
      </c>
      <c r="J16" s="1873">
        <f t="shared" si="2"/>
        <v>0</v>
      </c>
    </row>
    <row r="17" spans="1:12" ht="12" customHeight="1" x14ac:dyDescent="0.2">
      <c r="A17" s="1858" t="s">
        <v>1389</v>
      </c>
      <c r="B17" s="1859"/>
      <c r="C17" s="1860"/>
      <c r="D17" s="1860"/>
      <c r="E17" s="1863"/>
      <c r="F17" s="1862"/>
      <c r="H17" s="1873">
        <f t="shared" si="0"/>
        <v>0</v>
      </c>
      <c r="I17" s="1873">
        <f t="shared" si="1"/>
        <v>0</v>
      </c>
      <c r="J17" s="1873">
        <f t="shared" si="2"/>
        <v>0</v>
      </c>
    </row>
    <row r="18" spans="1:12" ht="12" customHeight="1" x14ac:dyDescent="0.2">
      <c r="A18" s="1858" t="s">
        <v>1390</v>
      </c>
      <c r="B18" s="1859"/>
      <c r="C18" s="1860"/>
      <c r="D18" s="1860"/>
      <c r="E18" s="1863"/>
      <c r="F18" s="1862"/>
      <c r="H18" s="1873">
        <f t="shared" si="0"/>
        <v>0</v>
      </c>
      <c r="I18" s="1873">
        <f t="shared" si="1"/>
        <v>0</v>
      </c>
      <c r="J18" s="1873">
        <f t="shared" si="2"/>
        <v>0</v>
      </c>
    </row>
    <row r="19" spans="1:12" ht="12" customHeight="1" x14ac:dyDescent="0.2">
      <c r="A19" s="1858" t="s">
        <v>1527</v>
      </c>
      <c r="B19" s="1859"/>
      <c r="C19" s="1860"/>
      <c r="D19" s="1860"/>
      <c r="E19" s="1863"/>
      <c r="F19" s="1862"/>
      <c r="H19" s="1873">
        <f t="shared" si="0"/>
        <v>0</v>
      </c>
      <c r="I19" s="1873">
        <f t="shared" si="1"/>
        <v>0</v>
      </c>
      <c r="J19" s="1873">
        <f t="shared" si="2"/>
        <v>0</v>
      </c>
    </row>
    <row r="20" spans="1:12" ht="12" customHeight="1" x14ac:dyDescent="0.2">
      <c r="A20" s="1858" t="s">
        <v>1528</v>
      </c>
      <c r="B20" s="1859"/>
      <c r="C20" s="1860"/>
      <c r="D20" s="1860"/>
      <c r="E20" s="1863"/>
      <c r="F20" s="1862"/>
      <c r="H20" s="1873">
        <f t="shared" si="0"/>
        <v>0</v>
      </c>
      <c r="I20" s="1873">
        <f t="shared" si="1"/>
        <v>0</v>
      </c>
      <c r="J20" s="1873">
        <f t="shared" si="2"/>
        <v>0</v>
      </c>
    </row>
    <row r="21" spans="1:12" ht="12" customHeight="1" x14ac:dyDescent="0.2">
      <c r="A21" s="1858" t="s">
        <v>1529</v>
      </c>
      <c r="B21" s="1859"/>
      <c r="C21" s="1860"/>
      <c r="D21" s="1860"/>
      <c r="E21" s="1863"/>
      <c r="F21" s="1862"/>
      <c r="H21" s="1873">
        <f t="shared" si="0"/>
        <v>0</v>
      </c>
      <c r="I21" s="1873">
        <f t="shared" si="1"/>
        <v>0</v>
      </c>
      <c r="J21" s="1873">
        <f t="shared" si="2"/>
        <v>0</v>
      </c>
    </row>
    <row r="22" spans="1:12" ht="12" customHeight="1" x14ac:dyDescent="0.2">
      <c r="A22" s="1858" t="s">
        <v>1530</v>
      </c>
      <c r="B22" s="1859"/>
      <c r="C22" s="1860"/>
      <c r="D22" s="1860"/>
      <c r="E22" s="1863"/>
      <c r="F22" s="1862"/>
      <c r="H22" s="1873">
        <f t="shared" si="0"/>
        <v>0</v>
      </c>
      <c r="I22" s="1873">
        <f t="shared" si="1"/>
        <v>0</v>
      </c>
      <c r="J22" s="1873">
        <f t="shared" si="2"/>
        <v>0</v>
      </c>
    </row>
    <row r="23" spans="1:12" ht="12" customHeight="1" x14ac:dyDescent="0.2">
      <c r="A23" s="1858" t="s">
        <v>1531</v>
      </c>
      <c r="B23" s="1859"/>
      <c r="C23" s="1860"/>
      <c r="D23" s="1860"/>
      <c r="E23" s="1863"/>
      <c r="F23" s="1862"/>
      <c r="H23" s="1873">
        <f t="shared" si="0"/>
        <v>0</v>
      </c>
      <c r="I23" s="1873">
        <f t="shared" si="1"/>
        <v>0</v>
      </c>
      <c r="J23" s="1873">
        <f t="shared" si="2"/>
        <v>0</v>
      </c>
    </row>
    <row r="24" spans="1:12" ht="12" customHeight="1" x14ac:dyDescent="0.2">
      <c r="A24" s="1858" t="s">
        <v>1532</v>
      </c>
      <c r="B24" s="1859"/>
      <c r="C24" s="1860"/>
      <c r="D24" s="1860"/>
      <c r="E24" s="1863"/>
      <c r="F24" s="1862"/>
      <c r="H24" s="1873">
        <f t="shared" si="0"/>
        <v>0</v>
      </c>
      <c r="I24" s="1873">
        <f t="shared" si="1"/>
        <v>0</v>
      </c>
      <c r="J24" s="1873">
        <f t="shared" si="2"/>
        <v>0</v>
      </c>
    </row>
    <row r="25" spans="1:12" ht="12" customHeight="1" x14ac:dyDescent="0.2">
      <c r="A25" s="1858" t="s">
        <v>1533</v>
      </c>
      <c r="B25" s="1859"/>
      <c r="C25" s="1860"/>
      <c r="D25" s="1860"/>
      <c r="E25" s="1863"/>
      <c r="F25" s="1862"/>
      <c r="H25" s="1873">
        <f t="shared" si="0"/>
        <v>0</v>
      </c>
      <c r="I25" s="1873">
        <f t="shared" si="1"/>
        <v>0</v>
      </c>
      <c r="J25" s="1873">
        <f t="shared" si="2"/>
        <v>0</v>
      </c>
    </row>
    <row r="26" spans="1:12" ht="12" customHeight="1" x14ac:dyDescent="0.2">
      <c r="A26" s="1858" t="s">
        <v>1534</v>
      </c>
      <c r="B26" s="1859"/>
      <c r="C26" s="1860" t="s">
        <v>2066</v>
      </c>
      <c r="D26" s="1860" t="s">
        <v>2066</v>
      </c>
      <c r="E26" s="1863"/>
      <c r="F26" s="1862" t="s">
        <v>2088</v>
      </c>
      <c r="H26" s="1873">
        <f t="shared" si="0"/>
        <v>5</v>
      </c>
      <c r="I26" s="1873">
        <f t="shared" si="1"/>
        <v>5</v>
      </c>
      <c r="J26" s="1873">
        <f t="shared" si="2"/>
        <v>0</v>
      </c>
    </row>
    <row r="27" spans="1:12" ht="18.75" x14ac:dyDescent="0.2">
      <c r="A27" s="1858" t="s">
        <v>1535</v>
      </c>
      <c r="B27" s="1859"/>
      <c r="C27" s="1860"/>
      <c r="D27" s="1860"/>
      <c r="E27" s="1863"/>
      <c r="F27" s="1862"/>
      <c r="H27" s="1873">
        <f t="shared" si="0"/>
        <v>0</v>
      </c>
      <c r="I27" s="1873">
        <f t="shared" si="1"/>
        <v>0</v>
      </c>
      <c r="J27" s="1873">
        <f t="shared" si="2"/>
        <v>0</v>
      </c>
    </row>
    <row r="28" spans="1:12" ht="12" customHeight="1" x14ac:dyDescent="0.2">
      <c r="A28" s="1858" t="s">
        <v>1536</v>
      </c>
      <c r="B28" s="1859"/>
      <c r="C28" s="1860" t="s">
        <v>2066</v>
      </c>
      <c r="D28" s="1860" t="s">
        <v>2066</v>
      </c>
      <c r="E28" s="1863"/>
      <c r="F28" s="1862" t="s">
        <v>2087</v>
      </c>
      <c r="H28" s="1873">
        <f t="shared" si="0"/>
        <v>5</v>
      </c>
      <c r="I28" s="1873">
        <f t="shared" si="1"/>
        <v>5</v>
      </c>
      <c r="J28" s="1873">
        <f t="shared" si="2"/>
        <v>0</v>
      </c>
    </row>
    <row r="29" spans="1:12" ht="12" customHeight="1" x14ac:dyDescent="0.2">
      <c r="A29" s="1858" t="s">
        <v>1537</v>
      </c>
      <c r="B29" s="1859"/>
      <c r="C29" s="1860"/>
      <c r="D29" s="1860"/>
      <c r="E29" s="1863"/>
      <c r="F29" s="1862"/>
      <c r="H29" s="1873">
        <f t="shared" si="0"/>
        <v>0</v>
      </c>
      <c r="I29" s="1873">
        <f t="shared" si="1"/>
        <v>0</v>
      </c>
      <c r="J29" s="1873">
        <f t="shared" si="2"/>
        <v>0</v>
      </c>
    </row>
    <row r="30" spans="1:12" ht="12" customHeight="1" x14ac:dyDescent="0.2">
      <c r="A30" s="1858" t="s">
        <v>1538</v>
      </c>
      <c r="B30" s="1859"/>
      <c r="C30" s="1860"/>
      <c r="D30" s="1860"/>
      <c r="E30" s="1863"/>
      <c r="F30" s="1862"/>
      <c r="H30" s="1873">
        <f t="shared" si="0"/>
        <v>0</v>
      </c>
      <c r="I30" s="1873">
        <f t="shared" si="1"/>
        <v>0</v>
      </c>
      <c r="J30" s="1873">
        <f t="shared" si="2"/>
        <v>0</v>
      </c>
    </row>
    <row r="31" spans="1:12" ht="12" customHeight="1" x14ac:dyDescent="0.2">
      <c r="A31" s="1858" t="s">
        <v>1539</v>
      </c>
      <c r="B31" s="1859"/>
      <c r="C31" s="1860" t="s">
        <v>2066</v>
      </c>
      <c r="D31" s="1860" t="s">
        <v>2066</v>
      </c>
      <c r="E31" s="1863"/>
      <c r="F31" s="1862" t="s">
        <v>2086</v>
      </c>
      <c r="H31" s="1873">
        <f t="shared" si="0"/>
        <v>5</v>
      </c>
      <c r="I31" s="1873">
        <f t="shared" si="1"/>
        <v>5</v>
      </c>
      <c r="J31" s="1873">
        <f t="shared" si="2"/>
        <v>0</v>
      </c>
      <c r="L31" s="1864"/>
    </row>
    <row r="32" spans="1:12" ht="12" customHeight="1" x14ac:dyDescent="0.2">
      <c r="A32" s="1858" t="s">
        <v>1540</v>
      </c>
      <c r="B32" s="1859"/>
      <c r="C32" s="1860" t="s">
        <v>2066</v>
      </c>
      <c r="D32" s="1860" t="s">
        <v>2066</v>
      </c>
      <c r="E32" s="1863"/>
      <c r="F32" s="1862" t="s">
        <v>2085</v>
      </c>
      <c r="H32" s="1873">
        <f t="shared" si="0"/>
        <v>5</v>
      </c>
      <c r="I32" s="1873">
        <f t="shared" si="1"/>
        <v>5</v>
      </c>
      <c r="J32" s="1873">
        <f t="shared" si="2"/>
        <v>0</v>
      </c>
    </row>
    <row r="33" spans="1:11" ht="12" customHeight="1" x14ac:dyDescent="0.2">
      <c r="A33" s="1858" t="s">
        <v>1541</v>
      </c>
      <c r="B33" s="1859"/>
      <c r="C33" s="1860"/>
      <c r="D33" s="1860"/>
      <c r="E33" s="1863"/>
      <c r="F33" s="1862"/>
      <c r="H33" s="1873">
        <f t="shared" si="0"/>
        <v>0</v>
      </c>
      <c r="I33" s="1873">
        <f t="shared" si="1"/>
        <v>0</v>
      </c>
      <c r="J33" s="1873">
        <f t="shared" si="2"/>
        <v>0</v>
      </c>
    </row>
    <row r="34" spans="1:11" ht="12" customHeight="1" x14ac:dyDescent="0.25">
      <c r="A34" s="1865"/>
      <c r="B34" s="1865"/>
      <c r="C34" s="1865"/>
      <c r="D34" s="1865"/>
      <c r="E34" s="1865"/>
      <c r="F34" s="1865"/>
      <c r="H34" s="1873">
        <f>SUM(H11:H32)</f>
        <v>25</v>
      </c>
      <c r="I34" s="1873">
        <f>SUM(I11:I32)</f>
        <v>25</v>
      </c>
      <c r="J34" s="1873">
        <f>SUM(J11:J32)</f>
        <v>0</v>
      </c>
      <c r="K34" s="1873">
        <f>SUM(H34:J34)</f>
        <v>50</v>
      </c>
    </row>
    <row r="35" spans="1:11" ht="12" customHeight="1" x14ac:dyDescent="0.2">
      <c r="A35" s="1866" t="s">
        <v>1392</v>
      </c>
      <c r="B35" s="1867"/>
      <c r="C35" s="2418"/>
      <c r="D35" s="2418"/>
      <c r="E35" s="2418"/>
      <c r="F35" s="2419"/>
    </row>
    <row r="36" spans="1:11" ht="12" customHeight="1" x14ac:dyDescent="0.2">
      <c r="A36" s="2409"/>
      <c r="B36" s="2410"/>
      <c r="C36" s="2410"/>
      <c r="D36" s="2410"/>
      <c r="E36" s="2410"/>
      <c r="F36" s="2411"/>
    </row>
    <row r="37" spans="1:11" ht="12" customHeight="1" x14ac:dyDescent="0.2">
      <c r="A37" s="2409"/>
      <c r="B37" s="2410"/>
      <c r="C37" s="2410"/>
      <c r="D37" s="2410"/>
      <c r="E37" s="2410"/>
      <c r="F37" s="2411"/>
    </row>
    <row r="38" spans="1:11" ht="12" customHeight="1" x14ac:dyDescent="0.2">
      <c r="A38" s="2423"/>
      <c r="B38" s="2424"/>
      <c r="C38" s="2424"/>
      <c r="D38" s="2424"/>
      <c r="E38" s="2424"/>
      <c r="F38" s="2425"/>
    </row>
    <row r="39" spans="1:11" ht="4.5" hidden="1" customHeight="1" x14ac:dyDescent="0.2">
      <c r="A39" s="1868"/>
      <c r="B39" s="1868"/>
      <c r="C39" s="1868"/>
      <c r="D39" s="1868"/>
      <c r="E39" s="1868"/>
      <c r="F39" s="1868"/>
    </row>
    <row r="40" spans="1:11" s="1865" customFormat="1" ht="12" customHeight="1" x14ac:dyDescent="0.25">
      <c r="A40" s="1869" t="s">
        <v>1391</v>
      </c>
      <c r="B40" s="1870"/>
      <c r="C40" s="2426"/>
      <c r="D40" s="2426"/>
      <c r="E40" s="2426"/>
      <c r="F40" s="2427"/>
      <c r="H40" s="1874"/>
      <c r="I40" s="1874"/>
      <c r="J40" s="1874"/>
      <c r="K40" s="1874"/>
    </row>
    <row r="41" spans="1:11" s="1865" customFormat="1" ht="12" customHeight="1" x14ac:dyDescent="0.25">
      <c r="A41" s="2428"/>
      <c r="B41" s="2429"/>
      <c r="C41" s="2429"/>
      <c r="D41" s="2429"/>
      <c r="E41" s="2429"/>
      <c r="F41" s="2430"/>
      <c r="H41" s="1874"/>
      <c r="I41" s="1874"/>
      <c r="J41" s="1874"/>
      <c r="K41" s="1874"/>
    </row>
    <row r="42" spans="1:11" s="1865" customFormat="1" ht="12" customHeight="1" x14ac:dyDescent="0.25">
      <c r="A42" s="2428"/>
      <c r="B42" s="2429"/>
      <c r="C42" s="2429"/>
      <c r="D42" s="2429"/>
      <c r="E42" s="2429"/>
      <c r="F42" s="2430"/>
      <c r="H42" s="1874"/>
      <c r="I42" s="1874"/>
      <c r="J42" s="1874"/>
      <c r="K42" s="1874"/>
    </row>
    <row r="43" spans="1:11" s="1865" customFormat="1" ht="15" x14ac:dyDescent="0.25">
      <c r="A43" s="2420"/>
      <c r="B43" s="2421"/>
      <c r="C43" s="2421"/>
      <c r="D43" s="2421"/>
      <c r="E43" s="2421"/>
      <c r="F43" s="2422"/>
      <c r="H43" s="1874"/>
      <c r="I43" s="1874"/>
      <c r="J43" s="1874"/>
      <c r="K43" s="1874"/>
    </row>
    <row r="44" spans="1:11" s="1865" customFormat="1" ht="12" hidden="1" customHeight="1" x14ac:dyDescent="0.25">
      <c r="A44" s="2420"/>
      <c r="B44" s="2421"/>
      <c r="C44" s="2421"/>
      <c r="D44" s="2421"/>
      <c r="E44" s="2421"/>
      <c r="F44" s="2422"/>
      <c r="H44" s="1874"/>
      <c r="I44" s="1874"/>
      <c r="J44" s="1874"/>
      <c r="K44" s="1874"/>
    </row>
    <row r="45" spans="1:11" s="1865" customFormat="1" ht="12" customHeight="1" x14ac:dyDescent="0.25">
      <c r="H45" s="1874"/>
      <c r="I45" s="1874"/>
      <c r="J45" s="1874"/>
      <c r="K45" s="1874"/>
    </row>
    <row r="46" spans="1:11" s="1865" customFormat="1" ht="9.75" customHeight="1" x14ac:dyDescent="0.25">
      <c r="H46" s="1874"/>
      <c r="I46" s="1874"/>
      <c r="J46" s="1874"/>
      <c r="K46" s="1874"/>
    </row>
    <row r="47" spans="1:11" s="1865" customFormat="1" ht="13.5" customHeight="1" x14ac:dyDescent="0.25">
      <c r="H47" s="1874"/>
      <c r="I47" s="1874"/>
      <c r="J47" s="1874"/>
      <c r="K47" s="1874"/>
    </row>
    <row r="48" spans="1:11" s="1865" customFormat="1" ht="15" x14ac:dyDescent="0.25">
      <c r="H48" s="1874"/>
      <c r="I48" s="1874"/>
      <c r="J48" s="1874"/>
      <c r="K48" s="1874"/>
    </row>
    <row r="49" spans="1:11" s="1865" customFormat="1" ht="15" hidden="1" x14ac:dyDescent="0.25">
      <c r="A49" s="1865" t="b">
        <v>0</v>
      </c>
      <c r="H49" s="1874"/>
      <c r="I49" s="1874"/>
      <c r="J49" s="1874"/>
      <c r="K49" s="1874"/>
    </row>
    <row r="50" spans="1:11" s="1865" customFormat="1" ht="15" x14ac:dyDescent="0.25">
      <c r="H50" s="1874"/>
      <c r="I50" s="1874"/>
      <c r="J50" s="1874"/>
      <c r="K50" s="1874"/>
    </row>
    <row r="51" spans="1:11" s="1865" customFormat="1" ht="15" x14ac:dyDescent="0.25">
      <c r="H51" s="1874"/>
      <c r="I51" s="1874"/>
      <c r="J51" s="1874"/>
      <c r="K51" s="1874"/>
    </row>
    <row r="52" spans="1:11" s="1865" customFormat="1" ht="15" x14ac:dyDescent="0.25">
      <c r="H52" s="1874"/>
      <c r="I52" s="1874"/>
      <c r="J52" s="1874"/>
      <c r="K52" s="1874"/>
    </row>
    <row r="53" spans="1:11" s="1865" customFormat="1" ht="15" x14ac:dyDescent="0.25">
      <c r="H53" s="1874"/>
      <c r="I53" s="1874"/>
      <c r="J53" s="1874"/>
      <c r="K53" s="1874"/>
    </row>
    <row r="54" spans="1:11" s="1865" customFormat="1" ht="15" x14ac:dyDescent="0.25">
      <c r="H54" s="1874"/>
      <c r="I54" s="1874"/>
      <c r="J54" s="1874"/>
      <c r="K54" s="1874"/>
    </row>
    <row r="55" spans="1:11" s="1865" customFormat="1" ht="15" x14ac:dyDescent="0.25">
      <c r="H55" s="1874"/>
      <c r="I55" s="1874"/>
      <c r="J55" s="1874"/>
      <c r="K55" s="1874"/>
    </row>
    <row r="56" spans="1:11" s="1865" customFormat="1" ht="15" x14ac:dyDescent="0.25">
      <c r="H56" s="1874"/>
      <c r="I56" s="1874"/>
      <c r="J56" s="1874"/>
      <c r="K56" s="1874"/>
    </row>
    <row r="57" spans="1:11" s="1865" customFormat="1" ht="15" x14ac:dyDescent="0.25">
      <c r="H57" s="1874"/>
      <c r="I57" s="1874"/>
      <c r="J57" s="1874"/>
      <c r="K57" s="1874"/>
    </row>
    <row r="58" spans="1:11" s="1865" customFormat="1" ht="15" x14ac:dyDescent="0.25">
      <c r="H58" s="1874"/>
      <c r="I58" s="1874"/>
      <c r="J58" s="1874"/>
      <c r="K58" s="1874"/>
    </row>
    <row r="59" spans="1:11" s="1865" customFormat="1" ht="15" x14ac:dyDescent="0.25">
      <c r="H59" s="1874"/>
      <c r="I59" s="1874"/>
      <c r="J59" s="1874"/>
      <c r="K59" s="1874"/>
    </row>
    <row r="60" spans="1:11" s="1865" customFormat="1" ht="15" x14ac:dyDescent="0.25">
      <c r="H60" s="1874"/>
      <c r="I60" s="1874"/>
      <c r="J60" s="1874"/>
      <c r="K60" s="1874"/>
    </row>
    <row r="61" spans="1:11" s="1865" customFormat="1" ht="15" x14ac:dyDescent="0.25">
      <c r="H61" s="1874"/>
      <c r="I61" s="1874"/>
      <c r="J61" s="1874"/>
      <c r="K61" s="1874"/>
    </row>
    <row r="62" spans="1:11" s="1865" customFormat="1" ht="15" x14ac:dyDescent="0.25">
      <c r="H62" s="1874"/>
      <c r="I62" s="1874"/>
      <c r="J62" s="1874"/>
      <c r="K62" s="1874"/>
    </row>
    <row r="63" spans="1:11" s="1865" customFormat="1" ht="15" x14ac:dyDescent="0.25">
      <c r="H63" s="1874"/>
      <c r="I63" s="1874"/>
      <c r="J63" s="1874"/>
      <c r="K63" s="1874"/>
    </row>
    <row r="64" spans="1:11" s="1865" customFormat="1" ht="15" x14ac:dyDescent="0.25">
      <c r="H64" s="1874"/>
      <c r="I64" s="1874"/>
      <c r="J64" s="1874"/>
      <c r="K64" s="1874"/>
    </row>
    <row r="65" spans="8:11" s="1865" customFormat="1" ht="15" x14ac:dyDescent="0.25">
      <c r="H65" s="1874"/>
      <c r="I65" s="1874"/>
      <c r="J65" s="1874"/>
      <c r="K65" s="1874"/>
    </row>
    <row r="66" spans="8:11" s="1865" customFormat="1" ht="15" x14ac:dyDescent="0.25">
      <c r="H66" s="1874"/>
      <c r="I66" s="1874"/>
      <c r="J66" s="1874"/>
      <c r="K66" s="1874"/>
    </row>
    <row r="67" spans="8:11" s="1865" customFormat="1" ht="15" x14ac:dyDescent="0.25">
      <c r="H67" s="1874"/>
      <c r="I67" s="1874"/>
      <c r="J67" s="1874"/>
      <c r="K67" s="1874"/>
    </row>
    <row r="68" spans="8:11" s="1865" customFormat="1" ht="15" x14ac:dyDescent="0.25">
      <c r="H68" s="1874"/>
      <c r="I68" s="1874"/>
      <c r="J68" s="1874"/>
      <c r="K68" s="1874"/>
    </row>
    <row r="69" spans="8:11" s="1865" customFormat="1" ht="15" x14ac:dyDescent="0.25">
      <c r="H69" s="1874"/>
      <c r="I69" s="1874"/>
      <c r="J69" s="1874"/>
      <c r="K69" s="1874"/>
    </row>
    <row r="70" spans="8:11" s="1865" customFormat="1" ht="15" x14ac:dyDescent="0.25">
      <c r="H70" s="1874"/>
      <c r="I70" s="1874"/>
      <c r="J70" s="1874"/>
      <c r="K70" s="1874"/>
    </row>
    <row r="71" spans="8:11" s="1865" customFormat="1" ht="15" x14ac:dyDescent="0.25">
      <c r="H71" s="1874"/>
      <c r="I71" s="1874"/>
      <c r="J71" s="1874"/>
      <c r="K71" s="1874"/>
    </row>
    <row r="72" spans="8:11" s="1865" customFormat="1" ht="15" x14ac:dyDescent="0.25">
      <c r="H72" s="1874"/>
      <c r="I72" s="1874"/>
      <c r="J72" s="1874"/>
      <c r="K72" s="1874"/>
    </row>
    <row r="73" spans="8:11" s="1865" customFormat="1" ht="15" x14ac:dyDescent="0.25">
      <c r="H73" s="1874"/>
      <c r="I73" s="1874"/>
      <c r="J73" s="1874"/>
      <c r="K73" s="1874"/>
    </row>
    <row r="74" spans="8:11" s="1865" customFormat="1" ht="15" x14ac:dyDescent="0.25">
      <c r="H74" s="1874"/>
      <c r="I74" s="1874"/>
      <c r="J74" s="1874"/>
      <c r="K74" s="1874"/>
    </row>
    <row r="75" spans="8:11" s="1865" customFormat="1" ht="15" x14ac:dyDescent="0.25">
      <c r="H75" s="1874"/>
      <c r="I75" s="1874"/>
      <c r="J75" s="1874"/>
      <c r="K75" s="1874"/>
    </row>
    <row r="76" spans="8:11" s="1865" customFormat="1" ht="15" x14ac:dyDescent="0.25">
      <c r="H76" s="1874"/>
      <c r="I76" s="1874"/>
      <c r="J76" s="1874"/>
      <c r="K76" s="1874"/>
    </row>
    <row r="77" spans="8:11" s="1865" customFormat="1" ht="15" x14ac:dyDescent="0.25">
      <c r="H77" s="1874"/>
      <c r="I77" s="1874"/>
      <c r="J77" s="1874"/>
      <c r="K77" s="1874"/>
    </row>
    <row r="78" spans="8:11" s="1865" customFormat="1" ht="15" x14ac:dyDescent="0.25">
      <c r="H78" s="1874"/>
      <c r="I78" s="1874"/>
      <c r="J78" s="1874"/>
      <c r="K78" s="1874"/>
    </row>
    <row r="79" spans="8:11" s="1865" customFormat="1" ht="15" x14ac:dyDescent="0.25">
      <c r="H79" s="1874"/>
      <c r="I79" s="1874"/>
      <c r="J79" s="1874"/>
      <c r="K79" s="1874"/>
    </row>
    <row r="80" spans="8:11" s="1865" customFormat="1" ht="15" x14ac:dyDescent="0.25">
      <c r="H80" s="1874"/>
      <c r="I80" s="1874"/>
      <c r="J80" s="1874"/>
      <c r="K80" s="1874"/>
    </row>
    <row r="81" spans="8:11" s="1865" customFormat="1" ht="15" x14ac:dyDescent="0.25">
      <c r="H81" s="1874"/>
      <c r="I81" s="1874"/>
      <c r="J81" s="1874"/>
      <c r="K81" s="1874"/>
    </row>
    <row r="82" spans="8:11" s="1865" customFormat="1" ht="15" x14ac:dyDescent="0.25">
      <c r="H82" s="1874"/>
      <c r="I82" s="1874"/>
      <c r="J82" s="1874"/>
      <c r="K82" s="1874"/>
    </row>
    <row r="83" spans="8:11" s="1865" customFormat="1" ht="15" x14ac:dyDescent="0.25">
      <c r="H83" s="1874"/>
      <c r="I83" s="1874"/>
      <c r="J83" s="1874"/>
      <c r="K83" s="1874"/>
    </row>
    <row r="84" spans="8:11" s="1865" customFormat="1" ht="15" x14ac:dyDescent="0.25">
      <c r="H84" s="1874"/>
      <c r="I84" s="1874"/>
      <c r="J84" s="1874"/>
      <c r="K84" s="1874"/>
    </row>
    <row r="85" spans="8:11" s="1865" customFormat="1" ht="15" x14ac:dyDescent="0.25">
      <c r="H85" s="1874"/>
      <c r="I85" s="1874"/>
      <c r="J85" s="1874"/>
      <c r="K85" s="1874"/>
    </row>
    <row r="86" spans="8:11" s="1865" customFormat="1" ht="15" x14ac:dyDescent="0.25">
      <c r="H86" s="1874"/>
      <c r="I86" s="1874"/>
      <c r="J86" s="1874"/>
      <c r="K86" s="1874"/>
    </row>
    <row r="87" spans="8:11" s="1865" customFormat="1" ht="15" x14ac:dyDescent="0.25">
      <c r="H87" s="1874"/>
      <c r="I87" s="1874"/>
      <c r="J87" s="1874"/>
      <c r="K87" s="1874"/>
    </row>
    <row r="88" spans="8:11" s="1865" customFormat="1" ht="15" x14ac:dyDescent="0.25">
      <c r="H88" s="1874"/>
      <c r="I88" s="1874"/>
      <c r="J88" s="1874"/>
      <c r="K88" s="1874"/>
    </row>
    <row r="89" spans="8:11" s="1865" customFormat="1" ht="15" x14ac:dyDescent="0.25">
      <c r="H89" s="1874"/>
      <c r="I89" s="1874"/>
      <c r="J89" s="1874"/>
      <c r="K89" s="1874"/>
    </row>
    <row r="90" spans="8:11" s="1865" customFormat="1" ht="15" x14ac:dyDescent="0.25">
      <c r="H90" s="1874"/>
      <c r="I90" s="1874"/>
      <c r="J90" s="1874"/>
      <c r="K90" s="1874"/>
    </row>
    <row r="91" spans="8:11" s="1865" customFormat="1" ht="15" x14ac:dyDescent="0.25">
      <c r="H91" s="1874"/>
      <c r="I91" s="1874"/>
      <c r="J91" s="1874"/>
      <c r="K91" s="1874"/>
    </row>
    <row r="92" spans="8:11" s="1865" customFormat="1" ht="15" x14ac:dyDescent="0.25">
      <c r="H92" s="1874"/>
      <c r="I92" s="1874"/>
      <c r="J92" s="1874"/>
      <c r="K92" s="1874"/>
    </row>
    <row r="93" spans="8:11" s="1865" customFormat="1" ht="15" x14ac:dyDescent="0.25">
      <c r="H93" s="1874"/>
      <c r="I93" s="1874"/>
      <c r="J93" s="1874"/>
      <c r="K93" s="1874"/>
    </row>
    <row r="94" spans="8:11" s="1865" customFormat="1" ht="15" x14ac:dyDescent="0.25">
      <c r="H94" s="1874"/>
      <c r="I94" s="1874"/>
      <c r="J94" s="1874"/>
      <c r="K94" s="1874"/>
    </row>
    <row r="95" spans="8:11" s="1865" customFormat="1" ht="15" x14ac:dyDescent="0.25">
      <c r="H95" s="1874"/>
      <c r="I95" s="1874"/>
      <c r="J95" s="1874"/>
      <c r="K95" s="1874"/>
    </row>
    <row r="96" spans="8:11" s="1865" customFormat="1" ht="15" x14ac:dyDescent="0.25">
      <c r="H96" s="1874"/>
      <c r="I96" s="1874"/>
      <c r="J96" s="1874"/>
      <c r="K96" s="1874"/>
    </row>
    <row r="97" spans="8:11" s="1865" customFormat="1" ht="15" x14ac:dyDescent="0.25">
      <c r="H97" s="1874"/>
      <c r="I97" s="1874"/>
      <c r="J97" s="1874"/>
      <c r="K97" s="1874"/>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89" t="s">
        <v>672</v>
      </c>
      <c r="B6" s="1639"/>
      <c r="C6" s="1639"/>
      <c r="D6" s="1639"/>
      <c r="E6" s="1640"/>
      <c r="F6" s="1012"/>
      <c r="G6" s="1006"/>
      <c r="H6" s="1013" t="s">
        <v>1028</v>
      </c>
      <c r="I6" s="2436" t="str">
        <f>COVER!A17</f>
        <v>Eureka CUD 140</v>
      </c>
      <c r="J6" s="2437"/>
      <c r="Q6" s="1661"/>
    </row>
    <row r="7" spans="1:17" x14ac:dyDescent="0.2">
      <c r="A7" s="2438" t="s">
        <v>869</v>
      </c>
      <c r="B7" s="2439"/>
      <c r="C7" s="2439"/>
      <c r="D7" s="2439"/>
      <c r="E7" s="2440"/>
      <c r="F7" s="1014"/>
      <c r="G7" s="1006"/>
      <c r="H7" s="1013" t="s">
        <v>372</v>
      </c>
      <c r="I7" s="2441">
        <f>COVER!A13</f>
        <v>53102140026</v>
      </c>
      <c r="J7" s="2441"/>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0" t="s">
        <v>1975</v>
      </c>
      <c r="F9" s="1020"/>
      <c r="G9" s="1020"/>
      <c r="H9" s="1891" t="s">
        <v>1976</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442" t="s">
        <v>481</v>
      </c>
      <c r="B11" s="2443"/>
      <c r="C11" s="2444"/>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160009</v>
      </c>
      <c r="F12" s="1036"/>
      <c r="G12" s="1808">
        <f t="shared" ref="G12:G18" si="0">SUM(E12:F12)</f>
        <v>160009</v>
      </c>
      <c r="H12" s="1037">
        <v>169840</v>
      </c>
      <c r="I12" s="1036"/>
      <c r="J12" s="1808">
        <f t="shared" ref="J12:J18" si="1">SUM(H12:I12)</f>
        <v>169840</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v>114740</v>
      </c>
      <c r="I15" s="1037"/>
      <c r="J15" s="1808">
        <f t="shared" si="1"/>
        <v>114740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445" t="s">
        <v>7</v>
      </c>
      <c r="C18" s="2446"/>
      <c r="D18" s="2447"/>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160009</v>
      </c>
      <c r="F19" s="1810">
        <f t="shared" si="2"/>
        <v>0</v>
      </c>
      <c r="G19" s="1810">
        <f t="shared" si="2"/>
        <v>160009</v>
      </c>
      <c r="H19" s="1810">
        <f t="shared" si="2"/>
        <v>284580</v>
      </c>
      <c r="I19" s="1810">
        <f t="shared" si="2"/>
        <v>0</v>
      </c>
      <c r="J19" s="1810">
        <f t="shared" si="2"/>
        <v>284580</v>
      </c>
    </row>
    <row r="20" spans="1:10" ht="13.5" thickTop="1" x14ac:dyDescent="0.2">
      <c r="A20" s="1032">
        <v>9</v>
      </c>
      <c r="B20" s="2448" t="s">
        <v>1977</v>
      </c>
      <c r="C20" s="2448"/>
      <c r="D20" s="2449"/>
      <c r="E20" s="1043"/>
      <c r="F20" s="1043"/>
      <c r="G20" s="1043"/>
      <c r="H20" s="1043"/>
      <c r="I20" s="1043"/>
      <c r="J20" s="1811">
        <f>IF(AND(G19&gt;0,J19&gt;0),(((J19-G19)/G19)),"Enter Budget Data")</f>
        <v>0.7785249579711141</v>
      </c>
    </row>
    <row r="21" spans="1:10" ht="9" customHeight="1" x14ac:dyDescent="0.2">
      <c r="B21" s="1044"/>
    </row>
    <row r="22" spans="1:10" x14ac:dyDescent="0.2">
      <c r="A22" s="1045" t="s">
        <v>133</v>
      </c>
      <c r="B22" s="1044"/>
    </row>
    <row r="23" spans="1:10" x14ac:dyDescent="0.2">
      <c r="A23" s="1008" t="s">
        <v>1978</v>
      </c>
      <c r="B23" s="1044"/>
    </row>
    <row r="24" spans="1:10" x14ac:dyDescent="0.2">
      <c r="A24" s="1008" t="s">
        <v>1991</v>
      </c>
      <c r="B24" s="1044"/>
    </row>
    <row r="25" spans="1:10" x14ac:dyDescent="0.2">
      <c r="A25" s="1046"/>
      <c r="B25" s="1044"/>
    </row>
    <row r="26" spans="1:10" ht="20.100000000000001" customHeight="1" x14ac:dyDescent="0.2">
      <c r="B26" s="1044"/>
      <c r="C26" s="2454"/>
      <c r="D26" s="2454"/>
      <c r="E26" s="1047"/>
      <c r="F26" s="2453"/>
      <c r="G26" s="2453"/>
    </row>
    <row r="27" spans="1:10" x14ac:dyDescent="0.2">
      <c r="B27" s="1044"/>
      <c r="C27" s="1048" t="s">
        <v>1033</v>
      </c>
      <c r="D27" s="1049"/>
      <c r="E27" s="1050"/>
      <c r="F27" s="2450" t="s">
        <v>1509</v>
      </c>
      <c r="G27" s="2450"/>
    </row>
    <row r="28" spans="1:10" ht="28.5" customHeight="1" x14ac:dyDescent="0.2">
      <c r="B28" s="1044"/>
      <c r="C28" s="2452"/>
      <c r="D28" s="2452"/>
      <c r="E28" s="1051"/>
      <c r="F28" s="2452"/>
      <c r="G28" s="2452"/>
    </row>
    <row r="29" spans="1:10" x14ac:dyDescent="0.2">
      <c r="B29" s="1044"/>
      <c r="C29" s="1052" t="s">
        <v>1560</v>
      </c>
      <c r="E29" s="1053"/>
      <c r="F29" s="2451" t="s">
        <v>1510</v>
      </c>
      <c r="G29" s="2451"/>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t="s">
        <v>2066</v>
      </c>
      <c r="C33" s="2433" t="s">
        <v>132</v>
      </c>
      <c r="D33" s="2434"/>
      <c r="E33" s="2434"/>
      <c r="F33" s="2434"/>
      <c r="G33" s="2434"/>
      <c r="H33" s="2434"/>
      <c r="I33" s="2434"/>
    </row>
    <row r="34" spans="1:10" ht="10.35" customHeight="1" x14ac:dyDescent="0.2">
      <c r="C34" s="2434"/>
      <c r="D34" s="2434"/>
      <c r="E34" s="2434"/>
      <c r="F34" s="2434"/>
      <c r="G34" s="2434"/>
      <c r="H34" s="2434"/>
      <c r="I34" s="2434"/>
    </row>
    <row r="35" spans="1:10" ht="7.5" customHeight="1" x14ac:dyDescent="0.2">
      <c r="C35" s="1059"/>
    </row>
    <row r="36" spans="1:10" ht="13.5" customHeight="1" x14ac:dyDescent="0.2">
      <c r="B36" s="1058"/>
      <c r="C36" s="2435" t="s">
        <v>1979</v>
      </c>
      <c r="D36" s="2434"/>
      <c r="E36" s="2434"/>
      <c r="F36" s="2434"/>
      <c r="G36" s="2434"/>
      <c r="H36" s="2434"/>
      <c r="I36" s="2434"/>
      <c r="J36" s="1060"/>
    </row>
    <row r="37" spans="1:10" ht="22.5" customHeight="1" x14ac:dyDescent="0.2">
      <c r="C37" s="2434"/>
      <c r="D37" s="2434"/>
      <c r="E37" s="2434"/>
      <c r="F37" s="2434"/>
      <c r="G37" s="2434"/>
      <c r="H37" s="2434"/>
      <c r="I37" s="2434"/>
      <c r="J37" s="1060"/>
    </row>
    <row r="38" spans="1:10" ht="7.5" customHeight="1" x14ac:dyDescent="0.2">
      <c r="C38" s="1059"/>
      <c r="D38" s="1061"/>
      <c r="E38" s="1062"/>
      <c r="F38" s="1063"/>
      <c r="G38" s="1062"/>
    </row>
    <row r="39" spans="1:10" ht="13.5" customHeight="1" x14ac:dyDescent="0.2">
      <c r="B39" s="1058"/>
      <c r="C39" s="2431" t="s">
        <v>882</v>
      </c>
      <c r="D39" s="2432"/>
      <c r="E39" s="2432"/>
      <c r="F39" s="2432"/>
      <c r="G39" s="2432"/>
      <c r="H39" s="2432"/>
      <c r="I39" s="2432"/>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2179</v>
      </c>
    </row>
    <row r="6" spans="1:2" x14ac:dyDescent="0.2">
      <c r="A6" s="1065">
        <v>2</v>
      </c>
      <c r="B6" s="329" t="s">
        <v>2180</v>
      </c>
    </row>
    <row r="7" spans="1:2" x14ac:dyDescent="0.2">
      <c r="A7" s="1065">
        <v>3</v>
      </c>
      <c r="B7" s="329" t="s">
        <v>2181</v>
      </c>
    </row>
    <row r="8" spans="1:2" x14ac:dyDescent="0.2">
      <c r="A8" s="1065">
        <v>4</v>
      </c>
      <c r="B8" s="329" t="s">
        <v>2182</v>
      </c>
    </row>
    <row r="9" spans="1:2" x14ac:dyDescent="0.2">
      <c r="A9" s="1065">
        <v>5</v>
      </c>
      <c r="B9" s="329" t="s">
        <v>2183</v>
      </c>
    </row>
    <row r="10" spans="1:2" x14ac:dyDescent="0.2">
      <c r="A10" s="1066"/>
      <c r="B10" s="329" t="s">
        <v>2184</v>
      </c>
    </row>
    <row r="11" spans="1:2" x14ac:dyDescent="0.2">
      <c r="A11" s="1066"/>
      <c r="B11" s="329" t="s">
        <v>2185</v>
      </c>
    </row>
    <row r="12" spans="1:2" x14ac:dyDescent="0.2">
      <c r="A12" s="1066"/>
      <c r="B12" s="329" t="s">
        <v>2186</v>
      </c>
    </row>
    <row r="13" spans="1:2" x14ac:dyDescent="0.2">
      <c r="A13" s="1066"/>
      <c r="B13" s="329" t="s">
        <v>2187</v>
      </c>
    </row>
    <row r="14" spans="1:2" x14ac:dyDescent="0.2">
      <c r="A14" s="1066"/>
      <c r="B14" s="329" t="s">
        <v>2188</v>
      </c>
    </row>
    <row r="15" spans="1:2" x14ac:dyDescent="0.2">
      <c r="A15" s="1065">
        <v>6</v>
      </c>
      <c r="B15" s="329" t="s">
        <v>2189</v>
      </c>
    </row>
    <row r="16" spans="1:2" x14ac:dyDescent="0.2">
      <c r="A16" s="1066">
        <v>7</v>
      </c>
      <c r="B16" s="329" t="s">
        <v>2190</v>
      </c>
    </row>
    <row r="17" spans="1:2" x14ac:dyDescent="0.2">
      <c r="A17" s="1066">
        <v>8</v>
      </c>
      <c r="B17" s="329" t="s">
        <v>2196</v>
      </c>
    </row>
    <row r="18" spans="1:2" x14ac:dyDescent="0.2">
      <c r="A18" s="1066">
        <v>9</v>
      </c>
      <c r="B18" s="329" t="s">
        <v>2197</v>
      </c>
    </row>
    <row r="19" spans="1:2" x14ac:dyDescent="0.2">
      <c r="A19" s="1066">
        <v>10</v>
      </c>
      <c r="B19" s="329" t="s">
        <v>2191</v>
      </c>
    </row>
    <row r="20" spans="1:2" x14ac:dyDescent="0.2">
      <c r="A20" s="1066">
        <v>11</v>
      </c>
      <c r="B20" s="329" t="s">
        <v>2192</v>
      </c>
    </row>
    <row r="21" spans="1:2" x14ac:dyDescent="0.2">
      <c r="A21" s="1066"/>
      <c r="B21" s="329" t="s">
        <v>2193</v>
      </c>
    </row>
    <row r="22" spans="1:2" x14ac:dyDescent="0.2">
      <c r="A22" s="1066"/>
      <c r="B22" s="329" t="s">
        <v>2194</v>
      </c>
    </row>
    <row r="23" spans="1:2" x14ac:dyDescent="0.2">
      <c r="A23" s="1066"/>
    </row>
    <row r="24" spans="1:2" x14ac:dyDescent="0.2">
      <c r="A24" s="1066"/>
    </row>
    <row r="25" spans="1:2" x14ac:dyDescent="0.2">
      <c r="A25" s="1066"/>
    </row>
    <row r="26" spans="1:2" x14ac:dyDescent="0.2">
      <c r="A26" s="1066"/>
    </row>
    <row r="27" spans="1:2" x14ac:dyDescent="0.2">
      <c r="A27" s="1066"/>
    </row>
    <row r="28" spans="1:2" x14ac:dyDescent="0.2">
      <c r="A28" s="1066"/>
    </row>
    <row r="29" spans="1:2" x14ac:dyDescent="0.2">
      <c r="A29" s="1066"/>
    </row>
    <row r="30" spans="1:2" x14ac:dyDescent="0.2">
      <c r="A30" s="1066"/>
    </row>
    <row r="31" spans="1:2" x14ac:dyDescent="0.2">
      <c r="A31" s="1066"/>
    </row>
    <row r="32" spans="1:2"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Eureka CUD 140</v>
      </c>
    </row>
    <row r="65" spans="2:2" x14ac:dyDescent="0.2">
      <c r="B65" s="1067">
        <f>COVER!A13</f>
        <v>53102140026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1609</v>
      </c>
    </row>
    <row r="22" spans="1:5" x14ac:dyDescent="0.2">
      <c r="A22" s="168"/>
      <c r="B22" s="162" t="s">
        <v>1852</v>
      </c>
      <c r="C22" s="162" t="s">
        <v>1169</v>
      </c>
      <c r="D22" s="167" t="s">
        <v>1854</v>
      </c>
      <c r="E22" s="1833" t="s">
        <v>1610</v>
      </c>
    </row>
    <row r="23" spans="1:5" x14ac:dyDescent="0.2">
      <c r="A23" s="168"/>
      <c r="B23" s="162" t="s">
        <v>1853</v>
      </c>
      <c r="D23" s="167" t="s">
        <v>637</v>
      </c>
      <c r="E23" s="1833" t="s">
        <v>959</v>
      </c>
    </row>
    <row r="24" spans="1:5" x14ac:dyDescent="0.2">
      <c r="A24" s="168" t="s">
        <v>1608</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72" t="s">
        <v>1065</v>
      </c>
      <c r="B35" s="2172"/>
      <c r="C35" s="2172"/>
      <c r="D35" s="2172"/>
      <c r="E35" s="21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69" t="s">
        <v>691</v>
      </c>
      <c r="B40" s="2169"/>
      <c r="C40" s="2169"/>
      <c r="D40" s="2169"/>
      <c r="E40" s="2169"/>
    </row>
    <row r="41" spans="1:5" x14ac:dyDescent="0.2">
      <c r="A41" s="2170" t="s">
        <v>1607</v>
      </c>
      <c r="B41" s="2170"/>
      <c r="C41" s="2170"/>
      <c r="D41" s="2170"/>
      <c r="E41" s="2170"/>
    </row>
    <row r="42" spans="1:5" ht="12.75" customHeight="1" x14ac:dyDescent="0.2">
      <c r="A42" s="2171" t="s">
        <v>1022</v>
      </c>
      <c r="B42" s="2171"/>
      <c r="C42" s="2171"/>
      <c r="D42" s="2171"/>
      <c r="E42" s="2171"/>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2" t="s">
        <v>1772</v>
      </c>
    </row>
    <row r="60" spans="1:3" x14ac:dyDescent="0.2">
      <c r="A60" s="196"/>
      <c r="B60" s="1482"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4"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3"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1683</v>
      </c>
    </row>
    <row r="17" spans="1:2" ht="6" customHeight="1" x14ac:dyDescent="0.2"/>
    <row r="18" spans="1:2" ht="24.75" customHeight="1" x14ac:dyDescent="0.2">
      <c r="A18" s="2455" t="s">
        <v>1684</v>
      </c>
      <c r="B18" s="245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56" t="s">
        <v>1689</v>
      </c>
      <c r="B1" s="2457"/>
      <c r="C1" s="2457"/>
      <c r="D1" s="2457"/>
      <c r="E1" s="2457"/>
      <c r="F1" s="2458"/>
    </row>
    <row r="2" spans="1:8" ht="45" customHeight="1" x14ac:dyDescent="0.2">
      <c r="A2" s="2466" t="s">
        <v>1983</v>
      </c>
      <c r="B2" s="2467"/>
      <c r="C2" s="2467"/>
      <c r="D2" s="2467"/>
      <c r="E2" s="2467"/>
      <c r="F2" s="2468"/>
      <c r="G2" s="1071"/>
      <c r="H2" s="1071"/>
    </row>
    <row r="3" spans="1:8" ht="57" customHeight="1" x14ac:dyDescent="0.2">
      <c r="A3" s="2469" t="s">
        <v>1685</v>
      </c>
      <c r="B3" s="2470"/>
      <c r="C3" s="2470"/>
      <c r="D3" s="2470"/>
      <c r="E3" s="2470"/>
      <c r="F3" s="2471"/>
      <c r="G3" s="1071"/>
      <c r="H3" s="1071"/>
    </row>
    <row r="4" spans="1:8" ht="14.25" customHeight="1" x14ac:dyDescent="0.2">
      <c r="A4" s="2475" t="s">
        <v>1984</v>
      </c>
      <c r="B4" s="2476"/>
      <c r="C4" s="2476"/>
      <c r="D4" s="2476"/>
      <c r="E4" s="2476"/>
      <c r="F4" s="2477"/>
      <c r="G4" s="1071"/>
      <c r="H4" s="1071"/>
    </row>
    <row r="5" spans="1:8" ht="14.25" customHeight="1" x14ac:dyDescent="0.2">
      <c r="A5" s="2478" t="s">
        <v>1980</v>
      </c>
      <c r="B5" s="2479"/>
      <c r="C5" s="2479"/>
      <c r="D5" s="2479"/>
      <c r="E5" s="2479"/>
      <c r="F5" s="2480"/>
      <c r="G5" s="1071"/>
      <c r="H5" s="1071"/>
    </row>
    <row r="6" spans="1:8" s="1072" customFormat="1" ht="41.25" customHeight="1" x14ac:dyDescent="0.2">
      <c r="A6" s="2472" t="s">
        <v>1690</v>
      </c>
      <c r="B6" s="2473"/>
      <c r="C6" s="2473"/>
      <c r="D6" s="2473"/>
      <c r="E6" s="2473"/>
      <c r="F6" s="2474"/>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12755719</v>
      </c>
      <c r="C8" s="1812">
        <f>'Acct Summary 7-8'!D8</f>
        <v>1216528</v>
      </c>
      <c r="D8" s="1812">
        <f>'Acct Summary 7-8'!F8</f>
        <v>766051</v>
      </c>
      <c r="E8" s="1812">
        <f>'Acct Summary 7-8'!I8</f>
        <v>201707</v>
      </c>
      <c r="F8" s="1812">
        <f>SUM(B8:E8)</f>
        <v>14940005</v>
      </c>
    </row>
    <row r="9" spans="1:8" s="1076" customFormat="1" ht="14.25" customHeight="1" thickBot="1" x14ac:dyDescent="0.25">
      <c r="A9" s="1075" t="s">
        <v>1369</v>
      </c>
      <c r="B9" s="1813">
        <f>'Acct Summary 7-8'!C17</f>
        <v>12741192</v>
      </c>
      <c r="C9" s="1813">
        <f>'Acct Summary 7-8'!D17</f>
        <v>808525</v>
      </c>
      <c r="D9" s="1813">
        <f>'Acct Summary 7-8'!F17</f>
        <v>636439</v>
      </c>
      <c r="E9" s="1812"/>
      <c r="F9" s="1812">
        <f>SUM(B9:E9)</f>
        <v>14186156</v>
      </c>
    </row>
    <row r="10" spans="1:8" s="1076" customFormat="1" ht="14.25" thickTop="1" thickBot="1" x14ac:dyDescent="0.25">
      <c r="A10" s="1077" t="s">
        <v>1370</v>
      </c>
      <c r="B10" s="1814">
        <f>(B8-B9)</f>
        <v>14527</v>
      </c>
      <c r="C10" s="1814">
        <f>(C8-C9)</f>
        <v>408003</v>
      </c>
      <c r="D10" s="1814">
        <f>(D8-D9)</f>
        <v>129612</v>
      </c>
      <c r="E10" s="1813">
        <f>(E8-E9)</f>
        <v>201707</v>
      </c>
      <c r="F10" s="1815">
        <f>SUM(F8-F9)</f>
        <v>753849</v>
      </c>
    </row>
    <row r="11" spans="1:8" s="1076" customFormat="1" ht="14.25" thickTop="1" thickBot="1" x14ac:dyDescent="0.25">
      <c r="A11" s="1078" t="s">
        <v>1981</v>
      </c>
      <c r="B11" s="1816">
        <f>'Acct Summary 7-8'!C81</f>
        <v>1915842</v>
      </c>
      <c r="C11" s="1816">
        <f>'Acct Summary 7-8'!D81</f>
        <v>3227671</v>
      </c>
      <c r="D11" s="1816">
        <f>'Acct Summary 7-8'!F81</f>
        <v>1333401</v>
      </c>
      <c r="E11" s="1816">
        <f>'Acct Summary 7-8'!I81</f>
        <v>2871537</v>
      </c>
      <c r="F11" s="1817">
        <f>SUM(B11:E11)</f>
        <v>9348451</v>
      </c>
    </row>
    <row r="12" spans="1:8" ht="16.5" customHeight="1" thickTop="1" x14ac:dyDescent="0.2">
      <c r="A12" s="1079"/>
      <c r="B12" s="1080"/>
      <c r="C12" s="2460" t="str">
        <f>IF(AND(F10&lt;0,F11&gt;=0,ABS(F10*3)&gt;ABS(F11)),A16,IF(AND(F10&lt;0,F11&gt;0,ABS(F10*3)&lt;=ABS(F11)),A17,IF(AND(F10&lt;0,F11&lt;0),A16,IF(F11=0,A19,A18))))</f>
        <v>Balanced - no deficit reduction plan is required.</v>
      </c>
      <c r="D12" s="2461"/>
      <c r="E12" s="2461"/>
      <c r="F12" s="2462"/>
    </row>
    <row r="13" spans="1:8" ht="19.5" customHeight="1" x14ac:dyDescent="0.2">
      <c r="A13" s="1081"/>
      <c r="B13" s="1082"/>
      <c r="C13" s="2460"/>
      <c r="D13" s="2461"/>
      <c r="E13" s="2461"/>
      <c r="F13" s="2462"/>
      <c r="H13" s="1071"/>
    </row>
    <row r="14" spans="1:8" ht="19.5" customHeight="1" x14ac:dyDescent="0.2">
      <c r="A14" s="1081"/>
      <c r="B14" s="1082"/>
      <c r="C14" s="2460"/>
      <c r="D14" s="2461"/>
      <c r="E14" s="2461"/>
      <c r="F14" s="2462"/>
      <c r="H14" s="1071"/>
    </row>
    <row r="15" spans="1:8" ht="17.25" customHeight="1" x14ac:dyDescent="0.2">
      <c r="A15" s="1081"/>
      <c r="B15" s="1082"/>
      <c r="C15" s="2463"/>
      <c r="D15" s="2464"/>
      <c r="E15" s="2464"/>
      <c r="F15" s="2465"/>
      <c r="H15" s="1071"/>
    </row>
    <row r="16" spans="1:8" s="310" customFormat="1" ht="51.75" hidden="1" customHeight="1" x14ac:dyDescent="0.2">
      <c r="A16" s="2459" t="s">
        <v>1686</v>
      </c>
      <c r="B16" s="2459"/>
      <c r="C16" s="2459"/>
      <c r="D16" s="2459"/>
      <c r="E16" s="2459"/>
      <c r="F16" s="310" t="s">
        <v>1371</v>
      </c>
    </row>
    <row r="17" spans="1:6" hidden="1" x14ac:dyDescent="0.2">
      <c r="A17" s="316" t="s">
        <v>1687</v>
      </c>
      <c r="F17" s="1083" t="s">
        <v>1372</v>
      </c>
    </row>
    <row r="18" spans="1:6" hidden="1" x14ac:dyDescent="0.2">
      <c r="A18" s="316" t="s">
        <v>1688</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2"/>
      <c r="B2" s="1893"/>
      <c r="C2" s="1894"/>
      <c r="D2" s="1895"/>
    </row>
    <row r="3" spans="1:4" ht="36" customHeight="1" x14ac:dyDescent="0.2">
      <c r="A3" s="2481" t="s">
        <v>665</v>
      </c>
      <c r="B3" s="2482"/>
      <c r="C3" s="2482"/>
      <c r="D3" s="2483"/>
    </row>
    <row r="4" spans="1:4" x14ac:dyDescent="0.2">
      <c r="A4" s="1149" t="s">
        <v>1691</v>
      </c>
      <c r="B4" s="1150"/>
      <c r="C4" s="1151"/>
      <c r="D4" s="1152"/>
    </row>
    <row r="5" spans="1:4" ht="21" customHeight="1" x14ac:dyDescent="0.2">
      <c r="A5" s="1145"/>
      <c r="B5" s="1146">
        <v>1</v>
      </c>
      <c r="C5" s="1147" t="s">
        <v>1831</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492" t="s">
        <v>1504</v>
      </c>
      <c r="D7" s="2493"/>
    </row>
    <row r="8" spans="1:4" s="665" customFormat="1" ht="12.75" x14ac:dyDescent="0.2">
      <c r="A8" s="1135"/>
      <c r="B8" s="1090"/>
      <c r="C8" s="1093" t="s">
        <v>1503</v>
      </c>
      <c r="D8" s="1094"/>
    </row>
    <row r="9" spans="1:4" s="665" customFormat="1" ht="14.25" customHeight="1" x14ac:dyDescent="0.2">
      <c r="A9" s="1135"/>
      <c r="B9" s="1090">
        <f>B7+1</f>
        <v>4</v>
      </c>
      <c r="C9" s="1091" t="s">
        <v>1909</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484" t="s">
        <v>1008</v>
      </c>
      <c r="B15" s="2485"/>
      <c r="C15" s="2485"/>
      <c r="D15" s="2486"/>
    </row>
    <row r="16" spans="1:4" s="665" customFormat="1" ht="24" customHeight="1" x14ac:dyDescent="0.2">
      <c r="A16" s="2487" t="s">
        <v>663</v>
      </c>
      <c r="B16" s="2488"/>
      <c r="C16" s="2488"/>
      <c r="D16" s="2489"/>
    </row>
    <row r="17" spans="1:10" s="665" customFormat="1" ht="12.75" customHeight="1" x14ac:dyDescent="0.2">
      <c r="A17" s="1153" t="s">
        <v>1692</v>
      </c>
      <c r="B17" s="1154"/>
      <c r="C17" s="1155"/>
      <c r="D17" s="1156"/>
    </row>
    <row r="18" spans="1:10" s="665" customFormat="1" ht="12.75" customHeight="1" x14ac:dyDescent="0.2">
      <c r="A18" s="1157" t="s">
        <v>1693</v>
      </c>
      <c r="B18" s="1158"/>
      <c r="C18" s="1159"/>
      <c r="D18" s="1160"/>
    </row>
    <row r="19" spans="1:10" ht="6.75" customHeight="1" thickBot="1" x14ac:dyDescent="0.25">
      <c r="A19" s="1161"/>
      <c r="B19" s="1162"/>
      <c r="C19" s="1163"/>
      <c r="D19" s="1164"/>
    </row>
    <row r="20" spans="1:10" s="1168" customFormat="1" ht="12.75" thickTop="1" x14ac:dyDescent="0.2">
      <c r="A20" s="1165"/>
      <c r="B20" s="1166" t="s">
        <v>1694</v>
      </c>
      <c r="C20" s="1167"/>
      <c r="D20" s="1170" t="s">
        <v>710</v>
      </c>
    </row>
    <row r="21" spans="1:10" x14ac:dyDescent="0.2">
      <c r="A21" s="1095"/>
      <c r="B21" s="1096">
        <v>1</v>
      </c>
      <c r="C21" s="2496" t="s">
        <v>314</v>
      </c>
      <c r="D21" s="2497"/>
    </row>
    <row r="22" spans="1:10" ht="12.75" x14ac:dyDescent="0.2">
      <c r="A22" s="1136"/>
      <c r="B22" s="1137">
        <v>2</v>
      </c>
      <c r="C22" s="2494" t="s">
        <v>1524</v>
      </c>
      <c r="D22" s="2495"/>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NO FINDINGS WERE ISSUED</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98" t="s">
        <v>536</v>
      </c>
      <c r="D43" s="2499"/>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490" t="s">
        <v>784</v>
      </c>
      <c r="D56" s="2491"/>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1910</v>
      </c>
      <c r="D66" s="1122"/>
    </row>
    <row r="67" spans="1:4" x14ac:dyDescent="0.2">
      <c r="A67" s="1116"/>
      <c r="B67" s="1137"/>
      <c r="C67" s="1144" t="s">
        <v>1021</v>
      </c>
      <c r="D67" s="1122"/>
    </row>
    <row r="68" spans="1:4" x14ac:dyDescent="0.2">
      <c r="A68" s="1097"/>
      <c r="B68" s="1107"/>
      <c r="C68" s="1099" t="s">
        <v>1911</v>
      </c>
      <c r="D68" s="1121" t="str">
        <f>IF('Short-Term Long-Term Debt 24'!F49=SUM(,'Acct Summary 7-8'!C33:K33),"OK","ERROR!")</f>
        <v>OK</v>
      </c>
    </row>
    <row r="69" spans="1:4" x14ac:dyDescent="0.2">
      <c r="A69" s="1097"/>
      <c r="B69" s="1107"/>
      <c r="C69" s="1099" t="s">
        <v>1912</v>
      </c>
      <c r="D69" s="1121" t="str">
        <f>IF('Expenditures 15-22'!H170&lt;&gt;'Short-Term Long-Term Debt 24'!H49,"ERROR!","OK")</f>
        <v>OK</v>
      </c>
    </row>
    <row r="70" spans="1:4" x14ac:dyDescent="0.2">
      <c r="A70" s="1095"/>
      <c r="B70" s="1117">
        <f>B66+1</f>
        <v>9</v>
      </c>
      <c r="C70" s="2490" t="s">
        <v>1695</v>
      </c>
      <c r="D70" s="2491"/>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1696</v>
      </c>
      <c r="D73" s="1123" t="str">
        <f>IF(SUM('Acct Summary 7-8'!C42:K42)&gt;=SUM( 'Acct Summary 7-8'!C74:K74),"OK", "ERROR")</f>
        <v>OK</v>
      </c>
    </row>
    <row r="74" spans="1:4" x14ac:dyDescent="0.2">
      <c r="A74" s="1095"/>
      <c r="B74" s="1117">
        <f>B70+1</f>
        <v>10</v>
      </c>
      <c r="C74" s="1111" t="s">
        <v>1913</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1914</v>
      </c>
      <c r="D78" s="1121" t="str">
        <f>IF(ISNUMBER('Acct Summary 7-8'!C9),"OK","ENTRY IS REQUIRED!")</f>
        <v>OK</v>
      </c>
    </row>
    <row r="79" spans="1:4" x14ac:dyDescent="0.2">
      <c r="A79" s="1116"/>
      <c r="B79" s="1117">
        <f>B74+1+1</f>
        <v>12</v>
      </c>
      <c r="C79" s="1127" t="s">
        <v>1899</v>
      </c>
      <c r="D79" s="1128" t="str">
        <f>IF(OR(COVER!$B$6="X",'PCTC-OEPP 27-28'!F78&gt;0),"OK","PLEASE ENTER 9 MO ADA.")</f>
        <v>OK</v>
      </c>
    </row>
    <row r="80" spans="1:4" x14ac:dyDescent="0.2">
      <c r="A80" s="1095"/>
      <c r="B80" s="1117">
        <v>13</v>
      </c>
      <c r="C80" s="1127" t="s">
        <v>1915</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53102140026</v>
      </c>
    </row>
    <row r="3" spans="1:2" x14ac:dyDescent="0.2">
      <c r="A3" t="s">
        <v>956</v>
      </c>
      <c r="B3" s="138" t="str">
        <f>COVER!A15</f>
        <v>Woodford</v>
      </c>
    </row>
    <row r="4" spans="1:2" x14ac:dyDescent="0.2">
      <c r="A4" t="s">
        <v>1007</v>
      </c>
      <c r="B4" s="138" t="str">
        <f>COVER!A17</f>
        <v>Eureka CUD 140</v>
      </c>
    </row>
    <row r="5" spans="1:2" x14ac:dyDescent="0.2">
      <c r="A5" t="s">
        <v>704</v>
      </c>
      <c r="B5" s="138" t="str">
        <f>COVER!A38</f>
        <v>Robert Bardwell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Tim C. Custis, CPA</v>
      </c>
    </row>
    <row r="18" spans="1:2" x14ac:dyDescent="0.2">
      <c r="A18" t="s">
        <v>1150</v>
      </c>
      <c r="B18" s="138" t="str">
        <f>COVER!T17</f>
        <v>4200 N Knoxville Ave</v>
      </c>
    </row>
    <row r="19" spans="1:2" x14ac:dyDescent="0.2">
      <c r="A19" t="s">
        <v>886</v>
      </c>
      <c r="B19" s="138" t="str">
        <f>COVER!T25</f>
        <v>tcustis@gorenzcpa.com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1915842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1915842</v>
      </c>
      <c r="D92" s="2" t="str">
        <f t="shared" si="0"/>
        <v>Error?</v>
      </c>
    </row>
    <row r="93" spans="1:4" x14ac:dyDescent="0.2">
      <c r="A93" s="5">
        <v>32</v>
      </c>
      <c r="B93" s="138">
        <f>'Assets-Liab 5-6'!C41</f>
        <v>1915842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3227671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3227671</v>
      </c>
      <c r="D123" s="2" t="str">
        <f t="shared" si="0"/>
        <v>Error?</v>
      </c>
    </row>
    <row r="124" spans="1:4" x14ac:dyDescent="0.2">
      <c r="A124" s="5">
        <v>63</v>
      </c>
      <c r="B124" s="138">
        <f>'Assets-Liab 5-6'!D41</f>
        <v>3227671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55752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55752</v>
      </c>
      <c r="D140" s="2" t="str">
        <f t="shared" si="1"/>
        <v>Error?</v>
      </c>
    </row>
    <row r="141" spans="1:4" x14ac:dyDescent="0.2">
      <c r="A141" s="5">
        <v>80</v>
      </c>
      <c r="B141" s="138">
        <f>'Assets-Liab 5-6'!E41</f>
        <v>55752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1333401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1333401</v>
      </c>
      <c r="D170" s="2" t="str">
        <f t="shared" si="1"/>
        <v>Error?</v>
      </c>
    </row>
    <row r="171" spans="1:4" x14ac:dyDescent="0.2">
      <c r="A171" s="5">
        <v>110</v>
      </c>
      <c r="B171" s="138">
        <f>'Assets-Liab 5-6'!F41</f>
        <v>1333401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514118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247101</v>
      </c>
      <c r="D189" s="2" t="str">
        <f t="shared" si="1"/>
        <v>Error?</v>
      </c>
    </row>
    <row r="190" spans="1:4" x14ac:dyDescent="0.2">
      <c r="A190" s="5">
        <v>129</v>
      </c>
      <c r="B190" s="138">
        <f>'Assets-Liab 5-6'!G41</f>
        <v>514118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311897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311897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486404</v>
      </c>
      <c r="D273" s="2" t="str">
        <f t="shared" si="3"/>
        <v>Error?</v>
      </c>
    </row>
    <row r="274" spans="1:4" x14ac:dyDescent="0.2">
      <c r="A274" s="5">
        <v>213</v>
      </c>
      <c r="B274" s="138">
        <f>'Assets-Liab 5-6'!M17</f>
        <v>18502530</v>
      </c>
      <c r="D274" s="2" t="str">
        <f t="shared" si="3"/>
        <v>Error?</v>
      </c>
    </row>
    <row r="275" spans="1:4" x14ac:dyDescent="0.2">
      <c r="A275" s="5">
        <v>214</v>
      </c>
      <c r="B275" s="138">
        <f>'Assets-Liab 5-6'!M18</f>
        <v>4316069</v>
      </c>
      <c r="D275" s="2" t="str">
        <f t="shared" si="3"/>
        <v>Error?</v>
      </c>
    </row>
    <row r="276" spans="1:4" x14ac:dyDescent="0.2">
      <c r="A276" s="5">
        <v>215</v>
      </c>
      <c r="B276" s="138">
        <f>'Assets-Liab 5-6'!M19</f>
        <v>4376800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27681803</v>
      </c>
      <c r="C279" s="2" t="s">
        <v>573</v>
      </c>
      <c r="D279" s="2" t="str">
        <f t="shared" si="3"/>
        <v>Error?</v>
      </c>
    </row>
    <row r="280" spans="1:4" x14ac:dyDescent="0.2">
      <c r="A280" s="5">
        <v>219</v>
      </c>
      <c r="B280" s="138">
        <f>'Assets-Liab 5-6'!M40</f>
        <v>27681803</v>
      </c>
      <c r="D280" s="2" t="str">
        <f t="shared" si="3"/>
        <v>Error?</v>
      </c>
    </row>
    <row r="281" spans="1:4" x14ac:dyDescent="0.2">
      <c r="A281" s="5">
        <v>220</v>
      </c>
      <c r="B281" s="138">
        <f>'Assets-Liab 5-6'!M41</f>
        <v>27681803</v>
      </c>
      <c r="C281" s="2" t="s">
        <v>573</v>
      </c>
      <c r="D281" s="2" t="str">
        <f t="shared" si="3"/>
        <v>Error?</v>
      </c>
    </row>
    <row r="282" spans="1:4" x14ac:dyDescent="0.2">
      <c r="A282" s="5">
        <v>221</v>
      </c>
      <c r="B282" s="138">
        <f>'Assets-Liab 5-6'!N21</f>
        <v>55752</v>
      </c>
      <c r="D282" s="2" t="str">
        <f t="shared" si="3"/>
        <v>Error?</v>
      </c>
    </row>
    <row r="283" spans="1:4" x14ac:dyDescent="0.2">
      <c r="A283" s="5">
        <v>222</v>
      </c>
      <c r="B283" s="138">
        <f>'Assets-Liab 5-6'!N22</f>
        <v>1829400</v>
      </c>
      <c r="D283" s="2" t="str">
        <f t="shared" si="3"/>
        <v>Error?</v>
      </c>
    </row>
    <row r="284" spans="1:4" x14ac:dyDescent="0.2">
      <c r="A284" s="5">
        <v>223</v>
      </c>
      <c r="B284" s="138">
        <f>'Assets-Liab 5-6'!N23</f>
        <v>1885152</v>
      </c>
      <c r="C284" s="2" t="s">
        <v>573</v>
      </c>
      <c r="D284" s="2" t="str">
        <f t="shared" si="3"/>
        <v>Error?</v>
      </c>
    </row>
    <row r="285" spans="1:4" x14ac:dyDescent="0.2">
      <c r="A285" s="5">
        <v>224</v>
      </c>
      <c r="B285" s="138">
        <f>'Assets-Liab 5-6'!N36</f>
        <v>1885152</v>
      </c>
      <c r="D285" s="2" t="str">
        <f t="shared" si="3"/>
        <v>Error?</v>
      </c>
    </row>
    <row r="286" spans="1:4" x14ac:dyDescent="0.2">
      <c r="A286" s="10">
        <v>225</v>
      </c>
      <c r="D286" s="2" t="str">
        <f t="shared" si="3"/>
        <v>OK</v>
      </c>
    </row>
    <row r="287" spans="1:4" x14ac:dyDescent="0.2">
      <c r="A287" s="5">
        <v>226</v>
      </c>
      <c r="B287" s="138">
        <f>'Assets-Liab 5-6'!N37</f>
        <v>1885152</v>
      </c>
      <c r="C287" s="2" t="s">
        <v>573</v>
      </c>
      <c r="D287" s="2" t="str">
        <f t="shared" si="3"/>
        <v>Error?</v>
      </c>
    </row>
    <row r="288" spans="1:4" x14ac:dyDescent="0.2">
      <c r="A288" s="5">
        <v>227</v>
      </c>
      <c r="B288" s="138">
        <f>'Assets-Liab 5-6'!N41</f>
        <v>1885152</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5076831</v>
      </c>
      <c r="D705" s="2" t="str">
        <f t="shared" si="10"/>
        <v>Error?</v>
      </c>
    </row>
    <row r="706" spans="1:4" x14ac:dyDescent="0.2">
      <c r="A706" s="5">
        <v>645</v>
      </c>
      <c r="B706" s="138">
        <f>'Expenditures 15-22'!C16</f>
        <v>460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182645</v>
      </c>
      <c r="D717" s="2" t="str">
        <f t="shared" si="10"/>
        <v>Error?</v>
      </c>
    </row>
    <row r="718" spans="1:4" x14ac:dyDescent="0.2">
      <c r="A718" s="5">
        <v>657</v>
      </c>
      <c r="B718" s="138">
        <f>'Expenditures 15-22'!C14</f>
        <v>509832</v>
      </c>
      <c r="D718" s="2" t="str">
        <f t="shared" si="10"/>
        <v>Error?</v>
      </c>
    </row>
    <row r="719" spans="1:4" x14ac:dyDescent="0.2">
      <c r="A719" s="5">
        <v>658</v>
      </c>
      <c r="B719" s="138">
        <f>'Expenditures 15-22'!C15</f>
        <v>1250</v>
      </c>
      <c r="D719" s="2" t="str">
        <f t="shared" si="10"/>
        <v>Error?</v>
      </c>
    </row>
    <row r="720" spans="1:4" x14ac:dyDescent="0.2">
      <c r="A720" s="5">
        <v>659</v>
      </c>
      <c r="B720" s="138">
        <f>'Expenditures 15-22'!C33</f>
        <v>6980386</v>
      </c>
      <c r="C720" s="2" t="s">
        <v>573</v>
      </c>
      <c r="D720" s="2" t="str">
        <f t="shared" si="10"/>
        <v>Error?</v>
      </c>
    </row>
    <row r="721" spans="1:4" x14ac:dyDescent="0.2">
      <c r="A721" s="5">
        <v>660</v>
      </c>
      <c r="B721" s="138">
        <f>'Expenditures 15-22'!C36</f>
        <v>68751</v>
      </c>
      <c r="D721" s="2" t="str">
        <f t="shared" si="10"/>
        <v>Error?</v>
      </c>
    </row>
    <row r="722" spans="1:4" x14ac:dyDescent="0.2">
      <c r="A722" s="5">
        <v>661</v>
      </c>
      <c r="B722" s="138">
        <f>'Expenditures 15-22'!C37</f>
        <v>145450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42311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256512</v>
      </c>
      <c r="C727" s="2" t="s">
        <v>573</v>
      </c>
      <c r="D727" s="2" t="str">
        <f t="shared" si="10"/>
        <v>Error?</v>
      </c>
    </row>
    <row r="728" spans="1:4" x14ac:dyDescent="0.2">
      <c r="A728" s="5">
        <v>667</v>
      </c>
      <c r="B728" s="138">
        <f>'Expenditures 15-22'!C44</f>
        <v>46528</v>
      </c>
      <c r="D728" s="2" t="str">
        <f t="shared" si="10"/>
        <v>Error?</v>
      </c>
    </row>
    <row r="729" spans="1:4" x14ac:dyDescent="0.2">
      <c r="A729" s="5">
        <v>668</v>
      </c>
      <c r="B729" s="138">
        <f>'Expenditures 15-22'!C45</f>
        <v>243095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289623</v>
      </c>
      <c r="C731" s="2" t="s">
        <v>573</v>
      </c>
      <c r="D731" s="2" t="str">
        <f t="shared" si="10"/>
        <v>Error?</v>
      </c>
    </row>
    <row r="732" spans="1:4" x14ac:dyDescent="0.2">
      <c r="A732" s="5">
        <v>671</v>
      </c>
      <c r="B732" s="138">
        <f>'Expenditures 15-22'!C49</f>
        <v>52454</v>
      </c>
      <c r="D732" s="2" t="str">
        <f t="shared" si="10"/>
        <v>Error?</v>
      </c>
    </row>
    <row r="733" spans="1:4" x14ac:dyDescent="0.2">
      <c r="A733" s="5">
        <v>672</v>
      </c>
      <c r="B733" s="138">
        <f>'Expenditures 15-22'!C50</f>
        <v>128975</v>
      </c>
      <c r="D733" s="2" t="str">
        <f t="shared" si="10"/>
        <v>Error?</v>
      </c>
    </row>
    <row r="734" spans="1:4" x14ac:dyDescent="0.2">
      <c r="A734" s="5">
        <v>673</v>
      </c>
      <c r="B734" s="138">
        <f>'Expenditures 15-22'!C53</f>
        <v>181429</v>
      </c>
      <c r="C734" s="2" t="s">
        <v>573</v>
      </c>
      <c r="D734" s="2" t="str">
        <f t="shared" si="10"/>
        <v>Error?</v>
      </c>
    </row>
    <row r="735" spans="1:4" x14ac:dyDescent="0.2">
      <c r="A735" s="5">
        <v>674</v>
      </c>
      <c r="B735" s="138">
        <f>'Expenditures 15-22'!C55</f>
        <v>726051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726051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65976</v>
      </c>
      <c r="D739" s="2" t="str">
        <f t="shared" si="10"/>
        <v>Error?</v>
      </c>
    </row>
    <row r="740" spans="1:4" x14ac:dyDescent="0.2">
      <c r="A740" s="5">
        <v>679</v>
      </c>
      <c r="B740" s="138">
        <f>'Expenditures 15-22'!C61</f>
        <v>522820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214050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802846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2256461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9236847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787866</v>
      </c>
      <c r="D763" s="2" t="str">
        <f t="shared" si="10"/>
        <v>Error?</v>
      </c>
    </row>
    <row r="764" spans="1:4" x14ac:dyDescent="0.2">
      <c r="A764" s="5">
        <v>703</v>
      </c>
      <c r="B764" s="138">
        <f>'Expenditures 15-22'!D16</f>
        <v>15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24098</v>
      </c>
      <c r="D775" s="2" t="str">
        <f t="shared" si="11"/>
        <v>Error?</v>
      </c>
    </row>
    <row r="776" spans="1:4" x14ac:dyDescent="0.2">
      <c r="A776" s="5">
        <v>715</v>
      </c>
      <c r="B776" s="138">
        <f>'Expenditures 15-22'!D14</f>
        <v>26859</v>
      </c>
      <c r="D776" s="2" t="str">
        <f t="shared" si="11"/>
        <v>Error?</v>
      </c>
    </row>
    <row r="777" spans="1:4" x14ac:dyDescent="0.2">
      <c r="A777" s="5">
        <v>716</v>
      </c>
      <c r="B777" s="138">
        <f>'Expenditures 15-22'!D15</f>
        <v>18</v>
      </c>
      <c r="D777" s="2" t="str">
        <f t="shared" si="11"/>
        <v>Error?</v>
      </c>
    </row>
    <row r="778" spans="1:4" x14ac:dyDescent="0.2">
      <c r="A778" s="5">
        <v>717</v>
      </c>
      <c r="B778" s="138">
        <f>'Expenditures 15-22'!D33</f>
        <v>1067321</v>
      </c>
      <c r="C778" s="2" t="s">
        <v>573</v>
      </c>
      <c r="D778" s="2" t="str">
        <f t="shared" si="11"/>
        <v>Error?</v>
      </c>
    </row>
    <row r="779" spans="1:4" x14ac:dyDescent="0.2">
      <c r="A779" s="5">
        <v>718</v>
      </c>
      <c r="B779" s="138">
        <f>'Expenditures 15-22'!D36</f>
        <v>1886</v>
      </c>
      <c r="D779" s="2" t="str">
        <f t="shared" si="11"/>
        <v>Error?</v>
      </c>
    </row>
    <row r="780" spans="1:4" x14ac:dyDescent="0.2">
      <c r="A780" s="5">
        <v>719</v>
      </c>
      <c r="B780" s="138">
        <f>'Expenditures 15-22'!D37</f>
        <v>26833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8788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37507</v>
      </c>
      <c r="C785" s="2" t="s">
        <v>573</v>
      </c>
      <c r="D785" s="2" t="str">
        <f t="shared" si="11"/>
        <v>Error?</v>
      </c>
    </row>
    <row r="786" spans="1:4" x14ac:dyDescent="0.2">
      <c r="A786" s="5">
        <v>725</v>
      </c>
      <c r="B786" s="138">
        <f>'Expenditures 15-22'!D44</f>
        <v>7880</v>
      </c>
      <c r="D786" s="2" t="str">
        <f t="shared" si="11"/>
        <v>Error?</v>
      </c>
    </row>
    <row r="787" spans="1:4" x14ac:dyDescent="0.2">
      <c r="A787" s="5">
        <v>726</v>
      </c>
      <c r="B787" s="138">
        <f>'Expenditures 15-22'!D45</f>
        <v>44031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51911</v>
      </c>
      <c r="C789" s="2" t="s">
        <v>573</v>
      </c>
      <c r="D789" s="2" t="str">
        <f t="shared" si="11"/>
        <v>Error?</v>
      </c>
    </row>
    <row r="790" spans="1:4" x14ac:dyDescent="0.2">
      <c r="A790" s="5">
        <v>729</v>
      </c>
      <c r="B790" s="138">
        <f>'Expenditures 15-22'!D49</f>
        <v>18460</v>
      </c>
      <c r="D790" s="2" t="str">
        <f t="shared" si="11"/>
        <v>Error?</v>
      </c>
    </row>
    <row r="791" spans="1:4" x14ac:dyDescent="0.2">
      <c r="A791" s="5">
        <v>730</v>
      </c>
      <c r="B791" s="138">
        <f>'Expenditures 15-22'!D50</f>
        <v>25599</v>
      </c>
      <c r="D791" s="2" t="str">
        <f t="shared" si="11"/>
        <v>Error?</v>
      </c>
    </row>
    <row r="792" spans="1:4" x14ac:dyDescent="0.2">
      <c r="A792" s="5">
        <v>731</v>
      </c>
      <c r="B792" s="138">
        <f>'Expenditures 15-22'!D53</f>
        <v>44059</v>
      </c>
      <c r="C792" s="2" t="s">
        <v>573</v>
      </c>
      <c r="D792" s="2" t="str">
        <f t="shared" si="11"/>
        <v>Error?</v>
      </c>
    </row>
    <row r="793" spans="1:4" x14ac:dyDescent="0.2">
      <c r="A793" s="5">
        <v>732</v>
      </c>
      <c r="B793" s="138">
        <f>'Expenditures 15-22'!D55</f>
        <v>155459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155459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6258</v>
      </c>
      <c r="D797" s="2" t="str">
        <f t="shared" si="11"/>
        <v>Error?</v>
      </c>
    </row>
    <row r="798" spans="1:4" x14ac:dyDescent="0.2">
      <c r="A798" s="5">
        <v>737</v>
      </c>
      <c r="B798" s="138">
        <f>'Expenditures 15-22'!D61</f>
        <v>86579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67357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160194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449130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1516451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27470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56356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86034</v>
      </c>
      <c r="C836" s="2" t="s">
        <v>573</v>
      </c>
      <c r="D836" s="2" t="str">
        <f t="shared" si="12"/>
        <v>Error?</v>
      </c>
    </row>
    <row r="837" spans="1:4" x14ac:dyDescent="0.2">
      <c r="A837" s="5">
        <v>776</v>
      </c>
      <c r="B837" s="138">
        <f>'Expenditures 15-22'!E36</f>
        <v>709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145</v>
      </c>
      <c r="D841" s="2" t="str">
        <f t="shared" si="12"/>
        <v>Error?</v>
      </c>
    </row>
    <row r="842" spans="1:4" x14ac:dyDescent="0.2">
      <c r="A842" s="5">
        <v>781</v>
      </c>
      <c r="B842" s="138">
        <f>'Expenditures 15-22'!E41</f>
        <v>345</v>
      </c>
      <c r="D842" s="2" t="str">
        <f t="shared" si="12"/>
        <v>Error?</v>
      </c>
    </row>
    <row r="843" spans="1:4" x14ac:dyDescent="0.2">
      <c r="A843" s="5">
        <v>782</v>
      </c>
      <c r="B843" s="138">
        <f>'Expenditures 15-22'!E42</f>
        <v>1199</v>
      </c>
      <c r="C843" s="2" t="s">
        <v>573</v>
      </c>
      <c r="D843" s="2" t="str">
        <f t="shared" si="12"/>
        <v>Error?</v>
      </c>
    </row>
    <row r="844" spans="1:4" x14ac:dyDescent="0.2">
      <c r="A844" s="5">
        <v>783</v>
      </c>
      <c r="B844" s="138">
        <f>'Expenditures 15-22'!E44</f>
        <v>21467</v>
      </c>
      <c r="D844" s="2" t="str">
        <f t="shared" si="12"/>
        <v>Error?</v>
      </c>
    </row>
    <row r="845" spans="1:4" x14ac:dyDescent="0.2">
      <c r="A845" s="5">
        <v>784</v>
      </c>
      <c r="B845" s="138">
        <f>'Expenditures 15-22'!E45</f>
        <v>1678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23145</v>
      </c>
      <c r="C847" s="2" t="s">
        <v>573</v>
      </c>
      <c r="D847" s="2" t="str">
        <f t="shared" si="12"/>
        <v>Error?</v>
      </c>
    </row>
    <row r="848" spans="1:4" x14ac:dyDescent="0.2">
      <c r="A848" s="5">
        <v>787</v>
      </c>
      <c r="B848" s="138">
        <f>'Expenditures 15-22'!E49</f>
        <v>55176</v>
      </c>
      <c r="D848" s="2" t="str">
        <f t="shared" si="12"/>
        <v>Error?</v>
      </c>
    </row>
    <row r="849" spans="1:4" x14ac:dyDescent="0.2">
      <c r="A849" s="5">
        <v>788</v>
      </c>
      <c r="B849" s="138">
        <f>'Expenditures 15-22'!E50</f>
        <v>115</v>
      </c>
      <c r="D849" s="2" t="str">
        <f t="shared" si="12"/>
        <v>Error?</v>
      </c>
    </row>
    <row r="850" spans="1:4" x14ac:dyDescent="0.2">
      <c r="A850" s="5">
        <v>789</v>
      </c>
      <c r="B850" s="138">
        <f>'Expenditures 15-22'!E53</f>
        <v>55291</v>
      </c>
      <c r="C850" s="2" t="s">
        <v>573</v>
      </c>
      <c r="D850" s="2" t="str">
        <f t="shared" si="12"/>
        <v>Error?</v>
      </c>
    </row>
    <row r="851" spans="1:4" x14ac:dyDescent="0.2">
      <c r="A851" s="5">
        <v>790</v>
      </c>
      <c r="B851" s="138">
        <f>'Expenditures 15-22'!E55</f>
        <v>22290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22290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14991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14991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116916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619592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86700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24523</v>
      </c>
      <c r="D891" s="2" t="str">
        <f t="shared" si="12"/>
        <v>Error?</v>
      </c>
    </row>
    <row r="892" spans="1:4" x14ac:dyDescent="0.2">
      <c r="A892" s="5">
        <v>831</v>
      </c>
      <c r="B892" s="138">
        <f>'Expenditures 15-22'!F14</f>
        <v>63965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180905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331</v>
      </c>
      <c r="D896" s="2" t="str">
        <f t="shared" si="13"/>
        <v>Error?</v>
      </c>
    </row>
    <row r="897" spans="1:4" x14ac:dyDescent="0.2">
      <c r="A897" s="5">
        <v>836</v>
      </c>
      <c r="B897" s="138">
        <f>'Expenditures 15-22'!F38</f>
        <v>2547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468</v>
      </c>
      <c r="D899" s="2" t="str">
        <f t="shared" si="13"/>
        <v>Error?</v>
      </c>
    </row>
    <row r="900" spans="1:4" x14ac:dyDescent="0.2">
      <c r="A900" s="5">
        <v>839</v>
      </c>
      <c r="B900" s="138">
        <f>'Expenditures 15-22'!F41</f>
        <v>5997</v>
      </c>
      <c r="D900" s="2" t="str">
        <f t="shared" si="13"/>
        <v>Error?</v>
      </c>
    </row>
    <row r="901" spans="1:4" x14ac:dyDescent="0.2">
      <c r="A901" s="5">
        <v>840</v>
      </c>
      <c r="B901" s="138">
        <f>'Expenditures 15-22'!F42</f>
        <v>9343</v>
      </c>
      <c r="C901" s="2" t="s">
        <v>573</v>
      </c>
      <c r="D901" s="2" t="str">
        <f t="shared" si="13"/>
        <v>Error?</v>
      </c>
    </row>
    <row r="902" spans="1:4" x14ac:dyDescent="0.2">
      <c r="A902" s="5">
        <v>841</v>
      </c>
      <c r="B902" s="138">
        <f>'Expenditures 15-22'!F44</f>
        <v>3</v>
      </c>
      <c r="D902" s="2" t="str">
        <f t="shared" si="13"/>
        <v>Error?</v>
      </c>
    </row>
    <row r="903" spans="1:4" x14ac:dyDescent="0.2">
      <c r="A903" s="5">
        <v>842</v>
      </c>
      <c r="B903" s="138">
        <f>'Expenditures 15-22'!F45</f>
        <v>117708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117711</v>
      </c>
      <c r="C905" s="2" t="s">
        <v>573</v>
      </c>
      <c r="D905" s="2" t="str">
        <f t="shared" si="13"/>
        <v>Error?</v>
      </c>
    </row>
    <row r="906" spans="1:4" x14ac:dyDescent="0.2">
      <c r="A906" s="5">
        <v>845</v>
      </c>
      <c r="B906" s="138">
        <f>'Expenditures 15-22'!F49</f>
        <v>8863</v>
      </c>
      <c r="D906" s="2" t="str">
        <f t="shared" si="13"/>
        <v>Error?</v>
      </c>
    </row>
    <row r="907" spans="1:4" x14ac:dyDescent="0.2">
      <c r="A907" s="5">
        <v>846</v>
      </c>
      <c r="B907" s="138">
        <f>'Expenditures 15-22'!F50</f>
        <v>3465</v>
      </c>
      <c r="D907" s="2" t="str">
        <f t="shared" si="13"/>
        <v>Error?</v>
      </c>
    </row>
    <row r="908" spans="1:4" x14ac:dyDescent="0.2">
      <c r="A908" s="5">
        <v>847</v>
      </c>
      <c r="B908" s="138">
        <f>'Expenditures 15-22'!F53</f>
        <v>12328</v>
      </c>
      <c r="C908" s="2" t="s">
        <v>573</v>
      </c>
      <c r="D908" s="2" t="str">
        <f t="shared" si="13"/>
        <v>Error?</v>
      </c>
    </row>
    <row r="909" spans="1:4" x14ac:dyDescent="0.2">
      <c r="A909" s="5">
        <v>848</v>
      </c>
      <c r="B909" s="138">
        <f>'Expenditures 15-22'!F55</f>
        <v>22009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22009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271501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271501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432892</v>
      </c>
      <c r="C929" s="2" t="s">
        <v>573</v>
      </c>
      <c r="D929" s="2" t="str">
        <f t="shared" si="13"/>
        <v>Error?</v>
      </c>
    </row>
    <row r="930" spans="1:4" x14ac:dyDescent="0.2">
      <c r="A930" s="5">
        <v>869</v>
      </c>
      <c r="B930" s="138">
        <f>'Expenditures 15-22'!F75</f>
        <v>564</v>
      </c>
      <c r="D930" s="2" t="str">
        <f t="shared" si="13"/>
        <v>Error?</v>
      </c>
    </row>
    <row r="931" spans="1:4" x14ac:dyDescent="0.2">
      <c r="A931" s="5">
        <v>870</v>
      </c>
      <c r="B931" s="138">
        <f>'Expenditures 15-22'!F114</f>
        <v>614361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166071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2060</v>
      </c>
      <c r="D949" s="2" t="str">
        <f t="shared" si="13"/>
        <v>Error?</v>
      </c>
    </row>
    <row r="950" spans="1:4" x14ac:dyDescent="0.2">
      <c r="A950" s="5">
        <v>889</v>
      </c>
      <c r="B950" s="138">
        <f>'Expenditures 15-22'!G14</f>
        <v>11699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196050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61874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61874</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1290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1290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63164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259214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280</v>
      </c>
      <c r="D1007" s="2" t="str">
        <f t="shared" si="14"/>
        <v>Error?</v>
      </c>
    </row>
    <row r="1008" spans="1:4" x14ac:dyDescent="0.2">
      <c r="A1008" s="5">
        <v>947</v>
      </c>
      <c r="B1008" s="138">
        <f>'Expenditures 15-22'!H14</f>
        <v>20359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48925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2825</v>
      </c>
      <c r="D1016" s="2" t="str">
        <f t="shared" si="14"/>
        <v>Error?</v>
      </c>
    </row>
    <row r="1017" spans="1:4" x14ac:dyDescent="0.2">
      <c r="A1017" s="5">
        <v>956</v>
      </c>
      <c r="B1017" s="138">
        <f>'Expenditures 15-22'!H42</f>
        <v>2825</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2834</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2834</v>
      </c>
      <c r="C1021" s="2" t="s">
        <v>573</v>
      </c>
      <c r="D1021" s="2" t="str">
        <f t="shared" si="14"/>
        <v>Error?</v>
      </c>
    </row>
    <row r="1022" spans="1:4" x14ac:dyDescent="0.2">
      <c r="A1022" s="5">
        <v>961</v>
      </c>
      <c r="B1022" s="138">
        <f>'Expenditures 15-22'!H49</f>
        <v>4434</v>
      </c>
      <c r="D1022" s="2" t="str">
        <f t="shared" si="14"/>
        <v>Error?</v>
      </c>
    </row>
    <row r="1023" spans="1:4" x14ac:dyDescent="0.2">
      <c r="A1023" s="5">
        <v>962</v>
      </c>
      <c r="B1023" s="138">
        <f>'Expenditures 15-22'!H50</f>
        <v>1855</v>
      </c>
      <c r="D1023" s="2" t="str">
        <f t="shared" ref="D1023:D1086" si="15">IF(ISBLANK(B1023),"OK",IF(A1023-B1023=0,"OK","Error?"))</f>
        <v>Error?</v>
      </c>
    </row>
    <row r="1024" spans="1:4" x14ac:dyDescent="0.2">
      <c r="A1024" s="5">
        <v>963</v>
      </c>
      <c r="B1024" s="138">
        <f>'Expenditures 15-22'!H53</f>
        <v>6289</v>
      </c>
      <c r="C1024" s="2" t="s">
        <v>573</v>
      </c>
      <c r="D1024" s="2" t="str">
        <f t="shared" si="15"/>
        <v>Error?</v>
      </c>
    </row>
    <row r="1025" spans="1:4" x14ac:dyDescent="0.2">
      <c r="A1025" s="5">
        <v>964</v>
      </c>
      <c r="B1025" s="138">
        <f>'Expenditures 15-22'!H55</f>
        <v>2636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2636</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14584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431218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494727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6144938</v>
      </c>
      <c r="C1093" s="2" t="s">
        <v>573</v>
      </c>
      <c r="D1093" s="2" t="str">
        <f t="shared" si="16"/>
        <v>Error?</v>
      </c>
    </row>
    <row r="1094" spans="1:4" x14ac:dyDescent="0.2">
      <c r="A1094" s="5">
        <v>1033</v>
      </c>
      <c r="B1094" s="138">
        <f>'Expenditures 15-22'!K16</f>
        <v>475</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233606</v>
      </c>
      <c r="C1105" s="2" t="s">
        <v>573</v>
      </c>
      <c r="D1105" s="2" t="str">
        <f t="shared" si="16"/>
        <v>Error?</v>
      </c>
    </row>
    <row r="1106" spans="1:4" x14ac:dyDescent="0.2">
      <c r="A1106" s="5">
        <v>1045</v>
      </c>
      <c r="B1106" s="138">
        <f>'Expenditures 15-22'!K14</f>
        <v>689070</v>
      </c>
      <c r="C1106" s="2" t="s">
        <v>573</v>
      </c>
      <c r="D1106" s="2" t="str">
        <f t="shared" si="16"/>
        <v>Error?</v>
      </c>
    </row>
    <row r="1107" spans="1:4" x14ac:dyDescent="0.2">
      <c r="A1107" s="5">
        <v>1046</v>
      </c>
      <c r="B1107" s="138">
        <f>'Expenditures 15-22'!K15</f>
        <v>1268</v>
      </c>
      <c r="C1107" s="2" t="s">
        <v>573</v>
      </c>
      <c r="D1107" s="2" t="str">
        <f t="shared" si="16"/>
        <v>Error?</v>
      </c>
    </row>
    <row r="1108" spans="1:4" x14ac:dyDescent="0.2">
      <c r="A1108" s="5">
        <v>1047</v>
      </c>
      <c r="B1108" s="138">
        <f>'Expenditures 15-22'!K33</f>
        <v>8559621</v>
      </c>
      <c r="C1108" s="2" t="s">
        <v>573</v>
      </c>
      <c r="D1108" s="2" t="str">
        <f t="shared" si="16"/>
        <v>Error?</v>
      </c>
    </row>
    <row r="1109" spans="1:4" x14ac:dyDescent="0.2">
      <c r="A1109" s="5">
        <v>1048</v>
      </c>
      <c r="B1109" s="138">
        <f>'Expenditures 15-22'!K36</f>
        <v>71346</v>
      </c>
      <c r="C1109" s="2" t="s">
        <v>573</v>
      </c>
      <c r="D1109" s="2" t="str">
        <f t="shared" si="16"/>
        <v>Error?</v>
      </c>
    </row>
    <row r="1110" spans="1:4" x14ac:dyDescent="0.2">
      <c r="A1110" s="5">
        <v>1049</v>
      </c>
      <c r="B1110" s="138">
        <f>'Expenditures 15-22'!K37</f>
        <v>172614</v>
      </c>
      <c r="C1110" s="2" t="s">
        <v>573</v>
      </c>
      <c r="D1110" s="2" t="str">
        <f t="shared" si="16"/>
        <v>Error?</v>
      </c>
    </row>
    <row r="1111" spans="1:4" x14ac:dyDescent="0.2">
      <c r="A1111" s="5">
        <v>1050</v>
      </c>
      <c r="B1111" s="138">
        <f>'Expenditures 15-22'!K38</f>
        <v>2547</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51712</v>
      </c>
      <c r="C1113" s="2" t="s">
        <v>573</v>
      </c>
      <c r="D1113" s="2" t="str">
        <f t="shared" si="16"/>
        <v>Error?</v>
      </c>
    </row>
    <row r="1114" spans="1:4" x14ac:dyDescent="0.2">
      <c r="A1114" s="5">
        <v>1053</v>
      </c>
      <c r="B1114" s="138">
        <f>'Expenditures 15-22'!K41</f>
        <v>9167</v>
      </c>
      <c r="C1114" s="2" t="s">
        <v>573</v>
      </c>
      <c r="D1114" s="2" t="str">
        <f t="shared" si="16"/>
        <v>Error?</v>
      </c>
    </row>
    <row r="1115" spans="1:4" x14ac:dyDescent="0.2">
      <c r="A1115" s="5">
        <v>1054</v>
      </c>
      <c r="B1115" s="138">
        <f>'Expenditures 15-22'!K42</f>
        <v>307386</v>
      </c>
      <c r="C1115" s="2" t="s">
        <v>573</v>
      </c>
      <c r="D1115" s="2" t="str">
        <f t="shared" si="16"/>
        <v>Error?</v>
      </c>
    </row>
    <row r="1116" spans="1:4" x14ac:dyDescent="0.2">
      <c r="A1116" s="5">
        <v>1055</v>
      </c>
      <c r="B1116" s="138">
        <f>'Expenditures 15-22'!K44</f>
        <v>75878</v>
      </c>
      <c r="C1116" s="2" t="s">
        <v>573</v>
      </c>
      <c r="D1116" s="2" t="str">
        <f t="shared" si="16"/>
        <v>Error?</v>
      </c>
    </row>
    <row r="1117" spans="1:4" x14ac:dyDescent="0.2">
      <c r="A1117" s="5">
        <v>1056</v>
      </c>
      <c r="B1117" s="138">
        <f>'Expenditures 15-22'!K45</f>
        <v>471220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547098</v>
      </c>
      <c r="C1119" s="2" t="s">
        <v>573</v>
      </c>
      <c r="D1119" s="2" t="str">
        <f t="shared" si="16"/>
        <v>Error?</v>
      </c>
    </row>
    <row r="1120" spans="1:4" x14ac:dyDescent="0.2">
      <c r="A1120" s="5">
        <v>1059</v>
      </c>
      <c r="B1120" s="138">
        <f>'Expenditures 15-22'!K49</f>
        <v>139387</v>
      </c>
      <c r="C1120" s="2" t="s">
        <v>573</v>
      </c>
      <c r="D1120" s="2" t="str">
        <f t="shared" si="16"/>
        <v>Error?</v>
      </c>
    </row>
    <row r="1121" spans="1:4" x14ac:dyDescent="0.2">
      <c r="A1121" s="5">
        <v>1060</v>
      </c>
      <c r="B1121" s="138">
        <f>'Expenditures 15-22'!K50</f>
        <v>160009</v>
      </c>
      <c r="C1121" s="2" t="s">
        <v>573</v>
      </c>
      <c r="D1121" s="2" t="str">
        <f t="shared" si="16"/>
        <v>Error?</v>
      </c>
    </row>
    <row r="1122" spans="1:4" x14ac:dyDescent="0.2">
      <c r="A1122" s="5">
        <v>1061</v>
      </c>
      <c r="B1122" s="138">
        <f>'Expenditures 15-22'!K53</f>
        <v>299396</v>
      </c>
      <c r="C1122" s="2" t="s">
        <v>573</v>
      </c>
      <c r="D1122" s="2" t="str">
        <f t="shared" si="16"/>
        <v>Error?</v>
      </c>
    </row>
    <row r="1123" spans="1:4" x14ac:dyDescent="0.2">
      <c r="A1123" s="5">
        <v>1062</v>
      </c>
      <c r="B1123" s="138">
        <f>'Expenditures 15-22'!K55</f>
        <v>928445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928445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72234</v>
      </c>
      <c r="C1127" s="2" t="s">
        <v>573</v>
      </c>
      <c r="D1127" s="2" t="str">
        <f t="shared" si="16"/>
        <v>Error?</v>
      </c>
    </row>
    <row r="1128" spans="1:4" x14ac:dyDescent="0.2">
      <c r="A1128" s="5">
        <v>1067</v>
      </c>
      <c r="B1128" s="138">
        <f>'Expenditures 15-22'!K61</f>
        <v>609399</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569189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1250822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3333147</v>
      </c>
      <c r="C1143" s="2" t="s">
        <v>573</v>
      </c>
      <c r="D1143" s="2" t="str">
        <f t="shared" si="16"/>
        <v>Error?</v>
      </c>
    </row>
    <row r="1144" spans="1:4" x14ac:dyDescent="0.2">
      <c r="A1144" s="5">
        <v>1083</v>
      </c>
      <c r="B1144" s="138">
        <f>'Expenditures 15-22'!K75</f>
        <v>564</v>
      </c>
      <c r="C1144" s="2" t="s">
        <v>573</v>
      </c>
      <c r="D1144" s="2" t="str">
        <f t="shared" si="16"/>
        <v>Error?</v>
      </c>
    </row>
    <row r="1145" spans="1:4" x14ac:dyDescent="0.2">
      <c r="A1145" s="5">
        <v>1084</v>
      </c>
      <c r="B1145" s="138">
        <f>'Expenditures 15-22'!K102</f>
        <v>847860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12741192</v>
      </c>
      <c r="C1152" s="2" t="s">
        <v>573</v>
      </c>
      <c r="D1152" s="2" t="str">
        <f t="shared" si="17"/>
        <v>Error?</v>
      </c>
    </row>
    <row r="1153" spans="1:4" x14ac:dyDescent="0.2">
      <c r="A1153" s="5">
        <v>1092</v>
      </c>
      <c r="B1153" s="138">
        <f>'Expenditures 15-22'!K115</f>
        <v>14527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343804</v>
      </c>
      <c r="D1237" s="2" t="str">
        <f t="shared" si="18"/>
        <v>Error?</v>
      </c>
    </row>
    <row r="1238" spans="1:4" x14ac:dyDescent="0.2">
      <c r="A1238" s="10">
        <v>1177</v>
      </c>
      <c r="D1238" s="2" t="str">
        <f t="shared" si="18"/>
        <v>OK</v>
      </c>
    </row>
    <row r="1239" spans="1:4" x14ac:dyDescent="0.2">
      <c r="A1239" s="5">
        <v>1178</v>
      </c>
      <c r="B1239" s="138">
        <f>'Expenditures 15-22'!E127</f>
        <v>343804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343804</v>
      </c>
      <c r="C1241" s="2" t="s">
        <v>573</v>
      </c>
      <c r="D1241" s="2" t="str">
        <f t="shared" si="18"/>
        <v>Error?</v>
      </c>
    </row>
    <row r="1242" spans="1:4" x14ac:dyDescent="0.2">
      <c r="A1242" s="5">
        <v>1181</v>
      </c>
      <c r="B1242" s="138">
        <f>'Expenditures 15-22'!E151</f>
        <v>356860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371418</v>
      </c>
      <c r="D1245" s="2" t="str">
        <f t="shared" si="18"/>
        <v>Error?</v>
      </c>
    </row>
    <row r="1246" spans="1:4" x14ac:dyDescent="0.2">
      <c r="A1246" s="10">
        <v>1185</v>
      </c>
      <c r="D1246" s="2" t="str">
        <f t="shared" si="18"/>
        <v>OK</v>
      </c>
    </row>
    <row r="1247" spans="1:4" x14ac:dyDescent="0.2">
      <c r="A1247" s="5">
        <v>1186</v>
      </c>
      <c r="B1247" s="138">
        <f>'Expenditures 15-22'!F127</f>
        <v>371418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371418</v>
      </c>
      <c r="C1249" s="2" t="s">
        <v>573</v>
      </c>
      <c r="D1249" s="2" t="str">
        <f t="shared" si="18"/>
        <v>Error?</v>
      </c>
    </row>
    <row r="1250" spans="1:4" x14ac:dyDescent="0.2">
      <c r="A1250" s="5">
        <v>1189</v>
      </c>
      <c r="B1250" s="138">
        <f>'Expenditures 15-22'!F151</f>
        <v>371418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80247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80247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80247</v>
      </c>
      <c r="C1258" s="2" t="s">
        <v>573</v>
      </c>
      <c r="D1258" s="2" t="str">
        <f t="shared" si="18"/>
        <v>Error?</v>
      </c>
    </row>
    <row r="1259" spans="1:4" x14ac:dyDescent="0.2">
      <c r="A1259" s="5">
        <v>1198</v>
      </c>
      <c r="B1259" s="138">
        <f>'Expenditures 15-22'!G151</f>
        <v>80247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795469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795469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795469</v>
      </c>
      <c r="C1281" s="2" t="s">
        <v>573</v>
      </c>
      <c r="D1281" s="2" t="str">
        <f t="shared" si="19"/>
        <v>Error?</v>
      </c>
    </row>
    <row r="1282" spans="1:4" x14ac:dyDescent="0.2">
      <c r="A1282" s="5">
        <v>1221</v>
      </c>
      <c r="B1282" s="138">
        <f>'Expenditures 15-22'!K139</f>
        <v>13056</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808525</v>
      </c>
      <c r="C1288" s="2" t="s">
        <v>573</v>
      </c>
      <c r="D1288" s="2" t="str">
        <f t="shared" si="19"/>
        <v>Error?</v>
      </c>
    </row>
    <row r="1289" spans="1:4" x14ac:dyDescent="0.2">
      <c r="A1289" s="5">
        <v>1228</v>
      </c>
      <c r="B1289" s="138">
        <f>'Expenditures 15-22'!K152</f>
        <v>408003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76882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1105305</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1182187</v>
      </c>
      <c r="C1317" s="2" t="s">
        <v>573</v>
      </c>
      <c r="D1317" s="2" t="str">
        <f t="shared" si="19"/>
        <v>Error?</v>
      </c>
    </row>
    <row r="1318" spans="1:4" x14ac:dyDescent="0.2">
      <c r="A1318" s="5">
        <v>1257</v>
      </c>
      <c r="B1318" s="138">
        <f>'Expenditures 15-22'!H174</f>
        <v>1182187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76882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1105305</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1182187</v>
      </c>
      <c r="C1331" s="2" t="s">
        <v>573</v>
      </c>
      <c r="D1331" s="2" t="str">
        <f t="shared" si="19"/>
        <v>Error?</v>
      </c>
    </row>
    <row r="1332" spans="1:4" x14ac:dyDescent="0.2">
      <c r="A1332" s="5">
        <v>1271</v>
      </c>
      <c r="B1332" s="138">
        <f>'Expenditures 15-22'!K174</f>
        <v>1182187</v>
      </c>
      <c r="C1332" s="2" t="s">
        <v>573</v>
      </c>
      <c r="D1332" s="2" t="str">
        <f t="shared" si="19"/>
        <v>Error?</v>
      </c>
    </row>
    <row r="1333" spans="1:4" x14ac:dyDescent="0.2">
      <c r="A1333" s="5">
        <v>1272</v>
      </c>
      <c r="B1333" s="138">
        <f>'Expenditures 15-22'!K175</f>
        <v>-279253</v>
      </c>
      <c r="C1333" s="2" t="s">
        <v>573</v>
      </c>
      <c r="D1333" s="2" t="str">
        <f t="shared" si="19"/>
        <v>Error?</v>
      </c>
    </row>
    <row r="1334" spans="1:4" x14ac:dyDescent="0.2">
      <c r="A1334" s="10">
        <v>1273</v>
      </c>
      <c r="D1334" s="2" t="str">
        <f t="shared" si="19"/>
        <v>OK</v>
      </c>
    </row>
    <row r="1335" spans="1:4" x14ac:dyDescent="0.2">
      <c r="A1335" s="5">
        <v>1274</v>
      </c>
      <c r="B1335" s="138">
        <f>'Expenditures 15-22'!C182</f>
        <v>327860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327860</v>
      </c>
      <c r="C1339" s="2" t="s">
        <v>573</v>
      </c>
      <c r="D1339" s="2" t="str">
        <f t="shared" si="19"/>
        <v>Error?</v>
      </c>
    </row>
    <row r="1340" spans="1:4" x14ac:dyDescent="0.2">
      <c r="A1340" s="5">
        <v>1279</v>
      </c>
      <c r="B1340" s="138">
        <f>'Expenditures 15-22'!C210</f>
        <v>327860</v>
      </c>
      <c r="C1340" s="2" t="s">
        <v>573</v>
      </c>
      <c r="D1340" s="2" t="str">
        <f t="shared" si="19"/>
        <v>Error?</v>
      </c>
    </row>
    <row r="1341" spans="1:4" x14ac:dyDescent="0.2">
      <c r="A1341" s="5">
        <v>1280</v>
      </c>
      <c r="B1341" s="138">
        <f>'Expenditures 15-22'!D182</f>
        <v>16551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16551</v>
      </c>
      <c r="C1345" s="2" t="s">
        <v>573</v>
      </c>
      <c r="D1345" s="2" t="str">
        <f t="shared" si="20"/>
        <v>Error?</v>
      </c>
    </row>
    <row r="1346" spans="1:4" x14ac:dyDescent="0.2">
      <c r="A1346" s="5">
        <v>1285</v>
      </c>
      <c r="B1346" s="138">
        <f>'Expenditures 15-22'!D210</f>
        <v>16551</v>
      </c>
      <c r="C1346" s="2" t="s">
        <v>573</v>
      </c>
      <c r="D1346" s="2" t="str">
        <f t="shared" si="20"/>
        <v>Error?</v>
      </c>
    </row>
    <row r="1347" spans="1:4" x14ac:dyDescent="0.2">
      <c r="A1347" s="5">
        <v>1286</v>
      </c>
      <c r="B1347" s="138">
        <f>'Expenditures 15-22'!E182</f>
        <v>33864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33864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33864</v>
      </c>
      <c r="C1353" s="2" t="s">
        <v>573</v>
      </c>
      <c r="D1353" s="2" t="str">
        <f t="shared" si="20"/>
        <v>Error?</v>
      </c>
    </row>
    <row r="1354" spans="1:4" x14ac:dyDescent="0.2">
      <c r="A1354" s="5">
        <v>1293</v>
      </c>
      <c r="B1354" s="138">
        <f>'Expenditures 15-22'!F182</f>
        <v>127664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127664</v>
      </c>
      <c r="C1358" s="2" t="s">
        <v>573</v>
      </c>
      <c r="D1358" s="2" t="str">
        <f t="shared" si="20"/>
        <v>Error?</v>
      </c>
    </row>
    <row r="1359" spans="1:4" x14ac:dyDescent="0.2">
      <c r="A1359" s="5">
        <v>1298</v>
      </c>
      <c r="B1359" s="138">
        <f>'Expenditures 15-22'!F210</f>
        <v>127664</v>
      </c>
      <c r="C1359" s="2" t="s">
        <v>573</v>
      </c>
      <c r="D1359" s="2" t="str">
        <f t="shared" si="20"/>
        <v>Error?</v>
      </c>
    </row>
    <row r="1360" spans="1:4" x14ac:dyDescent="0.2">
      <c r="A1360" s="5">
        <v>1299</v>
      </c>
      <c r="B1360" s="138">
        <f>'Expenditures 15-22'!G182</f>
        <v>130500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130500</v>
      </c>
      <c r="C1364" s="2" t="s">
        <v>573</v>
      </c>
      <c r="D1364" s="2" t="str">
        <f t="shared" si="20"/>
        <v>Error?</v>
      </c>
    </row>
    <row r="1365" spans="1:4" x14ac:dyDescent="0.2">
      <c r="A1365" s="5">
        <v>1304</v>
      </c>
      <c r="B1365" s="138">
        <f>'Expenditures 15-22'!G210</f>
        <v>130500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636439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636439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636439</v>
      </c>
      <c r="C1388" s="2" t="s">
        <v>573</v>
      </c>
      <c r="D1388" s="2" t="str">
        <f t="shared" si="20"/>
        <v>Error?</v>
      </c>
    </row>
    <row r="1389" spans="1:4" x14ac:dyDescent="0.2">
      <c r="A1389" s="5">
        <v>1328</v>
      </c>
      <c r="B1389" s="138">
        <f>'Expenditures 15-22'!K211</f>
        <v>129612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45</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2826</v>
      </c>
      <c r="D1407" s="2" t="str">
        <f t="shared" ref="D1407:D1470" si="21">IF(ISBLANK(B1407),"OK",IF(A1407-B1407=0,"OK","Error?"))</f>
        <v>Error?</v>
      </c>
    </row>
    <row r="1408" spans="1:4" x14ac:dyDescent="0.2">
      <c r="A1408" s="5">
        <v>1347</v>
      </c>
      <c r="B1408" s="138">
        <f>'Expenditures 15-22'!D223</f>
        <v>9614</v>
      </c>
      <c r="D1408" s="2" t="str">
        <f t="shared" si="21"/>
        <v>Error?</v>
      </c>
    </row>
    <row r="1409" spans="1:4" x14ac:dyDescent="0.2">
      <c r="A1409" s="5">
        <v>1348</v>
      </c>
      <c r="B1409" s="138">
        <f>'Expenditures 15-22'!D224</f>
        <v>19</v>
      </c>
      <c r="D1409" s="2" t="str">
        <f t="shared" si="21"/>
        <v>Error?</v>
      </c>
    </row>
    <row r="1410" spans="1:4" x14ac:dyDescent="0.2">
      <c r="A1410" s="5">
        <v>1349</v>
      </c>
      <c r="B1410" s="138">
        <f>'Expenditures 15-22'!D229</f>
        <v>171638</v>
      </c>
      <c r="C1410" s="2" t="s">
        <v>573</v>
      </c>
      <c r="D1410" s="2" t="str">
        <f t="shared" si="21"/>
        <v>Error?</v>
      </c>
    </row>
    <row r="1411" spans="1:4" x14ac:dyDescent="0.2">
      <c r="A1411" s="5">
        <v>1350</v>
      </c>
      <c r="B1411" s="138">
        <f>'Expenditures 15-22'!D232</f>
        <v>994</v>
      </c>
      <c r="D1411" s="2" t="str">
        <f t="shared" si="21"/>
        <v>Error?</v>
      </c>
    </row>
    <row r="1412" spans="1:4" x14ac:dyDescent="0.2">
      <c r="A1412" s="5">
        <v>1351</v>
      </c>
      <c r="B1412" s="138">
        <f>'Expenditures 15-22'!D233</f>
        <v>4675</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551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6220</v>
      </c>
      <c r="C1417" s="2" t="s">
        <v>573</v>
      </c>
      <c r="D1417" s="2" t="str">
        <f t="shared" si="21"/>
        <v>Error?</v>
      </c>
    </row>
    <row r="1418" spans="1:4" x14ac:dyDescent="0.2">
      <c r="A1418" s="5">
        <v>1357</v>
      </c>
      <c r="B1418" s="138">
        <f>'Expenditures 15-22'!D240</f>
        <v>370</v>
      </c>
      <c r="D1418" s="2" t="str">
        <f t="shared" si="21"/>
        <v>Error?</v>
      </c>
    </row>
    <row r="1419" spans="1:4" x14ac:dyDescent="0.2">
      <c r="A1419" s="5">
        <v>1358</v>
      </c>
      <c r="B1419" s="138">
        <f>'Expenditures 15-22'!D241</f>
        <v>30730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31100</v>
      </c>
      <c r="C1421" s="2" t="s">
        <v>573</v>
      </c>
      <c r="D1421" s="2" t="str">
        <f t="shared" si="21"/>
        <v>Error?</v>
      </c>
    </row>
    <row r="1422" spans="1:4" x14ac:dyDescent="0.2">
      <c r="A1422" s="5">
        <v>1361</v>
      </c>
      <c r="B1422" s="138">
        <f>'Expenditures 15-22'!D245</f>
        <v>8584</v>
      </c>
      <c r="D1422" s="2" t="str">
        <f t="shared" si="21"/>
        <v>Error?</v>
      </c>
    </row>
    <row r="1423" spans="1:4" x14ac:dyDescent="0.2">
      <c r="A1423" s="5">
        <v>1362</v>
      </c>
      <c r="B1423" s="138">
        <f>'Expenditures 15-22'!D246</f>
        <v>1897</v>
      </c>
      <c r="D1423" s="2" t="str">
        <f t="shared" si="21"/>
        <v>Error?</v>
      </c>
    </row>
    <row r="1424" spans="1:4" x14ac:dyDescent="0.2">
      <c r="A1424" s="5">
        <v>1363</v>
      </c>
      <c r="B1424" s="138">
        <f>'Expenditures 15-22'!D257</f>
        <v>12443</v>
      </c>
      <c r="C1424" s="2" t="s">
        <v>573</v>
      </c>
      <c r="D1424" s="2" t="str">
        <f t="shared" si="21"/>
        <v>Error?</v>
      </c>
    </row>
    <row r="1425" spans="1:4" x14ac:dyDescent="0.2">
      <c r="A1425" s="5">
        <v>1364</v>
      </c>
      <c r="B1425" s="138">
        <f>'Expenditures 15-22'!D259</f>
        <v>45222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45222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11509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88709</v>
      </c>
      <c r="D1431" s="2" t="str">
        <f t="shared" si="21"/>
        <v>Error?</v>
      </c>
    </row>
    <row r="1432" spans="1:4" x14ac:dyDescent="0.2">
      <c r="A1432" s="5">
        <v>1371</v>
      </c>
      <c r="B1432" s="138">
        <f>'Expenditures 15-22'!D267</f>
        <v>46175</v>
      </c>
      <c r="D1432" s="2" t="str">
        <f t="shared" si="21"/>
        <v>Error?</v>
      </c>
    </row>
    <row r="1433" spans="1:4" x14ac:dyDescent="0.2">
      <c r="A1433" s="5">
        <v>1372</v>
      </c>
      <c r="B1433" s="138">
        <f>'Expenditures 15-22'!D268</f>
        <v>35498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181891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276876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449579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45</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2826</v>
      </c>
      <c r="C1471" s="2" t="s">
        <v>573</v>
      </c>
      <c r="D1471" s="2" t="str">
        <f t="shared" ref="D1471:D1534" si="22">IF(ISBLANK(B1471),"OK",IF(A1471-B1471=0,"OK","Error?"))</f>
        <v>Error?</v>
      </c>
    </row>
    <row r="1472" spans="1:4" x14ac:dyDescent="0.2">
      <c r="A1472" s="5">
        <v>1411</v>
      </c>
      <c r="B1472" s="138">
        <f>'Expenditures 15-22'!K223</f>
        <v>9614</v>
      </c>
      <c r="C1472" s="2" t="s">
        <v>573</v>
      </c>
      <c r="D1472" s="2" t="str">
        <f t="shared" si="22"/>
        <v>Error?</v>
      </c>
    </row>
    <row r="1473" spans="1:4" x14ac:dyDescent="0.2">
      <c r="A1473" s="5">
        <v>1412</v>
      </c>
      <c r="B1473" s="138">
        <f>'Expenditures 15-22'!K224</f>
        <v>19</v>
      </c>
      <c r="C1473" s="2" t="s">
        <v>573</v>
      </c>
      <c r="D1473" s="2" t="str">
        <f t="shared" si="22"/>
        <v>Error?</v>
      </c>
    </row>
    <row r="1474" spans="1:4" x14ac:dyDescent="0.2">
      <c r="A1474" s="5">
        <v>1413</v>
      </c>
      <c r="B1474" s="138">
        <f>'Expenditures 15-22'!K229</f>
        <v>171638</v>
      </c>
      <c r="C1474" s="2" t="s">
        <v>573</v>
      </c>
      <c r="D1474" s="2" t="str">
        <f t="shared" si="22"/>
        <v>Error?</v>
      </c>
    </row>
    <row r="1475" spans="1:4" x14ac:dyDescent="0.2">
      <c r="A1475" s="5">
        <v>1414</v>
      </c>
      <c r="B1475" s="138">
        <f>'Expenditures 15-22'!K232</f>
        <v>994</v>
      </c>
      <c r="C1475" s="2" t="s">
        <v>573</v>
      </c>
      <c r="D1475" s="2" t="str">
        <f t="shared" si="22"/>
        <v>Error?</v>
      </c>
    </row>
    <row r="1476" spans="1:4" x14ac:dyDescent="0.2">
      <c r="A1476" s="5">
        <v>1415</v>
      </c>
      <c r="B1476" s="138">
        <f>'Expenditures 15-22'!K233</f>
        <v>4675</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551</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6220</v>
      </c>
      <c r="C1481" s="2" t="s">
        <v>573</v>
      </c>
      <c r="D1481" s="2" t="str">
        <f t="shared" si="22"/>
        <v>Error?</v>
      </c>
    </row>
    <row r="1482" spans="1:4" x14ac:dyDescent="0.2">
      <c r="A1482" s="5">
        <v>1421</v>
      </c>
      <c r="B1482" s="138">
        <f>'Expenditures 15-22'!K240</f>
        <v>370</v>
      </c>
      <c r="C1482" s="2" t="s">
        <v>573</v>
      </c>
      <c r="D1482" s="2" t="str">
        <f t="shared" si="22"/>
        <v>Error?</v>
      </c>
    </row>
    <row r="1483" spans="1:4" x14ac:dyDescent="0.2">
      <c r="A1483" s="5">
        <v>1422</v>
      </c>
      <c r="B1483" s="138">
        <f>'Expenditures 15-22'!K241</f>
        <v>30730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31100</v>
      </c>
      <c r="C1485" s="2" t="s">
        <v>573</v>
      </c>
      <c r="D1485" s="2" t="str">
        <f t="shared" si="22"/>
        <v>Error?</v>
      </c>
    </row>
    <row r="1486" spans="1:4" x14ac:dyDescent="0.2">
      <c r="A1486" s="5">
        <v>1425</v>
      </c>
      <c r="B1486" s="138">
        <f>'Expenditures 15-22'!K245</f>
        <v>8584</v>
      </c>
      <c r="C1486" s="2" t="s">
        <v>573</v>
      </c>
      <c r="D1486" s="2" t="str">
        <f t="shared" si="22"/>
        <v>Error?</v>
      </c>
    </row>
    <row r="1487" spans="1:4" x14ac:dyDescent="0.2">
      <c r="A1487" s="5">
        <v>1426</v>
      </c>
      <c r="B1487" s="138">
        <f>'Expenditures 15-22'!K246</f>
        <v>1897</v>
      </c>
      <c r="C1487" s="2" t="s">
        <v>573</v>
      </c>
      <c r="D1487" s="2" t="str">
        <f t="shared" si="22"/>
        <v>Error?</v>
      </c>
    </row>
    <row r="1488" spans="1:4" x14ac:dyDescent="0.2">
      <c r="A1488" s="5">
        <v>1427</v>
      </c>
      <c r="B1488" s="138">
        <f>'Expenditures 15-22'!K257</f>
        <v>12443</v>
      </c>
      <c r="C1488" s="2" t="s">
        <v>573</v>
      </c>
      <c r="D1488" s="2" t="str">
        <f t="shared" si="22"/>
        <v>Error?</v>
      </c>
    </row>
    <row r="1489" spans="1:4" x14ac:dyDescent="0.2">
      <c r="A1489" s="5">
        <v>1428</v>
      </c>
      <c r="B1489" s="138">
        <f>'Expenditures 15-22'!K259</f>
        <v>45222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45222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11509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88709</v>
      </c>
      <c r="C1495" s="2" t="s">
        <v>573</v>
      </c>
      <c r="D1495" s="2" t="str">
        <f t="shared" si="22"/>
        <v>Error?</v>
      </c>
    </row>
    <row r="1496" spans="1:4" x14ac:dyDescent="0.2">
      <c r="A1496" s="5">
        <v>1435</v>
      </c>
      <c r="B1496" s="138">
        <f>'Expenditures 15-22'!K267</f>
        <v>46175</v>
      </c>
      <c r="C1496" s="2" t="s">
        <v>573</v>
      </c>
      <c r="D1496" s="2" t="str">
        <f t="shared" si="22"/>
        <v>Error?</v>
      </c>
    </row>
    <row r="1497" spans="1:4" x14ac:dyDescent="0.2">
      <c r="A1497" s="5">
        <v>1436</v>
      </c>
      <c r="B1497" s="138">
        <f>'Expenditures 15-22'!K268</f>
        <v>35498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181891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276876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449579</v>
      </c>
      <c r="C1517" s="2" t="s">
        <v>573</v>
      </c>
      <c r="D1517" s="2" t="str">
        <f t="shared" si="22"/>
        <v>Error?</v>
      </c>
    </row>
    <row r="1518" spans="1:4" x14ac:dyDescent="0.2">
      <c r="A1518" s="5">
        <v>1457</v>
      </c>
      <c r="B1518" s="138">
        <f>'Expenditures 15-22'!K296</f>
        <v>107547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9165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9165</v>
      </c>
      <c r="C1535" s="2" t="s">
        <v>573</v>
      </c>
      <c r="D1535" s="2" t="str">
        <f t="shared" ref="D1535:D1598" si="23">IF(ISBLANK(B1535),"OK",IF(A1535-B1535=0,"OK","Error?"))</f>
        <v>Error?</v>
      </c>
    </row>
    <row r="1536" spans="1:4" x14ac:dyDescent="0.2">
      <c r="A1536" s="5">
        <v>1475</v>
      </c>
      <c r="B1536" s="138">
        <f>'Expenditures 15-22'!E312</f>
        <v>9165</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9165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9165</v>
      </c>
      <c r="C1559" s="2" t="s">
        <v>573</v>
      </c>
      <c r="D1559" s="2" t="str">
        <f t="shared" si="23"/>
        <v>Error?</v>
      </c>
    </row>
    <row r="1560" spans="1:4" x14ac:dyDescent="0.2">
      <c r="A1560" s="5">
        <v>1499</v>
      </c>
      <c r="B1560" s="138">
        <f>'Expenditures 15-22'!K312</f>
        <v>9165</v>
      </c>
      <c r="C1560" s="2" t="s">
        <v>573</v>
      </c>
      <c r="D1560" s="2" t="str">
        <f t="shared" si="23"/>
        <v>Error?</v>
      </c>
    </row>
    <row r="1561" spans="1:4" x14ac:dyDescent="0.2">
      <c r="A1561" s="5">
        <v>1500</v>
      </c>
      <c r="B1561" s="138">
        <f>'Expenditures 15-22'!K313</f>
        <v>311897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1470226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1915842</v>
      </c>
      <c r="C1630" s="2" t="s">
        <v>573</v>
      </c>
      <c r="D1630" s="2" t="str">
        <f t="shared" si="24"/>
        <v>Error?</v>
      </c>
    </row>
    <row r="1631" spans="1:4" x14ac:dyDescent="0.2">
      <c r="A1631" s="5">
        <v>1570</v>
      </c>
      <c r="B1631" s="138">
        <f>'Acct Summary 7-8'!D79</f>
        <v>2385840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3227671</v>
      </c>
      <c r="C1644" s="2" t="s">
        <v>573</v>
      </c>
      <c r="D1644" s="2" t="str">
        <f t="shared" si="24"/>
        <v>Error?</v>
      </c>
    </row>
    <row r="1645" spans="1:4" x14ac:dyDescent="0.2">
      <c r="A1645" s="5">
        <v>1584</v>
      </c>
      <c r="B1645" s="138">
        <f>'Acct Summary 7-8'!E79</f>
        <v>45568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55752</v>
      </c>
      <c r="C1658" s="2" t="s">
        <v>573</v>
      </c>
      <c r="D1658" s="2" t="str">
        <f t="shared" si="24"/>
        <v>Error?</v>
      </c>
    </row>
    <row r="1659" spans="1:4" x14ac:dyDescent="0.2">
      <c r="A1659" s="5">
        <v>1598</v>
      </c>
      <c r="B1659" s="138">
        <f>'Acct Summary 7-8'!F79</f>
        <v>1203789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1333401</v>
      </c>
      <c r="C1672" s="2" t="s">
        <v>573</v>
      </c>
      <c r="D1672" s="2" t="str">
        <f t="shared" si="25"/>
        <v>Error?</v>
      </c>
    </row>
    <row r="1673" spans="1:4" x14ac:dyDescent="0.2">
      <c r="A1673" s="5">
        <v>1612</v>
      </c>
      <c r="B1673" s="138">
        <f>'Acct Summary 7-8'!G79</f>
        <v>406571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514118</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311897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6728389</v>
      </c>
      <c r="C1744" s="2" t="s">
        <v>573</v>
      </c>
      <c r="D1744" s="2" t="str">
        <f t="shared" si="26"/>
        <v>Error?</v>
      </c>
    </row>
    <row r="1745" spans="1:5" x14ac:dyDescent="0.2">
      <c r="A1745" s="5">
        <v>1684</v>
      </c>
      <c r="B1745" s="138">
        <f>'Tax Sched 23'!B5</f>
        <v>1139485</v>
      </c>
      <c r="C1745" s="2" t="s">
        <v>573</v>
      </c>
      <c r="D1745" s="2" t="str">
        <f t="shared" si="26"/>
        <v>Error?</v>
      </c>
    </row>
    <row r="1746" spans="1:5" x14ac:dyDescent="0.2">
      <c r="A1746" s="5">
        <v>1685</v>
      </c>
      <c r="B1746" s="138">
        <f>'Tax Sched 23'!B6</f>
        <v>891401</v>
      </c>
      <c r="C1746" s="2" t="s">
        <v>573</v>
      </c>
      <c r="D1746" s="2" t="str">
        <f t="shared" si="26"/>
        <v>Error?</v>
      </c>
    </row>
    <row r="1747" spans="1:5" x14ac:dyDescent="0.2">
      <c r="A1747" s="5">
        <v>1686</v>
      </c>
      <c r="B1747" s="138">
        <f>'Tax Sched 23'!B7</f>
        <v>434090</v>
      </c>
      <c r="C1747" s="2" t="s">
        <v>573</v>
      </c>
      <c r="D1747" s="2" t="str">
        <f t="shared" si="26"/>
        <v>Error?</v>
      </c>
    </row>
    <row r="1748" spans="1:5" x14ac:dyDescent="0.2">
      <c r="A1748" s="5">
        <v>1687</v>
      </c>
      <c r="B1748" s="138">
        <f>'Tax Sched 23'!B8</f>
        <v>234624</v>
      </c>
      <c r="C1748" s="2" t="s">
        <v>573</v>
      </c>
      <c r="D1748" s="2" t="str">
        <f t="shared" si="26"/>
        <v>Error?</v>
      </c>
    </row>
    <row r="1749" spans="1:5" x14ac:dyDescent="0.2">
      <c r="A1749" s="5">
        <v>1688</v>
      </c>
      <c r="B1749" s="138">
        <f>'Tax Sched 23'!B10</f>
        <v>108522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589058</v>
      </c>
      <c r="C1752" s="2" t="s">
        <v>573</v>
      </c>
      <c r="D1752" s="2" t="str">
        <f t="shared" si="26"/>
        <v>Error?</v>
      </c>
    </row>
    <row r="1753" spans="1:5" x14ac:dyDescent="0.2">
      <c r="A1753" s="5">
        <v>1692</v>
      </c>
      <c r="B1753" s="138">
        <f>'Tax Sched 23'!B12</f>
        <v>108522</v>
      </c>
      <c r="C1753" s="2" t="s">
        <v>573</v>
      </c>
      <c r="D1753" s="2" t="str">
        <f t="shared" si="26"/>
        <v>Error?</v>
      </c>
    </row>
    <row r="1754" spans="1:5" x14ac:dyDescent="0.2">
      <c r="A1754" s="5">
        <v>1693</v>
      </c>
      <c r="B1754" s="138">
        <f>'Tax Sched 23'!B14</f>
        <v>86818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10708984</v>
      </c>
      <c r="C1759" s="2" t="s">
        <v>573</v>
      </c>
      <c r="D1759" s="2" t="str">
        <f t="shared" si="26"/>
        <v>Error?</v>
      </c>
    </row>
    <row r="1760" spans="1:5" x14ac:dyDescent="0.2">
      <c r="A1760" s="5">
        <v>1699</v>
      </c>
      <c r="B1760" s="138">
        <f>'Tax Sched 23'!D4</f>
        <v>6727475</v>
      </c>
      <c r="C1760" s="2" t="s">
        <v>573</v>
      </c>
      <c r="D1760" s="2" t="str">
        <f t="shared" si="26"/>
        <v>Error?</v>
      </c>
    </row>
    <row r="1761" spans="1:5" x14ac:dyDescent="0.2">
      <c r="A1761" s="5">
        <v>1700</v>
      </c>
      <c r="B1761" s="138">
        <f>'Tax Sched 23'!D5</f>
        <v>1139330</v>
      </c>
      <c r="C1761" s="2" t="s">
        <v>573</v>
      </c>
      <c r="D1761" s="2" t="str">
        <f t="shared" si="26"/>
        <v>Error?</v>
      </c>
    </row>
    <row r="1762" spans="1:5" s="8" customFormat="1" x14ac:dyDescent="0.2">
      <c r="A1762" s="5">
        <v>1701</v>
      </c>
      <c r="B1762" s="138">
        <f>'Tax Sched 23'!D6</f>
        <v>891283</v>
      </c>
      <c r="C1762" s="2" t="s">
        <v>573</v>
      </c>
      <c r="D1762" s="2" t="str">
        <f t="shared" si="26"/>
        <v>Error?</v>
      </c>
      <c r="E1762" s="9"/>
    </row>
    <row r="1763" spans="1:5" x14ac:dyDescent="0.2">
      <c r="A1763" s="5">
        <v>1702</v>
      </c>
      <c r="B1763" s="138">
        <f>'Tax Sched 23'!D7</f>
        <v>434031</v>
      </c>
      <c r="C1763" s="2" t="s">
        <v>573</v>
      </c>
      <c r="D1763" s="2" t="str">
        <f t="shared" si="26"/>
        <v>Error?</v>
      </c>
    </row>
    <row r="1764" spans="1:5" x14ac:dyDescent="0.2">
      <c r="A1764" s="5">
        <v>1703</v>
      </c>
      <c r="B1764" s="138">
        <f>'Tax Sched 23'!D8</f>
        <v>234593</v>
      </c>
      <c r="C1764" s="2" t="s">
        <v>573</v>
      </c>
      <c r="D1764" s="2" t="str">
        <f t="shared" si="26"/>
        <v>Error?</v>
      </c>
    </row>
    <row r="1765" spans="1:5" x14ac:dyDescent="0.2">
      <c r="A1765" s="5">
        <v>1704</v>
      </c>
      <c r="B1765" s="138">
        <f>'Tax Sched 23'!D10</f>
        <v>108507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588980</v>
      </c>
      <c r="C1768" s="2" t="s">
        <v>573</v>
      </c>
      <c r="D1768" s="2" t="str">
        <f t="shared" si="26"/>
        <v>Error?</v>
      </c>
    </row>
    <row r="1769" spans="1:5" x14ac:dyDescent="0.2">
      <c r="A1769" s="5">
        <v>1708</v>
      </c>
      <c r="B1769" s="138">
        <f>'Tax Sched 23'!D12</f>
        <v>108507</v>
      </c>
      <c r="C1769" s="2" t="s">
        <v>573</v>
      </c>
      <c r="D1769" s="2" t="str">
        <f t="shared" si="26"/>
        <v>Error?</v>
      </c>
    </row>
    <row r="1770" spans="1:5" x14ac:dyDescent="0.2">
      <c r="A1770" s="5">
        <v>1709</v>
      </c>
      <c r="B1770" s="138">
        <f>'Tax Sched 23'!D14</f>
        <v>86806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10707535</v>
      </c>
      <c r="C1775" s="2" t="s">
        <v>573</v>
      </c>
      <c r="D1775" s="2" t="str">
        <f t="shared" si="26"/>
        <v>Error?</v>
      </c>
    </row>
    <row r="1776" spans="1:5" x14ac:dyDescent="0.2">
      <c r="A1776" s="5">
        <v>1715</v>
      </c>
      <c r="B1776" s="138">
        <f>'Tax Sched 23'!C4</f>
        <v>914</v>
      </c>
      <c r="D1776" s="2" t="str">
        <f t="shared" si="26"/>
        <v>Error?</v>
      </c>
    </row>
    <row r="1777" spans="1:4" x14ac:dyDescent="0.2">
      <c r="A1777" s="5">
        <v>1716</v>
      </c>
      <c r="B1777" s="138">
        <f>'Tax Sched 23'!C5</f>
        <v>155</v>
      </c>
      <c r="D1777" s="2" t="str">
        <f t="shared" si="26"/>
        <v>Error?</v>
      </c>
    </row>
    <row r="1778" spans="1:4" x14ac:dyDescent="0.2">
      <c r="A1778" s="5">
        <v>1717</v>
      </c>
      <c r="B1778" s="138">
        <f>'Tax Sched 23'!C6</f>
        <v>118</v>
      </c>
      <c r="D1778" s="2" t="str">
        <f t="shared" si="26"/>
        <v>Error?</v>
      </c>
    </row>
    <row r="1779" spans="1:4" x14ac:dyDescent="0.2">
      <c r="A1779" s="5">
        <v>1718</v>
      </c>
      <c r="B1779" s="138">
        <f>'Tax Sched 23'!C7</f>
        <v>59</v>
      </c>
      <c r="D1779" s="2" t="str">
        <f t="shared" si="26"/>
        <v>Error?</v>
      </c>
    </row>
    <row r="1780" spans="1:4" x14ac:dyDescent="0.2">
      <c r="A1780" s="5">
        <v>1719</v>
      </c>
      <c r="B1780" s="138">
        <f>'Tax Sched 23'!C8</f>
        <v>31</v>
      </c>
      <c r="D1780" s="2" t="str">
        <f t="shared" si="26"/>
        <v>Error?</v>
      </c>
    </row>
    <row r="1781" spans="1:4" x14ac:dyDescent="0.2">
      <c r="A1781" s="5">
        <v>1720</v>
      </c>
      <c r="B1781" s="138">
        <f>'Tax Sched 23'!C10</f>
        <v>15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78</v>
      </c>
      <c r="D1784" s="2" t="str">
        <f t="shared" si="26"/>
        <v>Error?</v>
      </c>
    </row>
    <row r="1785" spans="1:4" x14ac:dyDescent="0.2">
      <c r="A1785" s="5">
        <v>1724</v>
      </c>
      <c r="B1785" s="138">
        <f>'Tax Sched 23'!C12</f>
        <v>15</v>
      </c>
      <c r="D1785" s="2" t="str">
        <f t="shared" si="26"/>
        <v>Error?</v>
      </c>
    </row>
    <row r="1786" spans="1:4" x14ac:dyDescent="0.2">
      <c r="A1786" s="5">
        <v>1725</v>
      </c>
      <c r="B1786" s="138">
        <f>'Tax Sched 23'!C14</f>
        <v>12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1449</v>
      </c>
      <c r="C1791" s="2" t="s">
        <v>573</v>
      </c>
      <c r="D1791" s="2" t="str">
        <f t="shared" ref="D1791:D1854" si="27">IF(ISBLANK(B1791),"OK",IF(A1791-B1791=0,"OK","Error?"))</f>
        <v>Error?</v>
      </c>
    </row>
    <row r="1792" spans="1:4" x14ac:dyDescent="0.2">
      <c r="A1792" s="5">
        <v>1731</v>
      </c>
      <c r="B1792" s="138">
        <f>'Tax Sched 23'!F4</f>
        <v>6922461</v>
      </c>
      <c r="C1792" s="2" t="s">
        <v>573</v>
      </c>
      <c r="D1792" s="2" t="str">
        <f t="shared" si="27"/>
        <v>Error?</v>
      </c>
    </row>
    <row r="1793" spans="1:4" x14ac:dyDescent="0.2">
      <c r="A1793" s="5">
        <v>1732</v>
      </c>
      <c r="B1793" s="138">
        <f>'Tax Sched 23'!F5</f>
        <v>1172352</v>
      </c>
      <c r="C1793" s="2" t="s">
        <v>573</v>
      </c>
      <c r="D1793" s="2" t="str">
        <f t="shared" si="27"/>
        <v>Error?</v>
      </c>
    </row>
    <row r="1794" spans="1:4" x14ac:dyDescent="0.2">
      <c r="A1794" s="5">
        <v>1733</v>
      </c>
      <c r="B1794" s="138">
        <f>'Tax Sched 23'!F6</f>
        <v>892774</v>
      </c>
      <c r="C1794" s="2" t="s">
        <v>573</v>
      </c>
      <c r="D1794" s="2" t="str">
        <f t="shared" si="27"/>
        <v>Error?</v>
      </c>
    </row>
    <row r="1795" spans="1:4" x14ac:dyDescent="0.2">
      <c r="A1795" s="5">
        <v>1734</v>
      </c>
      <c r="B1795" s="138">
        <f>'Tax Sched 23'!F7</f>
        <v>446610</v>
      </c>
      <c r="C1795" s="2" t="s">
        <v>573</v>
      </c>
      <c r="D1795" s="2" t="str">
        <f t="shared" si="27"/>
        <v>Error?</v>
      </c>
    </row>
    <row r="1796" spans="1:4" x14ac:dyDescent="0.2">
      <c r="A1796" s="5">
        <v>1735</v>
      </c>
      <c r="B1796" s="138">
        <f>'Tax Sched 23'!F8</f>
        <v>235140</v>
      </c>
      <c r="C1796" s="2" t="s">
        <v>573</v>
      </c>
      <c r="D1796" s="2" t="str">
        <f t="shared" si="27"/>
        <v>Error?</v>
      </c>
    </row>
    <row r="1797" spans="1:4" x14ac:dyDescent="0.2">
      <c r="A1797" s="5">
        <v>1736</v>
      </c>
      <c r="B1797" s="138">
        <f>'Tax Sched 23'!F10</f>
        <v>111652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589972</v>
      </c>
      <c r="C1800" s="2" t="s">
        <v>573</v>
      </c>
      <c r="D1800" s="2" t="str">
        <f t="shared" si="27"/>
        <v>Error?</v>
      </c>
    </row>
    <row r="1801" spans="1:4" x14ac:dyDescent="0.2">
      <c r="A1801" s="5">
        <v>1740</v>
      </c>
      <c r="B1801" s="138">
        <f>'Tax Sched 23'!F12</f>
        <v>111652</v>
      </c>
      <c r="C1801" s="2" t="s">
        <v>573</v>
      </c>
      <c r="D1801" s="2" t="str">
        <f t="shared" si="27"/>
        <v>Error?</v>
      </c>
    </row>
    <row r="1802" spans="1:4" x14ac:dyDescent="0.2">
      <c r="A1802" s="5">
        <v>1741</v>
      </c>
      <c r="B1802" s="138">
        <f>'Tax Sched 23'!F14</f>
        <v>89322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10963612</v>
      </c>
      <c r="C1807" s="2" t="s">
        <v>573</v>
      </c>
      <c r="D1807" s="2" t="str">
        <f t="shared" si="27"/>
        <v>Error?</v>
      </c>
    </row>
    <row r="1808" spans="1:4" x14ac:dyDescent="0.2">
      <c r="A1808" s="5">
        <v>1747</v>
      </c>
      <c r="B1808" s="138">
        <f>'Tax Sched 23'!E4</f>
        <v>6923375</v>
      </c>
      <c r="D1808" s="2" t="str">
        <f t="shared" si="27"/>
        <v>Error?</v>
      </c>
    </row>
    <row r="1809" spans="1:4" x14ac:dyDescent="0.2">
      <c r="A1809" s="5">
        <v>1748</v>
      </c>
      <c r="B1809" s="138">
        <f>'Tax Sched 23'!E5</f>
        <v>1172507</v>
      </c>
      <c r="D1809" s="2" t="str">
        <f t="shared" si="27"/>
        <v>Error?</v>
      </c>
    </row>
    <row r="1810" spans="1:4" x14ac:dyDescent="0.2">
      <c r="A1810" s="5">
        <v>1749</v>
      </c>
      <c r="B1810" s="138">
        <f>'Tax Sched 23'!E6</f>
        <v>892892</v>
      </c>
      <c r="D1810" s="2" t="str">
        <f t="shared" si="27"/>
        <v>Error?</v>
      </c>
    </row>
    <row r="1811" spans="1:4" x14ac:dyDescent="0.2">
      <c r="A1811" s="5">
        <v>1750</v>
      </c>
      <c r="B1811" s="138">
        <f>'Tax Sched 23'!E7</f>
        <v>446669</v>
      </c>
      <c r="D1811" s="2" t="str">
        <f t="shared" si="27"/>
        <v>Error?</v>
      </c>
    </row>
    <row r="1812" spans="1:4" x14ac:dyDescent="0.2">
      <c r="A1812" s="5">
        <v>1751</v>
      </c>
      <c r="B1812" s="138">
        <f>'Tax Sched 23'!E8</f>
        <v>235171</v>
      </c>
      <c r="D1812" s="2" t="str">
        <f t="shared" si="27"/>
        <v>Error?</v>
      </c>
    </row>
    <row r="1813" spans="1:4" x14ac:dyDescent="0.2">
      <c r="A1813" s="5">
        <v>1752</v>
      </c>
      <c r="B1813" s="138">
        <f>'Tax Sched 23'!E10</f>
        <v>111667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590050</v>
      </c>
      <c r="D1816" s="2" t="str">
        <f t="shared" si="27"/>
        <v>Error?</v>
      </c>
    </row>
    <row r="1817" spans="1:4" x14ac:dyDescent="0.2">
      <c r="A1817" s="5">
        <v>1756</v>
      </c>
      <c r="B1817" s="138">
        <f>'Tax Sched 23'!E12</f>
        <v>111667</v>
      </c>
      <c r="D1817" s="2" t="str">
        <f t="shared" si="27"/>
        <v>Error?</v>
      </c>
    </row>
    <row r="1818" spans="1:4" x14ac:dyDescent="0.2">
      <c r="A1818" s="5">
        <v>1757</v>
      </c>
      <c r="B1818" s="138">
        <f>'Tax Sched 23'!E14</f>
        <v>89334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10965061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2840487</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86818</v>
      </c>
      <c r="D1972" s="2" t="str">
        <f t="shared" si="29"/>
        <v>Error?</v>
      </c>
    </row>
    <row r="1973" spans="1:5" x14ac:dyDescent="0.2">
      <c r="A1973" s="5">
        <v>1912</v>
      </c>
      <c r="B1973" s="138">
        <f>'Rest Tax Levies-Tort Im 25'!H6</f>
        <v>74</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86892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86892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486404</v>
      </c>
      <c r="D2008" s="2" t="str">
        <f t="shared" si="30"/>
        <v>Error?</v>
      </c>
    </row>
    <row r="2009" spans="1:4" x14ac:dyDescent="0.2">
      <c r="A2009" s="5">
        <v>1948</v>
      </c>
      <c r="B2009" s="138">
        <f>'Cap Outlay Deprec 26'!C8</f>
        <v>18356712</v>
      </c>
      <c r="D2009" s="2" t="str">
        <f t="shared" si="30"/>
        <v>Error?</v>
      </c>
    </row>
    <row r="2010" spans="1:4" x14ac:dyDescent="0.2">
      <c r="A2010" s="5">
        <v>1949</v>
      </c>
      <c r="B2010" s="138">
        <f>'Cap Outlay Deprec 26'!C10</f>
        <v>4316069</v>
      </c>
      <c r="D2010" s="2" t="str">
        <f t="shared" si="30"/>
        <v>Error?</v>
      </c>
    </row>
    <row r="2011" spans="1:4" x14ac:dyDescent="0.2">
      <c r="A2011" s="5">
        <v>1950</v>
      </c>
      <c r="B2011" s="138">
        <f>'Cap Outlay Deprec 26'!C12</f>
        <v>2871276</v>
      </c>
      <c r="D2011" s="2" t="str">
        <f t="shared" si="30"/>
        <v>Error?</v>
      </c>
    </row>
    <row r="2012" spans="1:4" x14ac:dyDescent="0.2">
      <c r="A2012" s="5">
        <v>1951</v>
      </c>
      <c r="B2012" s="138">
        <f>'Cap Outlay Deprec 26'!C13</f>
        <v>1648826</v>
      </c>
      <c r="D2012" s="2" t="str">
        <f t="shared" si="30"/>
        <v>Error?</v>
      </c>
    </row>
    <row r="2013" spans="1:4" x14ac:dyDescent="0.2">
      <c r="A2013" s="5">
        <v>1952</v>
      </c>
      <c r="B2013" s="138">
        <f>'Cap Outlay Deprec 26'!C16</f>
        <v>27683339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145818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267263</v>
      </c>
      <c r="D2017" s="2" t="str">
        <f t="shared" si="30"/>
        <v>Error?</v>
      </c>
    </row>
    <row r="2018" spans="1:4" x14ac:dyDescent="0.2">
      <c r="A2018" s="5">
        <v>1957</v>
      </c>
      <c r="B2018" s="138">
        <f>'Cap Outlay Deprec 26'!D13</f>
        <v>148010</v>
      </c>
      <c r="D2018" s="2" t="str">
        <f t="shared" si="30"/>
        <v>Error?</v>
      </c>
    </row>
    <row r="2019" spans="1:4" x14ac:dyDescent="0.2">
      <c r="A2019" s="5">
        <v>1958</v>
      </c>
      <c r="B2019" s="138">
        <f>'Cap Outlay Deprec 26'!D16</f>
        <v>580303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466239</v>
      </c>
      <c r="D2023" s="2" t="str">
        <f t="shared" si="30"/>
        <v>Error?</v>
      </c>
    </row>
    <row r="2024" spans="1:4" x14ac:dyDescent="0.2">
      <c r="A2024" s="5">
        <v>1963</v>
      </c>
      <c r="B2024" s="138">
        <f>'Cap Outlay Deprec 26'!E13</f>
        <v>115600</v>
      </c>
      <c r="D2024" s="2" t="str">
        <f t="shared" si="30"/>
        <v>Error?</v>
      </c>
    </row>
    <row r="2025" spans="1:4" x14ac:dyDescent="0.2">
      <c r="A2025" s="5">
        <v>1964</v>
      </c>
      <c r="B2025" s="138">
        <f>'Cap Outlay Deprec 26'!E16</f>
        <v>581839</v>
      </c>
      <c r="C2025" s="2" t="s">
        <v>573</v>
      </c>
      <c r="D2025" s="2" t="str">
        <f t="shared" si="30"/>
        <v>Error?</v>
      </c>
    </row>
    <row r="2026" spans="1:4" x14ac:dyDescent="0.2">
      <c r="A2026" s="5">
        <v>1965</v>
      </c>
      <c r="B2026" s="138">
        <f>'Cap Outlay Deprec 26'!F5</f>
        <v>486404</v>
      </c>
      <c r="C2026" s="2" t="s">
        <v>573</v>
      </c>
      <c r="D2026" s="2" t="str">
        <f t="shared" si="30"/>
        <v>Error?</v>
      </c>
    </row>
    <row r="2027" spans="1:4" x14ac:dyDescent="0.2">
      <c r="A2027" s="5">
        <v>1966</v>
      </c>
      <c r="B2027" s="138">
        <f>'Cap Outlay Deprec 26'!F8</f>
        <v>18502530</v>
      </c>
      <c r="C2027" s="2" t="s">
        <v>573</v>
      </c>
      <c r="D2027" s="2" t="str">
        <f t="shared" si="30"/>
        <v>Error?</v>
      </c>
    </row>
    <row r="2028" spans="1:4" x14ac:dyDescent="0.2">
      <c r="A2028" s="5">
        <v>1967</v>
      </c>
      <c r="B2028" s="138">
        <f>'Cap Outlay Deprec 26'!F10</f>
        <v>4316069</v>
      </c>
      <c r="C2028" s="2" t="s">
        <v>573</v>
      </c>
      <c r="D2028" s="2" t="str">
        <f t="shared" si="30"/>
        <v>Error?</v>
      </c>
    </row>
    <row r="2029" spans="1:4" x14ac:dyDescent="0.2">
      <c r="A2029" s="5">
        <v>1968</v>
      </c>
      <c r="B2029" s="138">
        <f>'Cap Outlay Deprec 26'!F12</f>
        <v>2672300</v>
      </c>
      <c r="C2029" s="2" t="s">
        <v>573</v>
      </c>
      <c r="D2029" s="2" t="str">
        <f t="shared" si="30"/>
        <v>Error?</v>
      </c>
    </row>
    <row r="2030" spans="1:4" x14ac:dyDescent="0.2">
      <c r="A2030" s="5">
        <v>1969</v>
      </c>
      <c r="B2030" s="138">
        <f>'Cap Outlay Deprec 26'!F13</f>
        <v>1681236</v>
      </c>
      <c r="C2030" s="2" t="s">
        <v>573</v>
      </c>
      <c r="D2030" s="2" t="str">
        <f t="shared" si="30"/>
        <v>Error?</v>
      </c>
    </row>
    <row r="2031" spans="1:4" x14ac:dyDescent="0.2">
      <c r="A2031" s="5">
        <v>1970</v>
      </c>
      <c r="B2031" s="138">
        <f>'Cap Outlay Deprec 26'!F16</f>
        <v>27681803</v>
      </c>
      <c r="C2031" s="2" t="s">
        <v>573</v>
      </c>
      <c r="D2031" s="2" t="str">
        <f t="shared" si="30"/>
        <v>Error?</v>
      </c>
    </row>
    <row r="2032" spans="1:4" x14ac:dyDescent="0.2">
      <c r="A2032" s="10">
        <v>1971</v>
      </c>
      <c r="D2032" s="2" t="str">
        <f t="shared" si="30"/>
        <v>OK</v>
      </c>
    </row>
    <row r="2033" spans="1:4" x14ac:dyDescent="0.2">
      <c r="A2033" s="5">
        <v>1972</v>
      </c>
      <c r="B2033" s="138">
        <f>'Cap Outlay Deprec 26'!H8</f>
        <v>9498311</v>
      </c>
      <c r="D2033" s="2" t="str">
        <f t="shared" si="30"/>
        <v>Error?</v>
      </c>
    </row>
    <row r="2034" spans="1:4" x14ac:dyDescent="0.2">
      <c r="A2034" s="5">
        <v>1973</v>
      </c>
      <c r="B2034" s="138">
        <f>'Cap Outlay Deprec 26'!H10</f>
        <v>2061558</v>
      </c>
      <c r="D2034" s="2" t="str">
        <f t="shared" si="30"/>
        <v>Error?</v>
      </c>
    </row>
    <row r="2035" spans="1:4" x14ac:dyDescent="0.2">
      <c r="A2035" s="5">
        <v>1974</v>
      </c>
      <c r="B2035" s="138">
        <f>'Cap Outlay Deprec 26'!H12</f>
        <v>1836440</v>
      </c>
      <c r="D2035" s="2" t="str">
        <f t="shared" si="30"/>
        <v>Error?</v>
      </c>
    </row>
    <row r="2036" spans="1:4" x14ac:dyDescent="0.2">
      <c r="A2036" s="5">
        <v>1975</v>
      </c>
      <c r="B2036" s="138">
        <f>'Cap Outlay Deprec 26'!H13</f>
        <v>1478051</v>
      </c>
      <c r="D2036" s="2" t="str">
        <f t="shared" si="30"/>
        <v>Error?</v>
      </c>
    </row>
    <row r="2037" spans="1:4" x14ac:dyDescent="0.2">
      <c r="A2037" s="5">
        <v>1976</v>
      </c>
      <c r="B2037" s="138">
        <f>'Cap Outlay Deprec 26'!H16</f>
        <v>14877062</v>
      </c>
      <c r="C2037" s="2" t="s">
        <v>573</v>
      </c>
      <c r="D2037" s="2" t="str">
        <f t="shared" si="30"/>
        <v>Error?</v>
      </c>
    </row>
    <row r="2038" spans="1:4" x14ac:dyDescent="0.2">
      <c r="A2038" s="10">
        <v>1977</v>
      </c>
      <c r="D2038" s="2" t="str">
        <f t="shared" si="30"/>
        <v>OK</v>
      </c>
    </row>
    <row r="2039" spans="1:4" x14ac:dyDescent="0.2">
      <c r="A2039" s="5">
        <v>1978</v>
      </c>
      <c r="B2039" s="138">
        <f>'Cap Outlay Deprec 26'!I8</f>
        <v>370050</v>
      </c>
      <c r="D2039" s="2" t="str">
        <f t="shared" si="30"/>
        <v>Error?</v>
      </c>
    </row>
    <row r="2040" spans="1:4" x14ac:dyDescent="0.2">
      <c r="A2040" s="5">
        <v>1979</v>
      </c>
      <c r="B2040" s="138">
        <f>'Cap Outlay Deprec 26'!I10</f>
        <v>165105</v>
      </c>
      <c r="D2040" s="2" t="str">
        <f t="shared" si="30"/>
        <v>Error?</v>
      </c>
    </row>
    <row r="2041" spans="1:4" x14ac:dyDescent="0.2">
      <c r="A2041" s="5">
        <v>1980</v>
      </c>
      <c r="B2041" s="138">
        <f>'Cap Outlay Deprec 26'!I12</f>
        <v>267227</v>
      </c>
      <c r="D2041" s="2" t="str">
        <f t="shared" si="30"/>
        <v>Error?</v>
      </c>
    </row>
    <row r="2042" spans="1:4" x14ac:dyDescent="0.2">
      <c r="A2042" s="5">
        <v>1981</v>
      </c>
      <c r="B2042" s="138">
        <f>'Cap Outlay Deprec 26'!I13</f>
        <v>108367</v>
      </c>
      <c r="D2042" s="2" t="str">
        <f t="shared" si="30"/>
        <v>Error?</v>
      </c>
    </row>
    <row r="2043" spans="1:4" x14ac:dyDescent="0.2">
      <c r="A2043" s="5">
        <v>1982</v>
      </c>
      <c r="B2043" s="138">
        <f>'Cap Outlay Deprec 26'!I16</f>
        <v>918503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466239</v>
      </c>
      <c r="D2047" s="2" t="str">
        <f t="shared" ref="D2047:D2110" si="31">IF(ISBLANK(B2047),"OK",IF(A2047-B2047=0,"OK","Error?"))</f>
        <v>Error?</v>
      </c>
    </row>
    <row r="2048" spans="1:4" x14ac:dyDescent="0.2">
      <c r="A2048" s="5">
        <v>1987</v>
      </c>
      <c r="B2048" s="138">
        <f>'Cap Outlay Deprec 26'!J13</f>
        <v>115600</v>
      </c>
      <c r="D2048" s="2" t="str">
        <f t="shared" si="31"/>
        <v>Error?</v>
      </c>
    </row>
    <row r="2049" spans="1:4" x14ac:dyDescent="0.2">
      <c r="A2049" s="5">
        <v>1988</v>
      </c>
      <c r="B2049" s="138">
        <f>'Cap Outlay Deprec 26'!J16</f>
        <v>581839</v>
      </c>
      <c r="C2049" s="2" t="s">
        <v>573</v>
      </c>
      <c r="D2049" s="2" t="str">
        <f t="shared" si="31"/>
        <v>Error?</v>
      </c>
    </row>
    <row r="2050" spans="1:4" x14ac:dyDescent="0.2">
      <c r="A2050" s="10">
        <v>1989</v>
      </c>
      <c r="D2050" s="2" t="str">
        <f t="shared" si="31"/>
        <v>OK</v>
      </c>
    </row>
    <row r="2051" spans="1:4" x14ac:dyDescent="0.2">
      <c r="A2051" s="5">
        <v>1990</v>
      </c>
      <c r="B2051" s="138">
        <f>'Cap Outlay Deprec 26'!K8</f>
        <v>9868361</v>
      </c>
      <c r="C2051" s="2" t="s">
        <v>573</v>
      </c>
      <c r="D2051" s="2" t="str">
        <f t="shared" si="31"/>
        <v>Error?</v>
      </c>
    </row>
    <row r="2052" spans="1:4" x14ac:dyDescent="0.2">
      <c r="A2052" s="5">
        <v>1991</v>
      </c>
      <c r="B2052" s="138">
        <f>'Cap Outlay Deprec 26'!K10</f>
        <v>2226663</v>
      </c>
      <c r="C2052" s="2" t="s">
        <v>573</v>
      </c>
      <c r="D2052" s="2" t="str">
        <f t="shared" si="31"/>
        <v>Error?</v>
      </c>
    </row>
    <row r="2053" spans="1:4" x14ac:dyDescent="0.2">
      <c r="A2053" s="5">
        <v>1992</v>
      </c>
      <c r="B2053" s="138">
        <f>'Cap Outlay Deprec 26'!K12</f>
        <v>1637428</v>
      </c>
      <c r="C2053" s="2" t="s">
        <v>573</v>
      </c>
      <c r="D2053" s="2" t="str">
        <f t="shared" si="31"/>
        <v>Error?</v>
      </c>
    </row>
    <row r="2054" spans="1:4" x14ac:dyDescent="0.2">
      <c r="A2054" s="5">
        <v>1993</v>
      </c>
      <c r="B2054" s="138">
        <f>'Cap Outlay Deprec 26'!K13</f>
        <v>1470818</v>
      </c>
      <c r="C2054" s="2" t="s">
        <v>573</v>
      </c>
      <c r="D2054" s="2" t="str">
        <f t="shared" si="31"/>
        <v>Error?</v>
      </c>
    </row>
    <row r="2055" spans="1:4" x14ac:dyDescent="0.2">
      <c r="A2055" s="5">
        <v>1994</v>
      </c>
      <c r="B2055" s="138">
        <f>'Cap Outlay Deprec 26'!K16</f>
        <v>15213726</v>
      </c>
      <c r="C2055" s="2" t="s">
        <v>573</v>
      </c>
      <c r="D2055" s="2" t="str">
        <f t="shared" si="31"/>
        <v>Error?</v>
      </c>
    </row>
    <row r="2056" spans="1:4" x14ac:dyDescent="0.2">
      <c r="A2056" s="5">
        <v>1995</v>
      </c>
      <c r="B2056" s="138">
        <f>'Cap Outlay Deprec 26'!L5</f>
        <v>486404</v>
      </c>
      <c r="C2056" s="2" t="s">
        <v>573</v>
      </c>
      <c r="D2056" s="2" t="str">
        <f t="shared" si="31"/>
        <v>Error?</v>
      </c>
    </row>
    <row r="2057" spans="1:4" x14ac:dyDescent="0.2">
      <c r="A2057" s="5">
        <v>1996</v>
      </c>
      <c r="B2057" s="138">
        <f>'Cap Outlay Deprec 26'!L8</f>
        <v>8634169</v>
      </c>
      <c r="C2057" s="2" t="s">
        <v>573</v>
      </c>
      <c r="D2057" s="2" t="str">
        <f t="shared" si="31"/>
        <v>Error?</v>
      </c>
    </row>
    <row r="2058" spans="1:4" x14ac:dyDescent="0.2">
      <c r="A2058" s="5">
        <v>1997</v>
      </c>
      <c r="B2058" s="138">
        <f>'Cap Outlay Deprec 26'!L10</f>
        <v>2089406</v>
      </c>
      <c r="C2058" s="2" t="s">
        <v>573</v>
      </c>
      <c r="D2058" s="2" t="str">
        <f t="shared" si="31"/>
        <v>Error?</v>
      </c>
    </row>
    <row r="2059" spans="1:4" x14ac:dyDescent="0.2">
      <c r="A2059" s="5">
        <v>1998</v>
      </c>
      <c r="B2059" s="138">
        <f>'Cap Outlay Deprec 26'!L12</f>
        <v>1034872</v>
      </c>
      <c r="C2059" s="2" t="s">
        <v>573</v>
      </c>
      <c r="D2059" s="2" t="str">
        <f t="shared" si="31"/>
        <v>Error?</v>
      </c>
    </row>
    <row r="2060" spans="1:4" x14ac:dyDescent="0.2">
      <c r="A2060" s="5">
        <v>1999</v>
      </c>
      <c r="B2060" s="138">
        <f>'Cap Outlay Deprec 26'!L13</f>
        <v>210418</v>
      </c>
      <c r="C2060" s="2" t="s">
        <v>573</v>
      </c>
      <c r="D2060" s="2" t="str">
        <f t="shared" si="31"/>
        <v>Error?</v>
      </c>
    </row>
    <row r="2061" spans="1:4" x14ac:dyDescent="0.2">
      <c r="A2061" s="5">
        <v>2000</v>
      </c>
      <c r="B2061" s="138">
        <f>'Cap Outlay Deprec 26'!L16</f>
        <v>12468077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416642</v>
      </c>
      <c r="C2088" s="2" t="s">
        <v>573</v>
      </c>
      <c r="D2088" s="2" t="str">
        <f t="shared" si="31"/>
        <v>Error?</v>
      </c>
    </row>
    <row r="2089" spans="1:4" x14ac:dyDescent="0.2">
      <c r="A2089" s="5">
        <v>2028</v>
      </c>
      <c r="B2089" s="138">
        <f>'Expenditures 15-22'!K92</f>
        <v>431218</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13056</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267017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311897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8114657</v>
      </c>
      <c r="C2551" s="2" t="s">
        <v>573</v>
      </c>
      <c r="D2551" s="2" t="str">
        <f t="shared" si="38"/>
        <v>Error?</v>
      </c>
    </row>
    <row r="2552" spans="1:4" x14ac:dyDescent="0.2">
      <c r="A2552" s="10">
        <v>2491</v>
      </c>
      <c r="D2552" s="2" t="str">
        <f t="shared" si="38"/>
        <v>OK</v>
      </c>
    </row>
    <row r="2553" spans="1:4" x14ac:dyDescent="0.2">
      <c r="A2553" s="5">
        <v>2492</v>
      </c>
      <c r="B2553" s="138">
        <f>'Acct Summary 7-8'!C6</f>
        <v>3852504</v>
      </c>
      <c r="C2553" s="2" t="s">
        <v>573</v>
      </c>
      <c r="D2553" s="2" t="str">
        <f t="shared" si="38"/>
        <v>Error?</v>
      </c>
    </row>
    <row r="2554" spans="1:4" x14ac:dyDescent="0.2">
      <c r="A2554" s="5">
        <v>2493</v>
      </c>
      <c r="B2554" s="138">
        <f>'Acct Summary 7-8'!C7</f>
        <v>788558</v>
      </c>
      <c r="C2554" s="2" t="s">
        <v>573</v>
      </c>
      <c r="D2554" s="2" t="str">
        <f t="shared" si="38"/>
        <v>Error?</v>
      </c>
    </row>
    <row r="2555" spans="1:4" x14ac:dyDescent="0.2">
      <c r="A2555" s="5">
        <v>2494</v>
      </c>
      <c r="B2555" s="138">
        <f>'Acct Summary 7-8'!C8</f>
        <v>12755719</v>
      </c>
      <c r="C2555" s="2" t="s">
        <v>573</v>
      </c>
      <c r="D2555" s="2" t="str">
        <f t="shared" si="38"/>
        <v>Error?</v>
      </c>
    </row>
    <row r="2556" spans="1:4" x14ac:dyDescent="0.2">
      <c r="A2556" s="5">
        <v>2495</v>
      </c>
      <c r="B2556" s="138">
        <f>'Acct Summary 7-8'!C12</f>
        <v>8559621</v>
      </c>
      <c r="C2556" s="2" t="s">
        <v>573</v>
      </c>
      <c r="D2556" s="2" t="str">
        <f t="shared" si="38"/>
        <v>Error?</v>
      </c>
    </row>
    <row r="2557" spans="1:4" x14ac:dyDescent="0.2">
      <c r="A2557" s="5">
        <v>2496</v>
      </c>
      <c r="B2557" s="138">
        <f>'Acct Summary 7-8'!C13</f>
        <v>3333147</v>
      </c>
      <c r="C2557" s="2" t="s">
        <v>573</v>
      </c>
      <c r="D2557" s="2" t="str">
        <f t="shared" si="38"/>
        <v>Error?</v>
      </c>
    </row>
    <row r="2558" spans="1:4" x14ac:dyDescent="0.2">
      <c r="A2558" s="5">
        <v>2497</v>
      </c>
      <c r="B2558" s="138">
        <f>'Acct Summary 7-8'!C14</f>
        <v>564</v>
      </c>
      <c r="C2558" s="2" t="s">
        <v>573</v>
      </c>
      <c r="D2558" s="2" t="str">
        <f t="shared" si="38"/>
        <v>Error?</v>
      </c>
    </row>
    <row r="2559" spans="1:4" x14ac:dyDescent="0.2">
      <c r="A2559" s="5">
        <v>2498</v>
      </c>
      <c r="B2559" s="138">
        <f>'Acct Summary 7-8'!C15</f>
        <v>847860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12741192</v>
      </c>
      <c r="C2561" s="2" t="s">
        <v>573</v>
      </c>
      <c r="D2561" s="2" t="str">
        <f t="shared" si="39"/>
        <v>Error?</v>
      </c>
    </row>
    <row r="2562" spans="1:4" x14ac:dyDescent="0.2">
      <c r="A2562" s="5">
        <v>2501</v>
      </c>
      <c r="B2562" s="138">
        <f>'Acct Summary 7-8'!C20</f>
        <v>14527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1215416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1112</v>
      </c>
      <c r="C2567" s="2" t="s">
        <v>573</v>
      </c>
      <c r="D2567" s="2" t="str">
        <f t="shared" si="39"/>
        <v>Error?</v>
      </c>
    </row>
    <row r="2568" spans="1:4" x14ac:dyDescent="0.2">
      <c r="A2568" s="5">
        <v>2507</v>
      </c>
      <c r="B2568" s="138">
        <f>'Acct Summary 7-8'!D8</f>
        <v>1216528</v>
      </c>
      <c r="C2568" s="2" t="s">
        <v>573</v>
      </c>
      <c r="D2568" s="2" t="str">
        <f t="shared" si="39"/>
        <v>Error?</v>
      </c>
    </row>
    <row r="2569" spans="1:4" x14ac:dyDescent="0.2">
      <c r="A2569" s="5">
        <v>2508</v>
      </c>
      <c r="B2569" s="138">
        <f>'Acct Summary 7-8'!D13</f>
        <v>795469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13056</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808525</v>
      </c>
      <c r="C2573" s="2" t="s">
        <v>573</v>
      </c>
      <c r="D2573" s="2" t="str">
        <f t="shared" si="39"/>
        <v>Error?</v>
      </c>
    </row>
    <row r="2574" spans="1:4" x14ac:dyDescent="0.2">
      <c r="A2574" s="5">
        <v>2513</v>
      </c>
      <c r="B2574" s="138">
        <f>'Acct Summary 7-8'!D20</f>
        <v>408003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457138</v>
      </c>
      <c r="C2591" s="2" t="s">
        <v>573</v>
      </c>
      <c r="D2591" s="2" t="str">
        <f t="shared" si="39"/>
        <v>Error?</v>
      </c>
    </row>
    <row r="2592" spans="1:4" x14ac:dyDescent="0.2">
      <c r="A2592" s="10">
        <v>2531</v>
      </c>
      <c r="D2592" s="2" t="str">
        <f t="shared" si="39"/>
        <v>OK</v>
      </c>
    </row>
    <row r="2593" spans="1:4" x14ac:dyDescent="0.2">
      <c r="A2593" s="5">
        <v>2532</v>
      </c>
      <c r="B2593" s="138">
        <f>'Acct Summary 7-8'!F6</f>
        <v>308913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766051</v>
      </c>
      <c r="C2595" s="2" t="s">
        <v>573</v>
      </c>
      <c r="D2595" s="2" t="str">
        <f t="shared" si="39"/>
        <v>Error?</v>
      </c>
    </row>
    <row r="2596" spans="1:4" x14ac:dyDescent="0.2">
      <c r="A2596" s="5">
        <v>2535</v>
      </c>
      <c r="B2596" s="138">
        <f>'Acct Summary 7-8'!F13</f>
        <v>636439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636439</v>
      </c>
      <c r="C2600" s="2" t="s">
        <v>573</v>
      </c>
      <c r="D2600" s="2" t="str">
        <f t="shared" si="39"/>
        <v>Error?</v>
      </c>
    </row>
    <row r="2601" spans="1:4" x14ac:dyDescent="0.2">
      <c r="A2601" s="5">
        <v>2540</v>
      </c>
      <c r="B2601" s="138">
        <f>'Acct Summary 7-8'!F20</f>
        <v>129612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557126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557126</v>
      </c>
      <c r="C2606" s="2" t="s">
        <v>573</v>
      </c>
      <c r="D2606" s="2" t="str">
        <f t="shared" si="39"/>
        <v>Error?</v>
      </c>
    </row>
    <row r="2607" spans="1:4" x14ac:dyDescent="0.2">
      <c r="A2607" s="5">
        <v>2546</v>
      </c>
      <c r="B2607" s="138">
        <f>'Acct Summary 7-8'!G12</f>
        <v>171638</v>
      </c>
      <c r="C2607" s="2" t="s">
        <v>573</v>
      </c>
      <c r="D2607" s="2" t="str">
        <f t="shared" si="39"/>
        <v>Error?</v>
      </c>
    </row>
    <row r="2608" spans="1:4" x14ac:dyDescent="0.2">
      <c r="A2608" s="5">
        <v>2547</v>
      </c>
      <c r="B2608" s="138">
        <f>'Acct Summary 7-8'!G13</f>
        <v>276876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449579</v>
      </c>
      <c r="C2612" s="2" t="s">
        <v>573</v>
      </c>
      <c r="D2612" s="2" t="str">
        <f t="shared" si="39"/>
        <v>Error?</v>
      </c>
    </row>
    <row r="2613" spans="1:4" x14ac:dyDescent="0.2">
      <c r="A2613" s="5">
        <v>2552</v>
      </c>
      <c r="B2613" s="138">
        <f>'Acct Summary 7-8'!G20</f>
        <v>107547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902934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902934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1182187</v>
      </c>
      <c r="C2634" s="2" t="s">
        <v>573</v>
      </c>
      <c r="D2634" s="2" t="str">
        <f t="shared" si="40"/>
        <v>Error?</v>
      </c>
    </row>
    <row r="2635" spans="1:4" x14ac:dyDescent="0.2">
      <c r="A2635" s="5">
        <v>2574</v>
      </c>
      <c r="B2635" s="138">
        <f>'Acct Summary 7-8'!E17</f>
        <v>1182187</v>
      </c>
      <c r="C2635" s="2" t="s">
        <v>573</v>
      </c>
      <c r="D2635" s="2" t="str">
        <f t="shared" si="40"/>
        <v>Error?</v>
      </c>
    </row>
    <row r="2636" spans="1:4" x14ac:dyDescent="0.2">
      <c r="A2636" s="5">
        <v>2575</v>
      </c>
      <c r="B2636" s="138">
        <f>'Acct Summary 7-8'!E20</f>
        <v>-279253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321062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321062</v>
      </c>
      <c r="C2658" s="2" t="s">
        <v>573</v>
      </c>
      <c r="D2658" s="2" t="str">
        <f t="shared" si="40"/>
        <v>Error?</v>
      </c>
    </row>
    <row r="2659" spans="1:4" x14ac:dyDescent="0.2">
      <c r="A2659" s="5">
        <v>2598</v>
      </c>
      <c r="B2659" s="138">
        <f>'Acct Summary 7-8'!H13</f>
        <v>9165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9165</v>
      </c>
      <c r="C2661" s="2" t="s">
        <v>573</v>
      </c>
      <c r="D2661" s="2" t="str">
        <f t="shared" si="40"/>
        <v>Error?</v>
      </c>
    </row>
    <row r="2662" spans="1:4" x14ac:dyDescent="0.2">
      <c r="A2662" s="5">
        <v>2601</v>
      </c>
      <c r="B2662" s="138">
        <f>'Acct Summary 7-8'!H20</f>
        <v>311897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416642</v>
      </c>
      <c r="C2789" s="2" t="s">
        <v>573</v>
      </c>
      <c r="D2789" s="2" t="str">
        <f t="shared" si="42"/>
        <v>Error?</v>
      </c>
    </row>
    <row r="2790" spans="1:4" x14ac:dyDescent="0.2">
      <c r="A2790" s="5">
        <v>2729</v>
      </c>
      <c r="B2790" s="138">
        <f>'Expenditures 15-22'!E102</f>
        <v>416642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662700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2871537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1119716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2871537</v>
      </c>
      <c r="D2912" s="2" t="str">
        <f t="shared" si="44"/>
        <v>Error?</v>
      </c>
    </row>
    <row r="2913" spans="1:4" x14ac:dyDescent="0.2">
      <c r="A2913" s="5">
        <v>2852</v>
      </c>
      <c r="B2913" s="138">
        <f>'Assets-Liab 5-6'!I41</f>
        <v>2871537</v>
      </c>
      <c r="C2913" s="2" t="s">
        <v>573</v>
      </c>
      <c r="D2913" s="2" t="str">
        <f t="shared" si="44"/>
        <v>Error?</v>
      </c>
    </row>
    <row r="2914" spans="1:4" x14ac:dyDescent="0.2">
      <c r="A2914" s="5">
        <v>2853</v>
      </c>
      <c r="B2914" s="138">
        <f>'Assets-Liab 5-6'!L33</f>
        <v>262495</v>
      </c>
      <c r="D2914" s="2" t="str">
        <f t="shared" si="44"/>
        <v>Error?</v>
      </c>
    </row>
    <row r="2915" spans="1:4" x14ac:dyDescent="0.2">
      <c r="A2915" s="10">
        <v>2854</v>
      </c>
      <c r="D2915" s="2" t="str">
        <f t="shared" si="44"/>
        <v>OK</v>
      </c>
    </row>
    <row r="2916" spans="1:4" x14ac:dyDescent="0.2">
      <c r="A2916" s="5">
        <v>2855</v>
      </c>
      <c r="B2916" s="138">
        <f>'Assets-Liab 5-6'!L34</f>
        <v>262495</v>
      </c>
      <c r="C2916" s="2" t="s">
        <v>573</v>
      </c>
      <c r="D2916" s="2" t="str">
        <f t="shared" si="44"/>
        <v>Error?</v>
      </c>
    </row>
    <row r="2917" spans="1:4" x14ac:dyDescent="0.2">
      <c r="A2917" s="5">
        <v>2856</v>
      </c>
      <c r="B2917" s="138">
        <f>'Assets-Liab 5-6'!L41</f>
        <v>1119716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404543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11099</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1000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404543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11099</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1000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13056</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153601</v>
      </c>
      <c r="D3055" s="2" t="str">
        <f t="shared" si="46"/>
        <v>Error?</v>
      </c>
    </row>
    <row r="3056" spans="1:4" x14ac:dyDescent="0.2">
      <c r="A3056" s="5">
        <v>2995</v>
      </c>
      <c r="B3056" s="138">
        <f>'Expenditures 15-22'!D10</f>
        <v>40583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80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194264</v>
      </c>
      <c r="C3062" s="2" t="s">
        <v>573</v>
      </c>
      <c r="D3062" s="2" t="str">
        <f t="shared" si="46"/>
        <v>Error?</v>
      </c>
    </row>
    <row r="3063" spans="1:4" x14ac:dyDescent="0.2">
      <c r="A3063" s="10">
        <v>3002</v>
      </c>
      <c r="D3063" s="2" t="str">
        <f t="shared" si="46"/>
        <v>OK</v>
      </c>
    </row>
    <row r="3064" spans="1:4" x14ac:dyDescent="0.2">
      <c r="A3064" s="5">
        <v>3003</v>
      </c>
      <c r="B3064" s="138">
        <f>'Expenditures 15-22'!D219</f>
        <v>14068</v>
      </c>
      <c r="D3064" s="2" t="str">
        <f t="shared" si="46"/>
        <v>Error?</v>
      </c>
    </row>
    <row r="3065" spans="1:4" x14ac:dyDescent="0.2">
      <c r="A3065" s="5">
        <v>3004</v>
      </c>
      <c r="B3065" s="138">
        <f>'Expenditures 15-22'!K219</f>
        <v>14068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857221</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201707</v>
      </c>
      <c r="C3225" s="2" t="s">
        <v>573</v>
      </c>
      <c r="D3225" s="2" t="str">
        <f t="shared" si="49"/>
        <v>Error?</v>
      </c>
    </row>
    <row r="3226" spans="1:4" x14ac:dyDescent="0.2">
      <c r="A3226" s="5">
        <v>3165</v>
      </c>
      <c r="B3226" s="138">
        <f>'Acct Summary 7-8'!I8</f>
        <v>201707</v>
      </c>
      <c r="C3226" s="2" t="s">
        <v>573</v>
      </c>
      <c r="D3226" s="2" t="str">
        <f t="shared" si="49"/>
        <v>Error?</v>
      </c>
    </row>
    <row r="3227" spans="1:4" x14ac:dyDescent="0.2">
      <c r="A3227" s="5">
        <v>3166</v>
      </c>
      <c r="B3227" s="138">
        <f>'Acct Summary 7-8'!I20</f>
        <v>201707</v>
      </c>
      <c r="C3227" s="2" t="s">
        <v>573</v>
      </c>
      <c r="D3227" s="2" t="str">
        <f t="shared" si="49"/>
        <v>Error?</v>
      </c>
    </row>
    <row r="3228" spans="1:4" x14ac:dyDescent="0.2">
      <c r="A3228" s="5">
        <v>3167</v>
      </c>
      <c r="B3228" s="138">
        <f>'Acct Summary 7-8'!C43</f>
        <v>149970</v>
      </c>
      <c r="D3228" s="2" t="str">
        <f t="shared" si="49"/>
        <v>Error?</v>
      </c>
    </row>
    <row r="3229" spans="1:4" x14ac:dyDescent="0.2">
      <c r="A3229" s="5">
        <v>3168</v>
      </c>
      <c r="B3229" s="138">
        <f>'Acct Summary 7-8'!C44</f>
        <v>549970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118881</v>
      </c>
      <c r="C3231" s="2" t="s">
        <v>573</v>
      </c>
      <c r="D3231" s="2" t="str">
        <f t="shared" si="49"/>
        <v>Error?</v>
      </c>
    </row>
    <row r="3232" spans="1:4" x14ac:dyDescent="0.2">
      <c r="A3232" s="5">
        <v>3171</v>
      </c>
      <c r="B3232" s="138">
        <f>'Acct Summary 7-8'!C77</f>
        <v>431089</v>
      </c>
      <c r="C3232" s="2" t="s">
        <v>573</v>
      </c>
      <c r="D3232" s="2" t="str">
        <f t="shared" si="49"/>
        <v>Error?</v>
      </c>
    </row>
    <row r="3233" spans="1:4" x14ac:dyDescent="0.2">
      <c r="A3233" s="5">
        <v>3172</v>
      </c>
      <c r="B3233" s="138">
        <f>'Acct Summary 7-8'!C78</f>
        <v>445616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604384</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170556</v>
      </c>
      <c r="C3237" s="2" t="s">
        <v>573</v>
      </c>
      <c r="D3237" s="2" t="str">
        <f t="shared" si="49"/>
        <v>Error?</v>
      </c>
    </row>
    <row r="3238" spans="1:4" x14ac:dyDescent="0.2">
      <c r="A3238" s="5">
        <v>3177</v>
      </c>
      <c r="B3238" s="138">
        <f>'Acct Summary 7-8'!D77</f>
        <v>433828</v>
      </c>
      <c r="C3238" s="2" t="s">
        <v>573</v>
      </c>
      <c r="D3238" s="2" t="str">
        <f t="shared" si="49"/>
        <v>Error?</v>
      </c>
    </row>
    <row r="3239" spans="1:4" x14ac:dyDescent="0.2">
      <c r="A3239" s="5">
        <v>3178</v>
      </c>
      <c r="B3239" s="138">
        <f>'Acct Summary 7-8'!D78</f>
        <v>841831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129612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107547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289437</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289437</v>
      </c>
      <c r="C3277" s="2" t="s">
        <v>573</v>
      </c>
      <c r="D3277" s="2" t="str">
        <f t="shared" si="50"/>
        <v>Error?</v>
      </c>
    </row>
    <row r="3278" spans="1:4" x14ac:dyDescent="0.2">
      <c r="A3278" s="5">
        <v>3217</v>
      </c>
      <c r="B3278" s="138">
        <f>'Acct Summary 7-8'!E78</f>
        <v>10184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311897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1000000</v>
      </c>
      <c r="C3318" s="2" t="s">
        <v>573</v>
      </c>
      <c r="D3318" s="2" t="str">
        <f t="shared" si="50"/>
        <v>Error?</v>
      </c>
    </row>
    <row r="3319" spans="1:4" x14ac:dyDescent="0.2">
      <c r="A3319" s="5">
        <v>3258</v>
      </c>
      <c r="B3319" s="138">
        <f>'Acct Summary 7-8'!I77</f>
        <v>-1000000</v>
      </c>
      <c r="C3319" s="2" t="s">
        <v>573</v>
      </c>
      <c r="D3319" s="2" t="str">
        <f t="shared" si="50"/>
        <v>Error?</v>
      </c>
    </row>
    <row r="3320" spans="1:4" x14ac:dyDescent="0.2">
      <c r="A3320" s="5">
        <v>3259</v>
      </c>
      <c r="B3320" s="138">
        <f>'Acct Summary 7-8'!I78</f>
        <v>-798293</v>
      </c>
      <c r="C3320" s="2" t="s">
        <v>573</v>
      </c>
      <c r="D3320" s="2" t="str">
        <f t="shared" si="50"/>
        <v>Error?</v>
      </c>
    </row>
    <row r="3321" spans="1:4" x14ac:dyDescent="0.2">
      <c r="A3321" s="5">
        <v>3260</v>
      </c>
      <c r="B3321" s="138">
        <f>'Acct Summary 7-8'!I79</f>
        <v>3669830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2871537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905048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162190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678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3986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2997</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1074899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79326</v>
      </c>
      <c r="D3387" s="2" t="str">
        <f t="shared" si="51"/>
        <v>Error?</v>
      </c>
    </row>
    <row r="3388" spans="1:4" x14ac:dyDescent="0.2">
      <c r="A3388" s="5">
        <v>3327</v>
      </c>
      <c r="B3388" s="138">
        <f>'Expenditures 15-22'!D217</f>
        <v>60705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79326</v>
      </c>
      <c r="C3390" s="2" t="s">
        <v>573</v>
      </c>
      <c r="D3390" s="2" t="str">
        <f t="shared" si="51"/>
        <v>Error?</v>
      </c>
    </row>
    <row r="3391" spans="1:4" x14ac:dyDescent="0.2">
      <c r="A3391" s="5">
        <v>3330</v>
      </c>
      <c r="B3391" s="138">
        <f>'Expenditures 15-22'!K217</f>
        <v>60705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1915842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3227671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55752</v>
      </c>
      <c r="D3417" s="2" t="str">
        <f t="shared" si="52"/>
        <v>Error?</v>
      </c>
    </row>
    <row r="3418" spans="1:4" x14ac:dyDescent="0.2">
      <c r="A3418" s="10">
        <v>3357</v>
      </c>
      <c r="D3418" s="2" t="str">
        <f t="shared" si="52"/>
        <v>OK</v>
      </c>
    </row>
    <row r="3419" spans="1:4" x14ac:dyDescent="0.2">
      <c r="A3419" s="5">
        <v>3358</v>
      </c>
      <c r="B3419" s="138">
        <f>'Assets-Liab 5-6'!F4</f>
        <v>1333401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514118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311897</v>
      </c>
      <c r="D3425" s="2" t="str">
        <f t="shared" si="52"/>
        <v>Error?</v>
      </c>
    </row>
    <row r="3426" spans="1:4" x14ac:dyDescent="0.2">
      <c r="A3426" s="10">
        <v>3365</v>
      </c>
      <c r="D3426" s="2" t="str">
        <f t="shared" si="52"/>
        <v>OK</v>
      </c>
    </row>
    <row r="3427" spans="1:4" x14ac:dyDescent="0.2">
      <c r="A3427" s="5">
        <v>3366</v>
      </c>
      <c r="B3427" s="138">
        <f>'Assets-Liab 5-6'!I4</f>
        <v>2208837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1119716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279553</v>
      </c>
      <c r="C3446" s="2" t="s">
        <v>573</v>
      </c>
      <c r="D3446" s="2" t="str">
        <f t="shared" si="52"/>
        <v>Error?</v>
      </c>
    </row>
    <row r="3447" spans="1:4" x14ac:dyDescent="0.2">
      <c r="A3447" s="5">
        <v>3386</v>
      </c>
      <c r="B3447" s="138">
        <f>'Tax Sched 23'!D16</f>
        <v>279516</v>
      </c>
      <c r="C3447" s="2" t="s">
        <v>573</v>
      </c>
      <c r="D3447" s="2" t="str">
        <f t="shared" si="52"/>
        <v>Error?</v>
      </c>
    </row>
    <row r="3448" spans="1:4" x14ac:dyDescent="0.2">
      <c r="A3448" s="5">
        <v>3387</v>
      </c>
      <c r="B3448" s="138">
        <f>'Tax Sched 23'!C16</f>
        <v>37</v>
      </c>
      <c r="D3448" s="2" t="str">
        <f t="shared" si="52"/>
        <v>Error?</v>
      </c>
    </row>
    <row r="3449" spans="1:4" x14ac:dyDescent="0.2">
      <c r="A3449" s="5">
        <v>3388</v>
      </c>
      <c r="B3449" s="138">
        <f>'Tax Sched 23'!F16</f>
        <v>280025</v>
      </c>
      <c r="C3449" s="2" t="s">
        <v>573</v>
      </c>
      <c r="D3449" s="2" t="str">
        <f t="shared" si="52"/>
        <v>Error?</v>
      </c>
    </row>
    <row r="3450" spans="1:4" x14ac:dyDescent="0.2">
      <c r="A3450" s="5">
        <v>3389</v>
      </c>
      <c r="B3450" s="138">
        <f>'Tax Sched 23'!E16</f>
        <v>280062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4384</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287718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287718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287718</v>
      </c>
      <c r="D3567" s="2" t="str">
        <f t="shared" si="54"/>
        <v>Error?</v>
      </c>
    </row>
    <row r="3568" spans="1:4" x14ac:dyDescent="0.2">
      <c r="A3568" s="5">
        <v>3507</v>
      </c>
      <c r="B3568" s="138">
        <f>'Assets-Liab 5-6'!K41</f>
        <v>287718</v>
      </c>
      <c r="C3568" s="2" t="s">
        <v>573</v>
      </c>
      <c r="D3568" s="2" t="str">
        <f t="shared" si="54"/>
        <v>Error?</v>
      </c>
    </row>
    <row r="3569" spans="1:4" x14ac:dyDescent="0.2">
      <c r="A3569" s="5">
        <v>3508</v>
      </c>
      <c r="B3569" s="138">
        <f>'Acct Summary 7-8'!K4</f>
        <v>113576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113576</v>
      </c>
      <c r="C3571" s="2" t="s">
        <v>573</v>
      </c>
      <c r="D3571" s="2" t="str">
        <f t="shared" si="54"/>
        <v>Error?</v>
      </c>
    </row>
    <row r="3572" spans="1:4" x14ac:dyDescent="0.2">
      <c r="A3572" s="5">
        <v>3511</v>
      </c>
      <c r="B3572" s="138">
        <f>'Acct Summary 7-8'!K13</f>
        <v>113445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113445</v>
      </c>
      <c r="C3575" s="2" t="s">
        <v>573</v>
      </c>
      <c r="D3575" s="2" t="str">
        <f t="shared" si="54"/>
        <v>Error?</v>
      </c>
    </row>
    <row r="3576" spans="1:4" x14ac:dyDescent="0.2">
      <c r="A3576" s="5">
        <v>3515</v>
      </c>
      <c r="B3576" s="138">
        <f>'Acct Summary 7-8'!K20</f>
        <v>131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131</v>
      </c>
      <c r="C3588" s="2" t="s">
        <v>573</v>
      </c>
      <c r="D3588" s="2" t="str">
        <f t="shared" si="55"/>
        <v>Error?</v>
      </c>
    </row>
    <row r="3589" spans="1:4" x14ac:dyDescent="0.2">
      <c r="A3589" s="5">
        <v>3528</v>
      </c>
      <c r="B3589" s="138">
        <f>'Acct Summary 7-8'!K79</f>
        <v>287587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287718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25185</v>
      </c>
      <c r="D3632" s="2" t="str">
        <f t="shared" si="55"/>
        <v>Error?</v>
      </c>
    </row>
    <row r="3633" spans="1:4" x14ac:dyDescent="0.2">
      <c r="A3633" s="5">
        <v>3572</v>
      </c>
      <c r="B3633" s="138">
        <f>'Expenditures 15-22'!E350</f>
        <v>25185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25185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88260</v>
      </c>
      <c r="D3646" s="2" t="str">
        <f t="shared" si="55"/>
        <v>Error?</v>
      </c>
    </row>
    <row r="3647" spans="1:4" x14ac:dyDescent="0.2">
      <c r="A3647" s="5">
        <v>3586</v>
      </c>
      <c r="B3647" s="138">
        <f>'Expenditures 15-22'!G350</f>
        <v>88260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88260</v>
      </c>
      <c r="C3649" s="2" t="s">
        <v>573</v>
      </c>
      <c r="D3649" s="2" t="str">
        <f t="shared" si="56"/>
        <v>Error?</v>
      </c>
    </row>
    <row r="3650" spans="1:4" x14ac:dyDescent="0.2">
      <c r="A3650" s="5">
        <v>3589</v>
      </c>
      <c r="B3650" s="138">
        <f>'Expenditures 15-22'!G367</f>
        <v>88260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113445</v>
      </c>
      <c r="C3669" s="2" t="s">
        <v>573</v>
      </c>
      <c r="D3669" s="2" t="str">
        <f t="shared" si="56"/>
        <v>Error?</v>
      </c>
    </row>
    <row r="3670" spans="1:4" x14ac:dyDescent="0.2">
      <c r="A3670" s="5">
        <v>3609</v>
      </c>
      <c r="B3670" s="138">
        <f>'Expenditures 15-22'!K350</f>
        <v>113445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113445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113445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1065</v>
      </c>
      <c r="D3721" s="2" t="str">
        <f t="shared" si="57"/>
        <v>Error?</v>
      </c>
    </row>
    <row r="3722" spans="1:4" x14ac:dyDescent="0.2">
      <c r="A3722" s="5">
        <v>3661</v>
      </c>
      <c r="B3722" s="138">
        <f>'Expenditures 15-22'!D285</f>
        <v>1065</v>
      </c>
      <c r="C3722" s="2" t="s">
        <v>573</v>
      </c>
      <c r="D3722" s="2" t="str">
        <f t="shared" si="57"/>
        <v>Error?</v>
      </c>
    </row>
    <row r="3723" spans="1:4" x14ac:dyDescent="0.2">
      <c r="A3723" s="5">
        <v>3662</v>
      </c>
      <c r="B3723" s="138">
        <f>'Expenditures 15-22'!K283</f>
        <v>1065</v>
      </c>
      <c r="C3723" s="2" t="s">
        <v>573</v>
      </c>
      <c r="D3723" s="2" t="str">
        <f t="shared" si="57"/>
        <v>Error?</v>
      </c>
    </row>
    <row r="3724" spans="1:4" x14ac:dyDescent="0.2">
      <c r="A3724" s="5">
        <v>3663</v>
      </c>
      <c r="B3724" s="138">
        <f>'Expenditures 15-22'!K285</f>
        <v>1065</v>
      </c>
      <c r="C3724" s="2" t="s">
        <v>573</v>
      </c>
      <c r="D3724" s="2" t="str">
        <f t="shared" si="57"/>
        <v>Error?</v>
      </c>
    </row>
    <row r="3725" spans="1:4" x14ac:dyDescent="0.2">
      <c r="A3725" s="5">
        <v>3664</v>
      </c>
      <c r="B3725" s="138">
        <f>'Tax Sched 23'!B13</f>
        <v>108522</v>
      </c>
      <c r="C3725" s="2" t="s">
        <v>573</v>
      </c>
      <c r="D3725" s="2" t="str">
        <f t="shared" si="57"/>
        <v>Error?</v>
      </c>
    </row>
    <row r="3726" spans="1:4" x14ac:dyDescent="0.2">
      <c r="A3726" s="5">
        <v>3665</v>
      </c>
      <c r="B3726" s="138">
        <f>'Tax Sched 23'!D13</f>
        <v>108507</v>
      </c>
      <c r="C3726" s="2" t="s">
        <v>573</v>
      </c>
      <c r="D3726" s="2" t="str">
        <f t="shared" si="57"/>
        <v>Error?</v>
      </c>
    </row>
    <row r="3727" spans="1:4" x14ac:dyDescent="0.2">
      <c r="A3727" s="5">
        <v>3666</v>
      </c>
      <c r="B3727" s="138">
        <f>'Tax Sched 23'!C13</f>
        <v>15</v>
      </c>
      <c r="D3727" s="2" t="str">
        <f t="shared" si="57"/>
        <v>Error?</v>
      </c>
    </row>
    <row r="3728" spans="1:4" x14ac:dyDescent="0.2">
      <c r="A3728" s="5">
        <v>3667</v>
      </c>
      <c r="B3728" s="138">
        <f>'Tax Sched 23'!F13</f>
        <v>111652</v>
      </c>
      <c r="C3728" s="2" t="s">
        <v>573</v>
      </c>
      <c r="D3728" s="2" t="str">
        <f t="shared" si="57"/>
        <v>Error?</v>
      </c>
    </row>
    <row r="3729" spans="1:4" x14ac:dyDescent="0.2">
      <c r="A3729" s="5">
        <v>3668</v>
      </c>
      <c r="B3729" s="138">
        <f>'Tax Sched 23'!E13</f>
        <v>111667</v>
      </c>
      <c r="D3729" s="2" t="str">
        <f t="shared" si="57"/>
        <v>Error?</v>
      </c>
    </row>
    <row r="3730" spans="1:4" x14ac:dyDescent="0.2">
      <c r="A3730" s="5">
        <v>3669</v>
      </c>
      <c r="B3730" s="138">
        <f>'ICR Computation 30'!E10</f>
        <v>286463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5323983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18079702</v>
      </c>
      <c r="C4122" s="2" t="s">
        <v>573</v>
      </c>
      <c r="D4122" s="2" t="str">
        <f t="shared" si="63"/>
        <v>Error?</v>
      </c>
    </row>
    <row r="4123" spans="1:4" x14ac:dyDescent="0.2">
      <c r="A4123" s="5">
        <v>4062</v>
      </c>
      <c r="B4123" s="138">
        <f>'Acct Summary 7-8'!D10</f>
        <v>1216528</v>
      </c>
      <c r="C4123" s="2" t="s">
        <v>573</v>
      </c>
      <c r="D4123" s="2" t="str">
        <f t="shared" si="63"/>
        <v>Error?</v>
      </c>
    </row>
    <row r="4124" spans="1:4" x14ac:dyDescent="0.2">
      <c r="A4124" s="5">
        <v>4063</v>
      </c>
      <c r="B4124" s="138">
        <f>'Acct Summary 7-8'!E10</f>
        <v>902934</v>
      </c>
      <c r="C4124" s="2" t="s">
        <v>573</v>
      </c>
      <c r="D4124" s="2" t="str">
        <f t="shared" si="63"/>
        <v>Error?</v>
      </c>
    </row>
    <row r="4125" spans="1:4" x14ac:dyDescent="0.2">
      <c r="A4125" s="5">
        <v>4064</v>
      </c>
      <c r="B4125" s="138">
        <f>'Acct Summary 7-8'!F10</f>
        <v>766051</v>
      </c>
      <c r="C4125" s="2" t="s">
        <v>573</v>
      </c>
      <c r="D4125" s="2" t="str">
        <f t="shared" si="63"/>
        <v>Error?</v>
      </c>
    </row>
    <row r="4126" spans="1:4" x14ac:dyDescent="0.2">
      <c r="A4126" s="5">
        <v>4065</v>
      </c>
      <c r="B4126" s="138">
        <f>'Acct Summary 7-8'!G10</f>
        <v>557126</v>
      </c>
      <c r="C4126" s="2" t="s">
        <v>573</v>
      </c>
      <c r="D4126" s="2" t="str">
        <f t="shared" si="63"/>
        <v>Error?</v>
      </c>
    </row>
    <row r="4127" spans="1:4" x14ac:dyDescent="0.2">
      <c r="A4127" s="5">
        <v>4066</v>
      </c>
      <c r="B4127" s="138">
        <f>'Acct Summary 7-8'!H10</f>
        <v>321062</v>
      </c>
      <c r="C4127" s="2" t="s">
        <v>573</v>
      </c>
      <c r="D4127" s="2" t="str">
        <f t="shared" si="63"/>
        <v>Error?</v>
      </c>
    </row>
    <row r="4128" spans="1:4" x14ac:dyDescent="0.2">
      <c r="A4128" s="5">
        <v>4067</v>
      </c>
      <c r="B4128" s="138">
        <f>'Acct Summary 7-8'!I10</f>
        <v>201707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113576</v>
      </c>
      <c r="C4130" s="2" t="s">
        <v>573</v>
      </c>
      <c r="D4130" s="2" t="str">
        <f t="shared" si="63"/>
        <v>Error?</v>
      </c>
    </row>
    <row r="4131" spans="1:4" x14ac:dyDescent="0.2">
      <c r="A4131" s="5">
        <v>4070</v>
      </c>
      <c r="B4131" s="138">
        <f>'Acct Summary 7-8'!C18</f>
        <v>5323983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18065175</v>
      </c>
      <c r="C4136" s="2" t="s">
        <v>573</v>
      </c>
      <c r="D4136" s="2" t="str">
        <f t="shared" si="63"/>
        <v>Error?</v>
      </c>
    </row>
    <row r="4137" spans="1:4" x14ac:dyDescent="0.2">
      <c r="A4137" s="5">
        <v>4076</v>
      </c>
      <c r="B4137" s="138">
        <f>'Acct Summary 7-8'!D19</f>
        <v>808525</v>
      </c>
      <c r="C4137" s="2" t="s">
        <v>573</v>
      </c>
      <c r="D4137" s="2" t="str">
        <f t="shared" si="63"/>
        <v>Error?</v>
      </c>
    </row>
    <row r="4138" spans="1:4" x14ac:dyDescent="0.2">
      <c r="A4138" s="5">
        <v>4077</v>
      </c>
      <c r="B4138" s="138">
        <f>'Acct Summary 7-8'!E19</f>
        <v>1182187</v>
      </c>
      <c r="C4138" s="2" t="s">
        <v>573</v>
      </c>
      <c r="D4138" s="2" t="str">
        <f t="shared" si="63"/>
        <v>Error?</v>
      </c>
    </row>
    <row r="4139" spans="1:4" x14ac:dyDescent="0.2">
      <c r="A4139" s="5">
        <v>4078</v>
      </c>
      <c r="B4139" s="138">
        <f>'Acct Summary 7-8'!F19</f>
        <v>636439</v>
      </c>
      <c r="C4139" s="2" t="s">
        <v>573</v>
      </c>
      <c r="D4139" s="2" t="str">
        <f t="shared" si="63"/>
        <v>Error?</v>
      </c>
    </row>
    <row r="4140" spans="1:4" x14ac:dyDescent="0.2">
      <c r="A4140" s="5">
        <v>4079</v>
      </c>
      <c r="B4140" s="138">
        <f>'Acct Summary 7-8'!G19</f>
        <v>449579</v>
      </c>
      <c r="C4140" s="2" t="s">
        <v>573</v>
      </c>
      <c r="D4140" s="2" t="str">
        <f t="shared" si="63"/>
        <v>Error?</v>
      </c>
    </row>
    <row r="4141" spans="1:4" x14ac:dyDescent="0.2">
      <c r="A4141" s="5">
        <v>4080</v>
      </c>
      <c r="B4141" s="138">
        <f>'Acct Summary 7-8'!H19</f>
        <v>9165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113445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1885152</v>
      </c>
      <c r="C4171" s="2" t="s">
        <v>573</v>
      </c>
      <c r="D4171" s="2" t="str">
        <f t="shared" si="64"/>
        <v>Error?</v>
      </c>
    </row>
    <row r="4172" spans="1:4" x14ac:dyDescent="0.2">
      <c r="A4172" s="5">
        <v>4111</v>
      </c>
      <c r="B4172" s="138">
        <f>'Short-Term Long-Term Debt 24'!J49</f>
        <v>1829400</v>
      </c>
      <c r="C4172" s="2" t="s">
        <v>573</v>
      </c>
      <c r="D4172" s="2" t="str">
        <f t="shared" si="64"/>
        <v>Error?</v>
      </c>
    </row>
    <row r="4173" spans="1:4" x14ac:dyDescent="0.2">
      <c r="A4173" s="5">
        <v>4112</v>
      </c>
      <c r="B4173" s="138">
        <f>'Short-Term Long-Term Debt 24'!H49</f>
        <v>1105305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149970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13056</v>
      </c>
      <c r="D4201" s="2" t="str">
        <f t="shared" si="64"/>
        <v>Error?</v>
      </c>
    </row>
    <row r="4202" spans="1:4" x14ac:dyDescent="0.2">
      <c r="A4202" s="5">
        <v>4141</v>
      </c>
      <c r="B4202" s="138">
        <f>'Expenditures 15-22'!E137</f>
        <v>13056</v>
      </c>
      <c r="C4202" s="2" t="s">
        <v>573</v>
      </c>
      <c r="D4202" s="2" t="str">
        <f t="shared" si="64"/>
        <v>Error?</v>
      </c>
    </row>
    <row r="4203" spans="1:4" x14ac:dyDescent="0.2">
      <c r="A4203" s="5">
        <v>4142</v>
      </c>
      <c r="B4203" s="138">
        <f>'Expenditures 15-22'!E139</f>
        <v>13056</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3100</v>
      </c>
      <c r="C4265" s="2" t="s">
        <v>573</v>
      </c>
      <c r="D4265" s="2" t="str">
        <f t="shared" si="65"/>
        <v>Error?</v>
      </c>
      <c r="E4265" s="128"/>
    </row>
    <row r="4266" spans="1:5" x14ac:dyDescent="0.2">
      <c r="A4266" s="12">
        <v>4205</v>
      </c>
      <c r="B4266" s="138">
        <f>('FP Info 3'!F10)*100000</f>
        <v>525</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3825</v>
      </c>
      <c r="C4268" s="2" t="s">
        <v>573</v>
      </c>
      <c r="D4268" s="2" t="str">
        <f t="shared" si="65"/>
        <v>Error?</v>
      </c>
    </row>
    <row r="4269" spans="1:5" x14ac:dyDescent="0.2">
      <c r="A4269" s="12">
        <v>4208</v>
      </c>
      <c r="B4269" s="138">
        <f>'FP Info 3'!J16</f>
        <v>9348451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17318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45886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43866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3136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223334672</v>
      </c>
      <c r="D4995" s="2" t="str">
        <f t="shared" si="77"/>
        <v>Error?</v>
      </c>
    </row>
    <row r="4996" spans="1:4" x14ac:dyDescent="0.2">
      <c r="A4996" s="12">
        <v>4935</v>
      </c>
      <c r="B4996" s="138">
        <f>'FP Info 3'!H31</f>
        <v>30820184.736000001</v>
      </c>
      <c r="D4996" s="2" t="str">
        <f t="shared" si="77"/>
        <v>Error?</v>
      </c>
    </row>
    <row r="4997" spans="1:4" x14ac:dyDescent="0.2">
      <c r="A4997" s="12">
        <v>4936</v>
      </c>
      <c r="B4997" s="138">
        <f>'FP Info 3'!H37</f>
        <v>1885152</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108522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6728389</v>
      </c>
      <c r="D5061" s="2" t="str">
        <f t="shared" si="78"/>
        <v>Error?</v>
      </c>
    </row>
    <row r="5062" spans="1:4" x14ac:dyDescent="0.2">
      <c r="A5062" s="10">
        <v>5001</v>
      </c>
      <c r="D5062" s="2" t="str">
        <f t="shared" si="78"/>
        <v>OK</v>
      </c>
    </row>
    <row r="5063" spans="1:4" x14ac:dyDescent="0.2">
      <c r="A5063" s="5">
        <v>5002</v>
      </c>
      <c r="B5063" s="138">
        <f>'Revenues 9-14'!C7</f>
        <v>86818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6923729</v>
      </c>
      <c r="C5066" s="2" t="s">
        <v>573</v>
      </c>
      <c r="D5066" s="2" t="str">
        <f t="shared" si="78"/>
        <v>Error?</v>
      </c>
    </row>
    <row r="5067" spans="1:4" x14ac:dyDescent="0.2">
      <c r="A5067" s="5">
        <v>5006</v>
      </c>
      <c r="B5067" s="138">
        <f>'Revenues 9-14'!C14</f>
        <v>1552</v>
      </c>
      <c r="D5067" s="2" t="str">
        <f t="shared" si="78"/>
        <v>Error?</v>
      </c>
    </row>
    <row r="5068" spans="1:4" x14ac:dyDescent="0.2">
      <c r="A5068" s="5">
        <v>5007</v>
      </c>
      <c r="B5068" s="138">
        <f>'Revenues 9-14'!C15</f>
        <v>1159</v>
      </c>
      <c r="D5068" s="2" t="str">
        <f t="shared" si="78"/>
        <v>Error?</v>
      </c>
    </row>
    <row r="5069" spans="1:4" x14ac:dyDescent="0.2">
      <c r="A5069" s="5">
        <v>5008</v>
      </c>
      <c r="B5069" s="138">
        <f>'Revenues 9-14'!C16</f>
        <v>486418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489129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6355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6355</v>
      </c>
      <c r="C5087" s="2" t="s">
        <v>573</v>
      </c>
      <c r="D5087" s="2" t="str">
        <f t="shared" si="78"/>
        <v>Error?</v>
      </c>
    </row>
    <row r="5088" spans="1:4" x14ac:dyDescent="0.2">
      <c r="A5088" s="5">
        <v>5027</v>
      </c>
      <c r="B5088" s="138">
        <f>'Revenues 9-14'!C65</f>
        <v>66021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66021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68625</v>
      </c>
      <c r="D5092" s="2" t="str">
        <f t="shared" si="78"/>
        <v>Error?</v>
      </c>
    </row>
    <row r="5093" spans="1:4" x14ac:dyDescent="0.2">
      <c r="A5093" s="5">
        <v>5032</v>
      </c>
      <c r="B5093" s="138">
        <f>'Revenues 9-14'!C72</f>
        <v>1221</v>
      </c>
      <c r="D5093" s="2" t="str">
        <f t="shared" si="78"/>
        <v>Error?</v>
      </c>
    </row>
    <row r="5094" spans="1:4" x14ac:dyDescent="0.2">
      <c r="A5094" s="5">
        <v>5033</v>
      </c>
      <c r="B5094" s="138">
        <f>'Revenues 9-14'!C73</f>
        <v>6493</v>
      </c>
      <c r="D5094" s="2" t="str">
        <f t="shared" si="78"/>
        <v>Error?</v>
      </c>
    </row>
    <row r="5095" spans="1:4" x14ac:dyDescent="0.2">
      <c r="A5095" s="5">
        <v>5034</v>
      </c>
      <c r="B5095" s="138">
        <f>'Revenues 9-14'!C74</f>
        <v>3401</v>
      </c>
      <c r="D5095" s="2" t="str">
        <f t="shared" si="78"/>
        <v>Error?</v>
      </c>
    </row>
    <row r="5096" spans="1:4" x14ac:dyDescent="0.2">
      <c r="A5096" s="5">
        <v>5035</v>
      </c>
      <c r="B5096" s="138">
        <f>'Revenues 9-14'!C75</f>
        <v>320631</v>
      </c>
      <c r="C5096" s="2" t="s">
        <v>573</v>
      </c>
      <c r="D5096" s="2" t="str">
        <f t="shared" si="78"/>
        <v>Error?</v>
      </c>
    </row>
    <row r="5097" spans="1:4" x14ac:dyDescent="0.2">
      <c r="A5097" s="5">
        <v>5036</v>
      </c>
      <c r="B5097" s="138">
        <f>'Revenues 9-14'!C77</f>
        <v>30072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20830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695</v>
      </c>
      <c r="D5101" s="2" t="str">
        <f t="shared" si="78"/>
        <v>Error?</v>
      </c>
    </row>
    <row r="5102" spans="1:4" x14ac:dyDescent="0.2">
      <c r="A5102" s="5">
        <v>5041</v>
      </c>
      <c r="B5102" s="138">
        <f>'Revenues 9-14'!C82</f>
        <v>51597</v>
      </c>
      <c r="C5102" s="2" t="s">
        <v>573</v>
      </c>
      <c r="D5102" s="2" t="str">
        <f t="shared" si="78"/>
        <v>Error?</v>
      </c>
    </row>
    <row r="5103" spans="1:4" x14ac:dyDescent="0.2">
      <c r="A5103" s="5">
        <v>5042</v>
      </c>
      <c r="B5103" s="138">
        <f>'Revenues 9-14'!C84</f>
        <v>117995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117995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14668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21679</v>
      </c>
      <c r="D5118" s="2" t="str">
        <f t="shared" si="78"/>
        <v>Error?</v>
      </c>
    </row>
    <row r="5119" spans="1:4" x14ac:dyDescent="0.2">
      <c r="A5119" s="5">
        <v>5058</v>
      </c>
      <c r="B5119" s="138">
        <f>'Revenues 9-14'!C107</f>
        <v>51068</v>
      </c>
      <c r="D5119" s="2" t="str">
        <f t="shared" ref="D5119:D5182" si="79">IF(ISBLANK(B5119),"OK",IF(A5119-B5119=0,"OK","Error?"))</f>
        <v>Error?</v>
      </c>
    </row>
    <row r="5120" spans="1:4" x14ac:dyDescent="0.2">
      <c r="A5120" s="5">
        <v>5059</v>
      </c>
      <c r="B5120" s="138">
        <f>'Revenues 9-14'!C108</f>
        <v>139200</v>
      </c>
      <c r="C5120" s="2" t="s">
        <v>573</v>
      </c>
      <c r="D5120" s="2" t="str">
        <f t="shared" si="79"/>
        <v>Error?</v>
      </c>
    </row>
    <row r="5121" spans="1:4" x14ac:dyDescent="0.2">
      <c r="A5121" s="5">
        <v>5060</v>
      </c>
      <c r="B5121" s="138">
        <f>'Revenues 9-14'!C109</f>
        <v>8114657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3755652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3755652</v>
      </c>
      <c r="C5132" s="2" t="s">
        <v>573</v>
      </c>
      <c r="D5132" s="2" t="str">
        <f t="shared" si="79"/>
        <v>Error?</v>
      </c>
    </row>
    <row r="5133" spans="1:4" x14ac:dyDescent="0.2">
      <c r="A5133" s="5">
        <v>5072</v>
      </c>
      <c r="B5133" s="138">
        <f>'Revenues 9-14'!C125</f>
        <v>1405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16300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17705</v>
      </c>
      <c r="C5147" s="2" t="s">
        <v>573</v>
      </c>
      <c r="D5147" s="2" t="str">
        <f t="shared" si="79"/>
        <v>Error?</v>
      </c>
    </row>
    <row r="5148" spans="1:4" x14ac:dyDescent="0.2">
      <c r="A5148" s="5">
        <v>5087</v>
      </c>
      <c r="B5148" s="138">
        <f>'Revenues 9-14'!C134</f>
        <v>875</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29978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51423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2926</v>
      </c>
      <c r="D5167" s="2" t="str">
        <f t="shared" si="79"/>
        <v>Error?</v>
      </c>
    </row>
    <row r="5168" spans="1:4" x14ac:dyDescent="0.2">
      <c r="A5168" s="5">
        <v>5107</v>
      </c>
      <c r="B5168" s="138">
        <f>'Revenues 9-14'!C148</f>
        <v>21662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96852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3852504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189665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32396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222061</v>
      </c>
      <c r="C5246" s="2" t="s">
        <v>573</v>
      </c>
      <c r="D5246" s="2" t="str">
        <f t="shared" si="80"/>
        <v>Error?</v>
      </c>
    </row>
    <row r="5247" spans="1:4" x14ac:dyDescent="0.2">
      <c r="A5247" s="5">
        <v>5186</v>
      </c>
      <c r="B5247" s="138">
        <f>'Revenues 9-14'!C200</f>
        <v>140179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140179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319248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319248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788558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788558</v>
      </c>
      <c r="C5326" s="2" t="s">
        <v>573</v>
      </c>
      <c r="D5326" s="2" t="str">
        <f t="shared" si="82"/>
        <v>Error?</v>
      </c>
    </row>
    <row r="5327" spans="1:5" x14ac:dyDescent="0.2">
      <c r="A5327" s="5">
        <v>5266</v>
      </c>
      <c r="B5327" s="138">
        <f>'Revenues 9-14'!C268</f>
        <v>12755719</v>
      </c>
      <c r="C5327" s="2" t="s">
        <v>573</v>
      </c>
      <c r="D5327" s="2" t="str">
        <f t="shared" si="82"/>
        <v>Error?</v>
      </c>
    </row>
    <row r="5328" spans="1:5" x14ac:dyDescent="0.2">
      <c r="A5328" s="5">
        <v>5267</v>
      </c>
      <c r="B5328" s="138">
        <f>'Revenues 9-14'!D5</f>
        <v>1139485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1139485</v>
      </c>
      <c r="C5334" s="2" t="s">
        <v>573</v>
      </c>
      <c r="D5334" s="2" t="str">
        <f t="shared" si="82"/>
        <v>Error?</v>
      </c>
    </row>
    <row r="5335" spans="1:4" x14ac:dyDescent="0.2">
      <c r="A5335" s="5">
        <v>5274</v>
      </c>
      <c r="B5335" s="138">
        <f>'Revenues 9-14'!D14</f>
        <v>793</v>
      </c>
      <c r="D5335" s="2" t="str">
        <f t="shared" si="82"/>
        <v>Error?</v>
      </c>
    </row>
    <row r="5336" spans="1:4" x14ac:dyDescent="0.2">
      <c r="A5336" s="5">
        <v>5275</v>
      </c>
      <c r="B5336" s="138">
        <f>'Revenues 9-14'!D15</f>
        <v>191</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984</v>
      </c>
      <c r="C5339" s="2" t="s">
        <v>573</v>
      </c>
      <c r="D5339" s="2" t="str">
        <f t="shared" si="82"/>
        <v>Error?</v>
      </c>
    </row>
    <row r="5340" spans="1:4" x14ac:dyDescent="0.2">
      <c r="A5340" s="5">
        <v>5279</v>
      </c>
      <c r="B5340" s="138">
        <f>'Revenues 9-14'!D65</f>
        <v>38987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38987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14075</v>
      </c>
      <c r="D5349" s="2" t="str">
        <f t="shared" si="82"/>
        <v>Error?</v>
      </c>
    </row>
    <row r="5350" spans="1:4" x14ac:dyDescent="0.2">
      <c r="A5350" s="5">
        <v>5289</v>
      </c>
      <c r="B5350" s="138">
        <f>'Revenues 9-14'!D96</f>
        <v>10000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6560</v>
      </c>
      <c r="D5354" s="2" t="str">
        <f t="shared" si="82"/>
        <v>Error?</v>
      </c>
    </row>
    <row r="5355" spans="1:4" x14ac:dyDescent="0.2">
      <c r="A5355" s="5">
        <v>5294</v>
      </c>
      <c r="B5355" s="138">
        <f>'Revenues 9-14'!D108</f>
        <v>35960</v>
      </c>
      <c r="C5355" s="2" t="s">
        <v>573</v>
      </c>
      <c r="D5355" s="2" t="str">
        <f t="shared" si="82"/>
        <v>Error?</v>
      </c>
    </row>
    <row r="5356" spans="1:4" x14ac:dyDescent="0.2">
      <c r="A5356" s="5">
        <v>5295</v>
      </c>
      <c r="B5356" s="138">
        <f>'Revenues 9-14'!D109</f>
        <v>1215416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1112</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1112</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1112</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1112</v>
      </c>
      <c r="C5507" s="2" t="s">
        <v>573</v>
      </c>
      <c r="D5507" s="2" t="str">
        <f t="shared" si="85"/>
        <v>Error?</v>
      </c>
    </row>
    <row r="5508" spans="1:4" x14ac:dyDescent="0.2">
      <c r="A5508" s="5">
        <v>5447</v>
      </c>
      <c r="B5508" s="138">
        <f>'Revenues 9-14'!D268</f>
        <v>1216528</v>
      </c>
      <c r="C5508" s="2" t="s">
        <v>573</v>
      </c>
      <c r="D5508" s="2" t="str">
        <f t="shared" si="85"/>
        <v>Error?</v>
      </c>
    </row>
    <row r="5509" spans="1:4" x14ac:dyDescent="0.2">
      <c r="A5509" s="5">
        <v>5448</v>
      </c>
      <c r="B5509" s="138">
        <f>'Revenues 9-14'!E5</f>
        <v>891401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891401</v>
      </c>
      <c r="C5513" s="2" t="s">
        <v>573</v>
      </c>
      <c r="D5513" s="2" t="str">
        <f t="shared" si="85"/>
        <v>Error?</v>
      </c>
    </row>
    <row r="5514" spans="1:4" x14ac:dyDescent="0.2">
      <c r="A5514" s="5">
        <v>5453</v>
      </c>
      <c r="B5514" s="138">
        <f>'Revenues 9-14'!E14</f>
        <v>2434</v>
      </c>
      <c r="D5514" s="2" t="str">
        <f t="shared" si="85"/>
        <v>Error?</v>
      </c>
    </row>
    <row r="5515" spans="1:4" x14ac:dyDescent="0.2">
      <c r="A5515" s="5">
        <v>5454</v>
      </c>
      <c r="B5515" s="138">
        <f>'Revenues 9-14'!E15</f>
        <v>149</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2583</v>
      </c>
      <c r="C5518" s="2" t="s">
        <v>573</v>
      </c>
      <c r="D5518" s="2" t="str">
        <f t="shared" si="85"/>
        <v>Error?</v>
      </c>
    </row>
    <row r="5519" spans="1:4" x14ac:dyDescent="0.2">
      <c r="A5519" s="5">
        <v>5458</v>
      </c>
      <c r="B5519" s="138">
        <f>'Revenues 9-14'!E65</f>
        <v>4652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4652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4298</v>
      </c>
      <c r="C5526" s="2" t="s">
        <v>573</v>
      </c>
      <c r="D5526" s="2" t="str">
        <f t="shared" si="85"/>
        <v>Error?</v>
      </c>
    </row>
    <row r="5527" spans="1:4" x14ac:dyDescent="0.2">
      <c r="A5527" s="5">
        <v>5466</v>
      </c>
      <c r="B5527" s="138">
        <f>'Revenues 9-14'!E109</f>
        <v>902934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902934</v>
      </c>
      <c r="C5552" s="2" t="s">
        <v>573</v>
      </c>
      <c r="D5552" s="2" t="str">
        <f t="shared" si="85"/>
        <v>Error?</v>
      </c>
    </row>
    <row r="5553" spans="1:4" x14ac:dyDescent="0.2">
      <c r="A5553" s="5">
        <v>5492</v>
      </c>
      <c r="B5553" s="138">
        <f>'Revenues 9-14'!F5</f>
        <v>434090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434090</v>
      </c>
      <c r="C5557" s="2" t="s">
        <v>573</v>
      </c>
      <c r="D5557" s="2" t="str">
        <f t="shared" si="85"/>
        <v>Error?</v>
      </c>
    </row>
    <row r="5558" spans="1:4" x14ac:dyDescent="0.2">
      <c r="A5558" s="5">
        <v>5497</v>
      </c>
      <c r="B5558" s="138">
        <f>'Revenues 9-14'!F14</f>
        <v>300</v>
      </c>
      <c r="D5558" s="2" t="str">
        <f t="shared" si="85"/>
        <v>Error?</v>
      </c>
    </row>
    <row r="5559" spans="1:4" x14ac:dyDescent="0.2">
      <c r="A5559" s="5">
        <v>5498</v>
      </c>
      <c r="B5559" s="138">
        <f>'Revenues 9-14'!F15</f>
        <v>73</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373</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264</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264</v>
      </c>
      <c r="C5579" s="2" t="s">
        <v>573</v>
      </c>
      <c r="D5579" s="2" t="str">
        <f t="shared" si="86"/>
        <v>Error?</v>
      </c>
    </row>
    <row r="5580" spans="1:4" x14ac:dyDescent="0.2">
      <c r="A5580" s="5">
        <v>5519</v>
      </c>
      <c r="B5580" s="138">
        <f>'Revenues 9-14'!F65</f>
        <v>19383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19383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2280</v>
      </c>
      <c r="D5585" s="2" t="str">
        <f t="shared" si="86"/>
        <v>Error?</v>
      </c>
    </row>
    <row r="5586" spans="1:4" x14ac:dyDescent="0.2">
      <c r="A5586" s="5">
        <v>5525</v>
      </c>
      <c r="B5586" s="138">
        <f>'Revenues 9-14'!F107</f>
        <v>748</v>
      </c>
      <c r="D5586" s="2" t="str">
        <f t="shared" si="86"/>
        <v>Error?</v>
      </c>
    </row>
    <row r="5587" spans="1:4" x14ac:dyDescent="0.2">
      <c r="A5587" s="5">
        <v>5526</v>
      </c>
      <c r="B5587" s="138">
        <f>'Revenues 9-14'!F108</f>
        <v>3028</v>
      </c>
      <c r="C5587" s="2" t="s">
        <v>573</v>
      </c>
      <c r="D5587" s="2" t="str">
        <f t="shared" si="86"/>
        <v>Error?</v>
      </c>
    </row>
    <row r="5588" spans="1:4" x14ac:dyDescent="0.2">
      <c r="A5588" s="5">
        <v>5527</v>
      </c>
      <c r="B5588" s="138">
        <f>'Revenues 9-14'!F109</f>
        <v>457138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135911</v>
      </c>
      <c r="D5615" s="2" t="str">
        <f t="shared" si="86"/>
        <v>Error?</v>
      </c>
    </row>
    <row r="5616" spans="1:4" x14ac:dyDescent="0.2">
      <c r="A5616" s="10">
        <v>5555</v>
      </c>
      <c r="D5616" s="2" t="str">
        <f t="shared" si="86"/>
        <v>OK</v>
      </c>
    </row>
    <row r="5617" spans="1:5" x14ac:dyDescent="0.2">
      <c r="A5617" s="5">
        <v>5556</v>
      </c>
      <c r="B5617" s="138">
        <f>'Revenues 9-14'!F153</f>
        <v>173002</v>
      </c>
      <c r="D5617" s="2" t="str">
        <f t="shared" si="86"/>
        <v>Error?</v>
      </c>
    </row>
    <row r="5618" spans="1:5" x14ac:dyDescent="0.2">
      <c r="A5618" s="5">
        <v>5557</v>
      </c>
      <c r="B5618" s="138">
        <f>'Revenues 9-14'!F155</f>
        <v>308913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308913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308913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766051</v>
      </c>
      <c r="C5720" s="2" t="s">
        <v>573</v>
      </c>
      <c r="D5720" s="2" t="str">
        <f t="shared" si="88"/>
        <v>Error?</v>
      </c>
    </row>
    <row r="5721" spans="1:4" x14ac:dyDescent="0.2">
      <c r="A5721" s="5">
        <v>5660</v>
      </c>
      <c r="B5721" s="138">
        <f>'Revenues 9-14'!G5</f>
        <v>234624</v>
      </c>
      <c r="D5721" s="2" t="str">
        <f t="shared" si="88"/>
        <v>Error?</v>
      </c>
    </row>
    <row r="5722" spans="1:4" x14ac:dyDescent="0.2">
      <c r="A5722" s="5">
        <v>5661</v>
      </c>
      <c r="B5722" s="138">
        <f>'Revenues 9-14'!G7</f>
        <v>0</v>
      </c>
      <c r="D5722" s="2" t="str">
        <f t="shared" si="88"/>
        <v>Error?</v>
      </c>
    </row>
    <row r="5723" spans="1:4" x14ac:dyDescent="0.2">
      <c r="A5723" s="5">
        <v>5662</v>
      </c>
      <c r="B5723" s="138">
        <f>'Revenues 9-14'!G8</f>
        <v>279553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514177</v>
      </c>
      <c r="C5725" s="2" t="s">
        <v>573</v>
      </c>
      <c r="D5725" s="2" t="str">
        <f t="shared" si="88"/>
        <v>Error?</v>
      </c>
    </row>
    <row r="5726" spans="1:4" x14ac:dyDescent="0.2">
      <c r="A5726" s="5">
        <v>5665</v>
      </c>
      <c r="B5726" s="138">
        <f>'Revenues 9-14'!G14</f>
        <v>1148</v>
      </c>
      <c r="D5726" s="2" t="str">
        <f t="shared" si="88"/>
        <v>Error?</v>
      </c>
    </row>
    <row r="5727" spans="1:4" x14ac:dyDescent="0.2">
      <c r="A5727" s="5">
        <v>5666</v>
      </c>
      <c r="B5727" s="138">
        <f>'Revenues 9-14'!G15</f>
        <v>86</v>
      </c>
      <c r="D5727" s="2" t="str">
        <f t="shared" si="88"/>
        <v>Error?</v>
      </c>
    </row>
    <row r="5728" spans="1:4" x14ac:dyDescent="0.2">
      <c r="A5728" s="5">
        <v>5667</v>
      </c>
      <c r="B5728" s="138">
        <f>'Revenues 9-14'!G16</f>
        <v>30000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31234</v>
      </c>
      <c r="C5730" s="2" t="s">
        <v>573</v>
      </c>
      <c r="D5730" s="2" t="str">
        <f t="shared" si="88"/>
        <v>Error?</v>
      </c>
    </row>
    <row r="5731" spans="1:4" x14ac:dyDescent="0.2">
      <c r="A5731" s="5">
        <v>5670</v>
      </c>
      <c r="B5731" s="138">
        <f>'Revenues 9-14'!G65</f>
        <v>8943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8943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291</v>
      </c>
      <c r="D5736" s="2" t="str">
        <f t="shared" si="88"/>
        <v>Error?</v>
      </c>
    </row>
    <row r="5737" spans="1:4" x14ac:dyDescent="0.2">
      <c r="A5737" s="5">
        <v>5676</v>
      </c>
      <c r="B5737" s="138">
        <f>'Revenues 9-14'!G108</f>
        <v>2772</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557126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321062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321062</v>
      </c>
      <c r="C5915" s="2" t="s">
        <v>573</v>
      </c>
      <c r="D5915" s="2" t="str">
        <f t="shared" si="91"/>
        <v>Error?</v>
      </c>
    </row>
    <row r="5916" spans="1:4" x14ac:dyDescent="0.2">
      <c r="A5916" s="5">
        <v>5855</v>
      </c>
      <c r="B5916" s="138">
        <f>'Revenues 9-14'!I5</f>
        <v>108522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108522</v>
      </c>
      <c r="C5918" s="2" t="s">
        <v>573</v>
      </c>
      <c r="D5918" s="2" t="str">
        <f t="shared" si="91"/>
        <v>Error?</v>
      </c>
    </row>
    <row r="5919" spans="1:4" x14ac:dyDescent="0.2">
      <c r="A5919" s="5">
        <v>5858</v>
      </c>
      <c r="B5919" s="138">
        <f>'Revenues 9-14'!I14</f>
        <v>78</v>
      </c>
      <c r="D5919" s="2" t="str">
        <f t="shared" si="91"/>
        <v>Error?</v>
      </c>
    </row>
    <row r="5920" spans="1:4" x14ac:dyDescent="0.2">
      <c r="A5920" s="5">
        <v>5859</v>
      </c>
      <c r="B5920" s="138">
        <f>'Revenues 9-14'!I15</f>
        <v>18</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96</v>
      </c>
      <c r="C5923" s="2" t="s">
        <v>573</v>
      </c>
      <c r="D5923" s="2" t="str">
        <f t="shared" si="91"/>
        <v>Error?</v>
      </c>
    </row>
    <row r="5924" spans="1:4" x14ac:dyDescent="0.2">
      <c r="A5924" s="5">
        <v>5863</v>
      </c>
      <c r="B5924" s="138">
        <f>'Revenues 9-14'!I65</f>
        <v>92581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92581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508</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201707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108522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108522</v>
      </c>
      <c r="C5987" s="2" t="s">
        <v>573</v>
      </c>
      <c r="D5987" s="2" t="str">
        <f t="shared" si="92"/>
        <v>Error?</v>
      </c>
    </row>
    <row r="5988" spans="1:4" x14ac:dyDescent="0.2">
      <c r="A5988" s="5">
        <v>5927</v>
      </c>
      <c r="B5988" s="138">
        <f>'Revenues 9-14'!K14</f>
        <v>78</v>
      </c>
      <c r="D5988" s="2" t="str">
        <f t="shared" si="92"/>
        <v>Error?</v>
      </c>
    </row>
    <row r="5989" spans="1:4" x14ac:dyDescent="0.2">
      <c r="A5989" s="5">
        <v>5928</v>
      </c>
      <c r="B5989" s="138">
        <f>'Revenues 9-14'!K15</f>
        <v>18</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96</v>
      </c>
      <c r="C5992" s="2" t="s">
        <v>573</v>
      </c>
      <c r="D5992" s="2" t="str">
        <f t="shared" si="92"/>
        <v>Error?</v>
      </c>
    </row>
    <row r="5993" spans="1:4" x14ac:dyDescent="0.2">
      <c r="A5993" s="5">
        <v>5932</v>
      </c>
      <c r="B5993" s="138">
        <f>'Revenues 9-14'!K65</f>
        <v>4450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4450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508</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113576</v>
      </c>
      <c r="C6023" s="2" t="s">
        <v>573</v>
      </c>
      <c r="D6023" s="2" t="str">
        <f t="shared" si="93"/>
        <v>Error?</v>
      </c>
    </row>
    <row r="6024" spans="1:5" x14ac:dyDescent="0.2">
      <c r="A6024" s="5">
        <v>5963</v>
      </c>
      <c r="B6024" s="138">
        <f>'Revenues 9-14'!G109</f>
        <v>557126</v>
      </c>
      <c r="C6024" s="2" t="s">
        <v>573</v>
      </c>
      <c r="D6024" s="2" t="str">
        <f t="shared" si="93"/>
        <v>Error?</v>
      </c>
    </row>
    <row r="6025" spans="1:5" x14ac:dyDescent="0.2">
      <c r="A6025" s="5">
        <v>5964</v>
      </c>
      <c r="B6025" s="138">
        <f>'Revenues 9-14'!H109</f>
        <v>321062</v>
      </c>
      <c r="C6025" s="2" t="s">
        <v>573</v>
      </c>
      <c r="D6025" s="2" t="str">
        <f t="shared" si="93"/>
        <v>Error?</v>
      </c>
    </row>
    <row r="6026" spans="1:5" x14ac:dyDescent="0.2">
      <c r="A6026" s="5">
        <v>5965</v>
      </c>
      <c r="B6026" s="138">
        <f>'Revenues 9-14'!I109</f>
        <v>201707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113576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240891</v>
      </c>
      <c r="D6031" s="2" t="str">
        <f t="shared" si="93"/>
        <v>Error?</v>
      </c>
    </row>
    <row r="6032" spans="1:5" x14ac:dyDescent="0.2">
      <c r="A6032" s="5">
        <v>5971</v>
      </c>
      <c r="B6032" s="138">
        <f>'Acct Summary 7-8'!G15</f>
        <v>1065</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49628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1485.8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531672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531672</v>
      </c>
      <c r="D6215" s="2" t="str">
        <f t="shared" si="96"/>
        <v>Error?</v>
      </c>
      <c r="E6215" s="2" t="s">
        <v>190</v>
      </c>
    </row>
    <row r="6216" spans="1:5" x14ac:dyDescent="0.2">
      <c r="A6216">
        <v>6155</v>
      </c>
      <c r="B6216" s="138">
        <f>'Assets-Liab 5-6'!J41</f>
        <v>531672</v>
      </c>
      <c r="D6216" s="2" t="str">
        <f t="shared" si="96"/>
        <v>Error?</v>
      </c>
      <c r="E6216" s="2" t="s">
        <v>190</v>
      </c>
    </row>
    <row r="6217" spans="1:5" x14ac:dyDescent="0.2">
      <c r="A6217">
        <v>6156</v>
      </c>
      <c r="B6217" s="138">
        <f>'Assets-Liab 5-6'!J4</f>
        <v>531672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617675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617675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617675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466534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466534</v>
      </c>
      <c r="D6229" s="2" t="str">
        <f t="shared" si="96"/>
        <v>Error?</v>
      </c>
      <c r="E6229" s="2" t="s">
        <v>190</v>
      </c>
    </row>
    <row r="6230" spans="1:5" x14ac:dyDescent="0.2">
      <c r="A6230">
        <v>6169</v>
      </c>
      <c r="B6230" s="138">
        <f>'Acct Summary 7-8'!J20</f>
        <v>151141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92274</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4129</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151141</v>
      </c>
      <c r="D6263" s="2" t="str">
        <f t="shared" si="96"/>
        <v>Error?</v>
      </c>
      <c r="E6263" s="2" t="s">
        <v>190</v>
      </c>
    </row>
    <row r="6264" spans="1:5" x14ac:dyDescent="0.2">
      <c r="A6264">
        <v>6203</v>
      </c>
      <c r="B6264" s="138">
        <f>'Acct Summary 7-8'!J79</f>
        <v>380531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531672</v>
      </c>
      <c r="D6266" s="2" t="str">
        <f t="shared" si="96"/>
        <v>Error?</v>
      </c>
      <c r="E6266" s="2" t="s">
        <v>190</v>
      </c>
    </row>
    <row r="6267" spans="1:5" x14ac:dyDescent="0.2">
      <c r="A6267">
        <v>6206</v>
      </c>
      <c r="B6267" s="138">
        <f>'Acct Summary 7-8'!C82</f>
        <v>445616</v>
      </c>
      <c r="D6267" s="2" t="str">
        <f t="shared" si="96"/>
        <v>Error?</v>
      </c>
      <c r="E6267" s="2" t="s">
        <v>190</v>
      </c>
    </row>
    <row r="6268" spans="1:5" x14ac:dyDescent="0.2">
      <c r="A6268">
        <v>6207</v>
      </c>
      <c r="B6268" s="138">
        <f>'Acct Summary 7-8'!D82</f>
        <v>841831</v>
      </c>
      <c r="D6268" s="2" t="str">
        <f t="shared" si="96"/>
        <v>Error?</v>
      </c>
      <c r="E6268" s="2" t="s">
        <v>190</v>
      </c>
    </row>
    <row r="6269" spans="1:5" x14ac:dyDescent="0.2">
      <c r="A6269">
        <v>6208</v>
      </c>
      <c r="B6269" s="138">
        <f>'Acct Summary 7-8'!E82</f>
        <v>10184</v>
      </c>
      <c r="D6269" s="2" t="str">
        <f t="shared" si="96"/>
        <v>Error?</v>
      </c>
      <c r="E6269" s="2" t="s">
        <v>190</v>
      </c>
    </row>
    <row r="6270" spans="1:5" x14ac:dyDescent="0.2">
      <c r="A6270">
        <v>6209</v>
      </c>
      <c r="B6270" s="138">
        <f>'Acct Summary 7-8'!F82</f>
        <v>129612</v>
      </c>
      <c r="D6270" s="2" t="str">
        <f t="shared" si="96"/>
        <v>Error?</v>
      </c>
      <c r="E6270" s="2" t="s">
        <v>190</v>
      </c>
    </row>
    <row r="6271" spans="1:5" x14ac:dyDescent="0.2">
      <c r="A6271">
        <v>6210</v>
      </c>
      <c r="B6271" s="138">
        <f>'Acct Summary 7-8'!G82</f>
        <v>107547</v>
      </c>
      <c r="D6271" s="2" t="str">
        <f t="shared" ref="D6271:D6334" si="97">IF(ISBLANK(B6271),"OK",IF(A6271-B6271=0,"OK","Error?"))</f>
        <v>Error?</v>
      </c>
      <c r="E6271" s="2" t="s">
        <v>190</v>
      </c>
    </row>
    <row r="6272" spans="1:5" x14ac:dyDescent="0.2">
      <c r="A6272">
        <v>6211</v>
      </c>
      <c r="B6272" s="138">
        <f>'Acct Summary 7-8'!H82</f>
        <v>311897</v>
      </c>
      <c r="D6272" s="2" t="str">
        <f t="shared" si="97"/>
        <v>Error?</v>
      </c>
      <c r="E6272" s="2" t="s">
        <v>190</v>
      </c>
    </row>
    <row r="6273" spans="1:5" x14ac:dyDescent="0.2">
      <c r="A6273">
        <v>6212</v>
      </c>
      <c r="B6273" s="138">
        <f>'Acct Summary 7-8'!I82</f>
        <v>-798293</v>
      </c>
      <c r="D6273" s="2" t="str">
        <f t="shared" si="97"/>
        <v>Error?</v>
      </c>
      <c r="E6273" s="2" t="s">
        <v>190</v>
      </c>
    </row>
    <row r="6274" spans="1:5" x14ac:dyDescent="0.2">
      <c r="A6274">
        <v>6213</v>
      </c>
      <c r="B6274" s="138">
        <f>'Acct Summary 7-8'!J82</f>
        <v>151141</v>
      </c>
      <c r="D6274" s="2" t="str">
        <f t="shared" si="97"/>
        <v>Error?</v>
      </c>
      <c r="E6274" s="2" t="s">
        <v>190</v>
      </c>
    </row>
    <row r="6275" spans="1:5" x14ac:dyDescent="0.2">
      <c r="A6275">
        <v>6214</v>
      </c>
      <c r="B6275" s="138">
        <f>'Acct Summary 7-8'!K82</f>
        <v>131</v>
      </c>
      <c r="D6275" s="2" t="str">
        <f t="shared" si="97"/>
        <v>Error?</v>
      </c>
      <c r="E6275" s="2" t="s">
        <v>190</v>
      </c>
    </row>
    <row r="6276" spans="1:5" x14ac:dyDescent="0.2">
      <c r="A6276">
        <v>6215</v>
      </c>
      <c r="B6276" s="138">
        <f>'Acct Summary 7-8'!C83</f>
        <v>0.23259538103872868</v>
      </c>
      <c r="D6276" s="2" t="str">
        <f t="shared" si="97"/>
        <v>Error?</v>
      </c>
      <c r="E6276" s="2" t="s">
        <v>190</v>
      </c>
    </row>
    <row r="6277" spans="1:5" x14ac:dyDescent="0.2">
      <c r="A6277">
        <v>6216</v>
      </c>
      <c r="B6277" s="138">
        <f>'Acct Summary 7-8'!D83</f>
        <v>0.26081685524949721</v>
      </c>
      <c r="D6277" s="2" t="str">
        <f t="shared" si="97"/>
        <v>Error?</v>
      </c>
      <c r="E6277" s="2" t="s">
        <v>190</v>
      </c>
    </row>
    <row r="6278" spans="1:5" x14ac:dyDescent="0.2">
      <c r="A6278">
        <v>6217</v>
      </c>
      <c r="B6278" s="138">
        <f>'Acct Summary 7-8'!E83</f>
        <v>0.18266609269622613</v>
      </c>
      <c r="D6278" s="2" t="str">
        <f t="shared" si="97"/>
        <v>Error?</v>
      </c>
      <c r="E6278" s="2" t="s">
        <v>190</v>
      </c>
    </row>
    <row r="6279" spans="1:5" x14ac:dyDescent="0.2">
      <c r="A6279">
        <v>6218</v>
      </c>
      <c r="B6279" s="138">
        <f>'Acct Summary 7-8'!F83</f>
        <v>9.7204066893605154E-2</v>
      </c>
      <c r="D6279" s="2" t="str">
        <f t="shared" si="97"/>
        <v>Error?</v>
      </c>
      <c r="E6279" s="2" t="s">
        <v>190</v>
      </c>
    </row>
    <row r="6280" spans="1:5" x14ac:dyDescent="0.2">
      <c r="A6280">
        <v>6219</v>
      </c>
      <c r="B6280" s="138">
        <f>'Acct Summary 7-8'!G83</f>
        <v>0.20918738499721853</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-0.27800198987510871</v>
      </c>
      <c r="D6282" s="2" t="str">
        <f t="shared" si="97"/>
        <v>Error?</v>
      </c>
      <c r="E6282" s="2" t="s">
        <v>190</v>
      </c>
    </row>
    <row r="6283" spans="1:5" x14ac:dyDescent="0.2">
      <c r="A6283">
        <v>6222</v>
      </c>
      <c r="B6283" s="138">
        <f>'Acct Summary 7-8'!J83</f>
        <v>0.28427489128635702</v>
      </c>
      <c r="D6283" s="2" t="str">
        <f t="shared" si="97"/>
        <v>Error?</v>
      </c>
      <c r="E6283" s="2" t="s">
        <v>190</v>
      </c>
    </row>
    <row r="6284" spans="1:5" x14ac:dyDescent="0.2">
      <c r="A6284">
        <v>6223</v>
      </c>
      <c r="B6284" s="138">
        <f>'Acct Summary 7-8'!K83</f>
        <v>4.5530693248250023E-4</v>
      </c>
      <c r="D6284" s="2" t="str">
        <f t="shared" si="97"/>
        <v>Error?</v>
      </c>
      <c r="E6284" s="2" t="s">
        <v>190</v>
      </c>
    </row>
    <row r="6285" spans="1:5" x14ac:dyDescent="0.2">
      <c r="A6285">
        <v>6224</v>
      </c>
      <c r="B6285" s="138">
        <f>'Acct Summary 7-8'!E37</f>
        <v>113105</v>
      </c>
      <c r="D6285" s="2" t="str">
        <f t="shared" si="97"/>
        <v>Error?</v>
      </c>
      <c r="E6285" s="2" t="s">
        <v>190</v>
      </c>
    </row>
    <row r="6286" spans="1:5" x14ac:dyDescent="0.2">
      <c r="A6286">
        <v>6225</v>
      </c>
      <c r="B6286" s="138">
        <f>'Acct Summary 7-8'!E38</f>
        <v>5776</v>
      </c>
      <c r="D6286" s="2" t="str">
        <f t="shared" si="97"/>
        <v>Error?</v>
      </c>
      <c r="E6286" s="2" t="s">
        <v>190</v>
      </c>
    </row>
    <row r="6287" spans="1:5" x14ac:dyDescent="0.2">
      <c r="A6287">
        <v>6226</v>
      </c>
      <c r="B6287" s="138">
        <f>'Acct Summary 7-8'!E39</f>
        <v>168800</v>
      </c>
      <c r="D6287" s="2" t="str">
        <f t="shared" si="97"/>
        <v>Error?</v>
      </c>
      <c r="E6287" s="2" t="s">
        <v>190</v>
      </c>
    </row>
    <row r="6288" spans="1:5" x14ac:dyDescent="0.2">
      <c r="A6288">
        <v>6227</v>
      </c>
      <c r="B6288" s="138">
        <f>'Acct Summary 7-8'!E40</f>
        <v>1756</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589058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589058</v>
      </c>
      <c r="D6301" s="2" t="str">
        <f t="shared" si="97"/>
        <v>Error?</v>
      </c>
      <c r="E6301" s="2" t="s">
        <v>190</v>
      </c>
    </row>
    <row r="6302" spans="1:5" x14ac:dyDescent="0.2">
      <c r="A6302">
        <v>6241</v>
      </c>
      <c r="B6302" s="138">
        <f>'Revenues 9-14'!J14</f>
        <v>1311</v>
      </c>
      <c r="D6302" s="2" t="str">
        <f t="shared" si="97"/>
        <v>Error?</v>
      </c>
      <c r="E6302" s="2" t="s">
        <v>190</v>
      </c>
    </row>
    <row r="6303" spans="1:5" x14ac:dyDescent="0.2">
      <c r="A6303">
        <v>6242</v>
      </c>
      <c r="B6303" s="138">
        <f>'Revenues 9-14'!J15</f>
        <v>99</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1410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9444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9444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14755</v>
      </c>
      <c r="D6329" s="2" t="str">
        <f t="shared" si="97"/>
        <v>Error?</v>
      </c>
      <c r="E6329" s="2" t="s">
        <v>190</v>
      </c>
    </row>
    <row r="6330" spans="1:5" x14ac:dyDescent="0.2">
      <c r="A6330">
        <v>6269</v>
      </c>
      <c r="B6330" s="138">
        <f>'Revenues 9-14'!C100</f>
        <v>32340</v>
      </c>
      <c r="D6330" s="2" t="str">
        <f t="shared" si="97"/>
        <v>Error?</v>
      </c>
      <c r="E6330" s="2" t="s">
        <v>190</v>
      </c>
    </row>
    <row r="6331" spans="1:5" x14ac:dyDescent="0.2">
      <c r="A6331">
        <v>6270</v>
      </c>
      <c r="B6331" s="138">
        <f>'Revenues 9-14'!D100</f>
        <v>5325</v>
      </c>
      <c r="D6331" s="2" t="str">
        <f t="shared" si="97"/>
        <v>Error?</v>
      </c>
      <c r="E6331" s="2" t="s">
        <v>190</v>
      </c>
    </row>
    <row r="6332" spans="1:5" x14ac:dyDescent="0.2">
      <c r="A6332">
        <v>6271</v>
      </c>
      <c r="B6332" s="138">
        <f>'Revenues 9-14'!E100</f>
        <v>4298</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2481</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508</v>
      </c>
      <c r="D6336" s="2" t="str">
        <f t="shared" si="98"/>
        <v>Error?</v>
      </c>
      <c r="E6336" s="2" t="s">
        <v>190</v>
      </c>
    </row>
    <row r="6337" spans="1:5" x14ac:dyDescent="0.2">
      <c r="A6337">
        <v>6276</v>
      </c>
      <c r="B6337" s="138">
        <f>'Revenues 9-14'!J100</f>
        <v>2838</v>
      </c>
      <c r="D6337" s="2" t="str">
        <f t="shared" si="98"/>
        <v>Error?</v>
      </c>
      <c r="E6337" s="2" t="s">
        <v>190</v>
      </c>
    </row>
    <row r="6338" spans="1:5" x14ac:dyDescent="0.2">
      <c r="A6338">
        <v>6277</v>
      </c>
      <c r="B6338" s="138">
        <f>'Revenues 9-14'!K100</f>
        <v>508</v>
      </c>
      <c r="D6338" s="2" t="str">
        <f t="shared" si="98"/>
        <v>Error?</v>
      </c>
      <c r="E6338" s="2" t="s">
        <v>190</v>
      </c>
    </row>
    <row r="6339" spans="1:5" x14ac:dyDescent="0.2">
      <c r="A6339">
        <v>6278</v>
      </c>
      <c r="B6339" s="138">
        <f>'Revenues 9-14'!C101</f>
        <v>18945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170</v>
      </c>
      <c r="D6350" s="2" t="str">
        <f t="shared" si="98"/>
        <v>Error?</v>
      </c>
      <c r="E6350" s="2" t="s">
        <v>190</v>
      </c>
    </row>
    <row r="6351" spans="1:5" x14ac:dyDescent="0.2">
      <c r="A6351">
        <v>6290</v>
      </c>
      <c r="B6351" s="138">
        <f>'Revenues 9-14'!J108</f>
        <v>17763</v>
      </c>
      <c r="D6351" s="2" t="str">
        <f t="shared" si="98"/>
        <v>Error?</v>
      </c>
      <c r="E6351" s="2" t="s">
        <v>190</v>
      </c>
    </row>
    <row r="6352" spans="1:5" x14ac:dyDescent="0.2">
      <c r="A6352">
        <v>6291</v>
      </c>
      <c r="B6352" s="138">
        <f>'Revenues 9-14'!J109</f>
        <v>617675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20570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125557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70255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25289</v>
      </c>
      <c r="D6880" s="2" t="str">
        <f t="shared" si="106"/>
        <v>Error?</v>
      </c>
    </row>
    <row r="6881" spans="1:4" x14ac:dyDescent="0.2">
      <c r="A6881">
        <v>6820</v>
      </c>
      <c r="B6881" s="138">
        <f>'Expenditures 15-22'!K22</f>
        <v>25289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1881</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6009</v>
      </c>
      <c r="D6981" s="2" t="str">
        <f t="shared" si="108"/>
        <v>Error?</v>
      </c>
    </row>
    <row r="6982" spans="1:4" x14ac:dyDescent="0.2">
      <c r="A6982">
        <v>6921</v>
      </c>
      <c r="B6982" s="138">
        <f>'Expenditures 15-22'!K85</f>
        <v>6009</v>
      </c>
      <c r="D6982" s="2" t="str">
        <f t="shared" si="108"/>
        <v>Error?</v>
      </c>
    </row>
    <row r="6983" spans="1:4" x14ac:dyDescent="0.2">
      <c r="A6983">
        <v>6922</v>
      </c>
      <c r="B6983" s="138">
        <f>'Expenditures 15-22'!H86</f>
        <v>425209</v>
      </c>
      <c r="D6983" s="2" t="str">
        <f t="shared" si="108"/>
        <v>Error?</v>
      </c>
    </row>
    <row r="6984" spans="1:4" x14ac:dyDescent="0.2">
      <c r="A6984">
        <v>6923</v>
      </c>
      <c r="B6984" s="138">
        <f>'Expenditures 15-22'!K86</f>
        <v>425209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431218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466534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617675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4222</v>
      </c>
      <c r="D7075" s="2" t="str">
        <f t="shared" si="109"/>
        <v>Error?</v>
      </c>
    </row>
    <row r="7076" spans="1:4" x14ac:dyDescent="0.2">
      <c r="A7076">
        <v>7015</v>
      </c>
      <c r="B7076" s="138">
        <f>'Expenditures 15-22'!K218</f>
        <v>4222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813</v>
      </c>
      <c r="D7079" s="2" t="str">
        <f t="shared" si="109"/>
        <v>Error?</v>
      </c>
    </row>
    <row r="7080" spans="1:4" x14ac:dyDescent="0.2">
      <c r="A7080">
        <v>7019</v>
      </c>
      <c r="B7080" s="138">
        <f>'Expenditures 15-22'!K226</f>
        <v>813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1962</v>
      </c>
      <c r="D7089" s="2" t="str">
        <f t="shared" si="109"/>
        <v>Error?</v>
      </c>
    </row>
    <row r="7090" spans="1:4" x14ac:dyDescent="0.2">
      <c r="A7090">
        <v>7029</v>
      </c>
      <c r="B7090" s="138">
        <f>'Expenditures 15-22'!K252</f>
        <v>1962</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86473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86473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900</v>
      </c>
      <c r="D7153" s="2" t="str">
        <f t="shared" si="110"/>
        <v>Error?</v>
      </c>
    </row>
    <row r="7154" spans="1:4" x14ac:dyDescent="0.2">
      <c r="A7154">
        <v>7093</v>
      </c>
      <c r="B7154" s="138">
        <f>'Expenditures 15-22'!C323</f>
        <v>90238</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52919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2870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146027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9639</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9639</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52059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19212</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71271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21074</v>
      </c>
      <c r="D7192" s="2" t="str">
        <f t="shared" si="111"/>
        <v>Error?</v>
      </c>
    </row>
    <row r="7193" spans="1:4" x14ac:dyDescent="0.2">
      <c r="A7193">
        <v>7132</v>
      </c>
      <c r="B7193" s="138">
        <f>'Expenditures 15-22'!F327</f>
        <v>292</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21366</v>
      </c>
      <c r="D7198" s="2" t="str">
        <f t="shared" si="111"/>
        <v>Error?</v>
      </c>
    </row>
    <row r="7199" spans="1:4" x14ac:dyDescent="0.2">
      <c r="A7199">
        <v>7138</v>
      </c>
      <c r="B7199" s="138">
        <f>'Expenditures 15-22'!C330</f>
        <v>90238</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353922</v>
      </c>
      <c r="D7201" s="2" t="str">
        <f t="shared" si="111"/>
        <v>Error?</v>
      </c>
    </row>
    <row r="7202" spans="1:4" x14ac:dyDescent="0.2">
      <c r="A7202">
        <v>7141</v>
      </c>
      <c r="B7202" s="138">
        <f>'Expenditures 15-22'!F330</f>
        <v>292</v>
      </c>
      <c r="D7202" s="2" t="str">
        <f t="shared" si="111"/>
        <v>Error?</v>
      </c>
    </row>
    <row r="7203" spans="1:4" x14ac:dyDescent="0.2">
      <c r="A7203">
        <v>7142</v>
      </c>
      <c r="B7203" s="138">
        <f>'Expenditures 15-22'!G330</f>
        <v>22082</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466534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90238</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353922</v>
      </c>
      <c r="D7218" s="2" t="str">
        <f t="shared" si="111"/>
        <v>Error?</v>
      </c>
    </row>
    <row r="7219" spans="1:4" x14ac:dyDescent="0.2">
      <c r="A7219">
        <v>7158</v>
      </c>
      <c r="B7219" s="138">
        <f>'Expenditures 15-22'!F342</f>
        <v>292</v>
      </c>
      <c r="D7219" s="2" t="str">
        <f t="shared" si="111"/>
        <v>Error?</v>
      </c>
    </row>
    <row r="7220" spans="1:4" x14ac:dyDescent="0.2">
      <c r="A7220">
        <v>7159</v>
      </c>
      <c r="B7220" s="138">
        <f>'Expenditures 15-22'!G342</f>
        <v>22082</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466534</v>
      </c>
      <c r="D7224" s="2" t="str">
        <f t="shared" si="111"/>
        <v>Error?</v>
      </c>
    </row>
    <row r="7225" spans="1:4" x14ac:dyDescent="0.2">
      <c r="A7225">
        <v>7164</v>
      </c>
      <c r="B7225" s="138">
        <f>'Expenditures 15-22'!K343</f>
        <v>151141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100264</v>
      </c>
      <c r="D7251" s="2" t="str">
        <f t="shared" si="112"/>
        <v>Error?</v>
      </c>
    </row>
    <row r="7252" spans="1:4" x14ac:dyDescent="0.2">
      <c r="A7252">
        <f t="shared" si="113"/>
        <v>7191</v>
      </c>
      <c r="B7252" s="138">
        <f>'Expenditures 15-22'!D9</f>
        <v>24728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565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50455</v>
      </c>
      <c r="D7263" s="2" t="str">
        <f t="shared" si="112"/>
        <v>Error?</v>
      </c>
    </row>
    <row r="7264" spans="1:4" x14ac:dyDescent="0.2">
      <c r="A7264">
        <f t="shared" si="113"/>
        <v>7203</v>
      </c>
      <c r="B7264" s="138">
        <f>'Expenditures 15-22'!D17</f>
        <v>964</v>
      </c>
      <c r="D7264" s="2" t="str">
        <f t="shared" si="112"/>
        <v>Error?</v>
      </c>
    </row>
    <row r="7265" spans="1:5" x14ac:dyDescent="0.2">
      <c r="A7265">
        <f t="shared" si="113"/>
        <v>7204</v>
      </c>
      <c r="B7265" s="138">
        <f>'Expenditures 15-22'!E17</f>
        <v>1530</v>
      </c>
      <c r="D7265" s="2" t="str">
        <f t="shared" si="112"/>
        <v>Error?</v>
      </c>
    </row>
    <row r="7266" spans="1:5" x14ac:dyDescent="0.2">
      <c r="A7266">
        <f t="shared" si="113"/>
        <v>7205</v>
      </c>
      <c r="B7266" s="138">
        <f>'Expenditures 15-22'!F17</f>
        <v>1086</v>
      </c>
      <c r="D7266" s="2" t="str">
        <f t="shared" si="112"/>
        <v>Error?</v>
      </c>
    </row>
    <row r="7267" spans="1:5" x14ac:dyDescent="0.2">
      <c r="A7267">
        <f t="shared" si="113"/>
        <v>7206</v>
      </c>
      <c r="B7267" s="138">
        <f>'Expenditures 15-22'!G17</f>
        <v>16220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4052</v>
      </c>
      <c r="D7615" s="2" t="str">
        <f t="shared" ref="D7615:D7678" si="124">IF(ISBLANK(B7615),"OK",IF(A7615-B7615=0,"OK","Error?"))</f>
        <v>Error?</v>
      </c>
      <c r="E7615" s="2" t="s">
        <v>19</v>
      </c>
    </row>
    <row r="7616" spans="1:5" x14ac:dyDescent="0.2">
      <c r="A7616">
        <f t="shared" si="123"/>
        <v>7555</v>
      </c>
      <c r="B7616" s="138">
        <f>'Cap Outlay Deprec 26'!D14</f>
        <v>19212</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23264</v>
      </c>
      <c r="D7618" s="2" t="str">
        <f t="shared" si="124"/>
        <v>Error?</v>
      </c>
      <c r="E7618" s="2" t="s">
        <v>19</v>
      </c>
    </row>
    <row r="7619" spans="1:5" x14ac:dyDescent="0.2">
      <c r="A7619">
        <f t="shared" si="123"/>
        <v>7558</v>
      </c>
      <c r="B7619" s="138">
        <f>'Cap Outlay Deprec 26'!H14</f>
        <v>2702</v>
      </c>
      <c r="D7619" s="2" t="str">
        <f t="shared" si="124"/>
        <v>Error?</v>
      </c>
      <c r="E7619" s="2" t="s">
        <v>19</v>
      </c>
    </row>
    <row r="7620" spans="1:5" x14ac:dyDescent="0.2">
      <c r="A7620">
        <f t="shared" si="123"/>
        <v>7559</v>
      </c>
      <c r="B7620" s="138">
        <f>'Cap Outlay Deprec 26'!I14</f>
        <v>7754</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10456</v>
      </c>
      <c r="D7622" s="2" t="str">
        <f t="shared" si="124"/>
        <v>Error?</v>
      </c>
      <c r="E7622" s="2" t="s">
        <v>19</v>
      </c>
    </row>
    <row r="7623" spans="1:5" x14ac:dyDescent="0.2">
      <c r="A7623">
        <f t="shared" si="123"/>
        <v>7562</v>
      </c>
      <c r="B7623" s="138">
        <f>'Cap Outlay Deprec 26'!L14</f>
        <v>12808</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918503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20831</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1647</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168800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1756</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96730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96730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34128</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34128</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18945</v>
      </c>
      <c r="D7712" s="2" t="str">
        <f t="shared" si="126"/>
        <v>Error?</v>
      </c>
      <c r="E7712" s="2" t="s">
        <v>827</v>
      </c>
    </row>
    <row r="7713" spans="1:6" x14ac:dyDescent="0.2">
      <c r="A7713">
        <v>7652</v>
      </c>
      <c r="B7713" s="138">
        <f>'Rest Tax Levies-Tort Im 25'!J8</f>
        <v>311897</v>
      </c>
      <c r="D7713" s="2" t="str">
        <f t="shared" si="126"/>
        <v>Error?</v>
      </c>
      <c r="E7713" s="2" t="s">
        <v>827</v>
      </c>
    </row>
    <row r="7714" spans="1:6" x14ac:dyDescent="0.2">
      <c r="A7714">
        <v>7653</v>
      </c>
      <c r="B7714" s="138">
        <f>'Rest Tax Levies-Tort Im 25'!K9</f>
        <v>21662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311897</v>
      </c>
      <c r="D7718" s="2" t="str">
        <f t="shared" si="126"/>
        <v>Error?</v>
      </c>
      <c r="E7718" s="2" t="s">
        <v>827</v>
      </c>
    </row>
    <row r="7719" spans="1:6" x14ac:dyDescent="0.2">
      <c r="A7719">
        <v>7658</v>
      </c>
      <c r="B7719" s="138">
        <f>'Rest Tax Levies-Tort Im 25'!K12</f>
        <v>40607</v>
      </c>
      <c r="D7719" s="2" t="str">
        <f t="shared" si="126"/>
        <v>Error?</v>
      </c>
      <c r="E7719" s="2" t="s">
        <v>827</v>
      </c>
    </row>
    <row r="7720" spans="1:6" x14ac:dyDescent="0.2">
      <c r="A7720">
        <v>7659</v>
      </c>
      <c r="B7720" s="138">
        <f>'Rest Tax Levies-Tort Im 25'!H14</f>
        <v>86892</v>
      </c>
      <c r="D7720" s="2" t="str">
        <f t="shared" si="126"/>
        <v>Error?</v>
      </c>
      <c r="E7720" s="2" t="s">
        <v>827</v>
      </c>
    </row>
    <row r="7721" spans="1:6" x14ac:dyDescent="0.2">
      <c r="A7721">
        <v>7660</v>
      </c>
      <c r="B7721" s="138">
        <f>'Rest Tax Levies-Tort Im 25'!K14</f>
        <v>40607</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321062</v>
      </c>
      <c r="D7731" s="2" t="str">
        <f t="shared" si="126"/>
        <v>Error?</v>
      </c>
      <c r="E7731" s="2" t="s">
        <v>827</v>
      </c>
    </row>
    <row r="7732" spans="1:6" x14ac:dyDescent="0.2">
      <c r="A7732">
        <v>7671</v>
      </c>
      <c r="B7732" s="138">
        <f>'Rest Tax Levies-Tort Im 25'!J24</f>
        <v>311897</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311897</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400000</v>
      </c>
      <c r="D7748" s="2" t="str">
        <f t="shared" si="127"/>
        <v>Error?</v>
      </c>
      <c r="E7748" s="4" t="s">
        <v>1333</v>
      </c>
    </row>
    <row r="7749" spans="1:6" x14ac:dyDescent="0.2">
      <c r="A7749">
        <v>7688</v>
      </c>
      <c r="B7749" s="138">
        <f>'Acct Summary 7-8'!D25</f>
        <v>600000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0</v>
      </c>
      <c r="D7797" s="2" t="str">
        <f t="shared" si="127"/>
        <v>Error?</v>
      </c>
      <c r="E7797" s="4" t="s">
        <v>1900</v>
      </c>
    </row>
    <row r="7798" spans="1:5" x14ac:dyDescent="0.2">
      <c r="A7798">
        <v>7737</v>
      </c>
      <c r="B7798" s="138">
        <f>'Contracts Paid in CY 29'!F141</f>
        <v>0</v>
      </c>
      <c r="D7798" s="2" t="str">
        <f t="shared" si="127"/>
        <v>Error?</v>
      </c>
      <c r="E7798" s="4" t="s">
        <v>1900</v>
      </c>
    </row>
    <row r="7799" spans="1:5" x14ac:dyDescent="0.2">
      <c r="A7799">
        <v>7738</v>
      </c>
      <c r="B7799" s="138">
        <f>'Contracts Paid in CY 29'!G141</f>
        <v>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0" zoomScale="110" zoomScaleNormal="110" workbookViewId="0">
      <selection activeCell="B47" sqref="B47"/>
    </sheetView>
  </sheetViews>
  <sheetFormatPr defaultColWidth="9.140625" defaultRowHeight="12.75" x14ac:dyDescent="0.2"/>
  <cols>
    <col min="1" max="1" width="7.85546875" style="1177" customWidth="1"/>
    <col min="2" max="2" width="2.28515625" style="1173" customWidth="1"/>
    <col min="3" max="3" width="9.140625" style="1177"/>
    <col min="4" max="4" width="15"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500" t="s">
        <v>1191</v>
      </c>
      <c r="B2" s="2500"/>
      <c r="C2" s="2500"/>
      <c r="D2" s="2500"/>
      <c r="E2" s="2500"/>
      <c r="F2" s="2500"/>
      <c r="G2" s="2500"/>
      <c r="H2" s="2500"/>
      <c r="I2" s="2500"/>
      <c r="J2" s="2500"/>
      <c r="K2" s="2500"/>
      <c r="L2" s="2500"/>
    </row>
    <row r="3" spans="1:29" ht="13.5" customHeight="1" x14ac:dyDescent="0.2">
      <c r="A3" s="2531" t="s">
        <v>1190</v>
      </c>
      <c r="B3" s="2531"/>
      <c r="C3" s="2531"/>
      <c r="D3" s="2531"/>
      <c r="E3" s="2531"/>
      <c r="F3" s="2531"/>
      <c r="G3" s="2531"/>
      <c r="H3" s="2531"/>
      <c r="I3" s="2531"/>
      <c r="J3" s="2531"/>
      <c r="K3" s="2531"/>
      <c r="L3" s="2531"/>
    </row>
    <row r="4" spans="1:29" ht="13.5" customHeight="1" x14ac:dyDescent="0.2">
      <c r="A4" s="2500" t="s">
        <v>1985</v>
      </c>
      <c r="B4" s="2521"/>
      <c r="C4" s="2521"/>
      <c r="D4" s="2521"/>
      <c r="E4" s="2521"/>
      <c r="F4" s="2521"/>
      <c r="G4" s="2521"/>
      <c r="H4" s="2521"/>
      <c r="I4" s="2521"/>
      <c r="J4" s="2521"/>
      <c r="K4" s="2521"/>
      <c r="L4" s="2521"/>
    </row>
    <row r="5" spans="1:29" ht="29.85" customHeight="1" x14ac:dyDescent="0.2">
      <c r="A5" s="1932"/>
      <c r="B5" s="1179"/>
      <c r="C5" s="1932"/>
      <c r="D5" s="1932"/>
      <c r="E5" s="1932"/>
      <c r="F5" s="1932"/>
      <c r="G5" s="1932"/>
      <c r="H5" s="1932"/>
      <c r="I5" s="1932"/>
      <c r="J5" s="1932"/>
      <c r="K5" s="1932"/>
      <c r="L5" s="1932"/>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522" t="s">
        <v>2071</v>
      </c>
      <c r="B7" s="2523"/>
      <c r="C7" s="2523"/>
      <c r="D7" s="2524"/>
      <c r="E7" s="2525" t="s">
        <v>2069</v>
      </c>
      <c r="F7" s="2526"/>
      <c r="G7" s="2532" t="s">
        <v>2065</v>
      </c>
      <c r="H7" s="2533"/>
      <c r="I7" s="2533"/>
      <c r="J7" s="2533"/>
      <c r="K7" s="2533"/>
      <c r="L7" s="2534"/>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535"/>
      <c r="B9" s="2536"/>
      <c r="C9" s="2536"/>
      <c r="D9" s="2536"/>
      <c r="E9" s="2536"/>
      <c r="F9" s="2537"/>
      <c r="G9" s="2506" t="s">
        <v>2068</v>
      </c>
      <c r="H9" s="2529"/>
      <c r="I9" s="2529"/>
      <c r="J9" s="2529"/>
      <c r="K9" s="2529"/>
      <c r="L9" s="2530"/>
    </row>
    <row r="10" spans="1:29" ht="13.5" customHeight="1" x14ac:dyDescent="0.2">
      <c r="A10" s="2512" t="s">
        <v>2076</v>
      </c>
      <c r="B10" s="2513"/>
      <c r="C10" s="2513"/>
      <c r="D10" s="2513"/>
      <c r="E10" s="2513"/>
      <c r="F10" s="2514"/>
      <c r="G10" s="2506" t="s">
        <v>2060</v>
      </c>
      <c r="H10" s="2507"/>
      <c r="I10" s="2507"/>
      <c r="J10" s="2507"/>
      <c r="K10" s="2507"/>
      <c r="L10" s="2508"/>
    </row>
    <row r="11" spans="1:29" ht="13.5" customHeight="1" x14ac:dyDescent="0.2">
      <c r="A11" s="1181" t="s">
        <v>1519</v>
      </c>
      <c r="B11" s="1182"/>
      <c r="C11" s="1183"/>
      <c r="D11" s="1188"/>
      <c r="E11" s="1183"/>
      <c r="F11" s="1187"/>
      <c r="G11" s="2506" t="s">
        <v>2061</v>
      </c>
      <c r="H11" s="2507"/>
      <c r="I11" s="2507"/>
      <c r="J11" s="2507"/>
      <c r="K11" s="2507"/>
      <c r="L11" s="2508"/>
    </row>
    <row r="12" spans="1:29" ht="13.5" customHeight="1" x14ac:dyDescent="0.2">
      <c r="A12" s="2515" t="s">
        <v>1518</v>
      </c>
      <c r="B12" s="2516"/>
      <c r="C12" s="2516"/>
      <c r="D12" s="2516"/>
      <c r="E12" s="2516"/>
      <c r="F12" s="2517"/>
      <c r="G12" s="2509"/>
      <c r="H12" s="2510"/>
      <c r="I12" s="2510"/>
      <c r="J12" s="2510"/>
      <c r="K12" s="2510"/>
      <c r="L12" s="2511"/>
    </row>
    <row r="13" spans="1:29" ht="13.5" customHeight="1" x14ac:dyDescent="0.2">
      <c r="A13" s="2506"/>
      <c r="B13" s="2507"/>
      <c r="C13" s="2507"/>
      <c r="D13" s="2507"/>
      <c r="E13" s="2507"/>
      <c r="F13" s="2508"/>
      <c r="G13" s="2501" t="s">
        <v>1520</v>
      </c>
      <c r="H13" s="2502"/>
      <c r="I13" s="2518" t="s">
        <v>2075</v>
      </c>
      <c r="J13" s="2519"/>
      <c r="K13" s="2519"/>
      <c r="L13" s="2520"/>
    </row>
    <row r="14" spans="1:29" ht="13.5" customHeight="1" x14ac:dyDescent="0.2">
      <c r="A14" s="2506" t="s">
        <v>2072</v>
      </c>
      <c r="B14" s="2507"/>
      <c r="C14" s="2507"/>
      <c r="D14" s="2507"/>
      <c r="E14" s="2507"/>
      <c r="F14" s="2508"/>
      <c r="G14" s="1192" t="s">
        <v>1185</v>
      </c>
      <c r="H14" s="1190"/>
      <c r="I14" s="1190"/>
      <c r="J14" s="1190"/>
      <c r="K14" s="1190"/>
      <c r="L14" s="1191"/>
    </row>
    <row r="15" spans="1:29" ht="13.5" customHeight="1" x14ac:dyDescent="0.2">
      <c r="A15" s="2506" t="s">
        <v>2165</v>
      </c>
      <c r="B15" s="2507"/>
      <c r="C15" s="2507"/>
      <c r="D15" s="2507"/>
      <c r="E15" s="2507"/>
      <c r="F15" s="2508"/>
      <c r="G15" s="2503" t="s">
        <v>2199</v>
      </c>
      <c r="H15" s="2504"/>
      <c r="I15" s="2504"/>
      <c r="J15" s="2504"/>
      <c r="K15" s="2504"/>
      <c r="L15" s="2505"/>
    </row>
    <row r="16" spans="1:29" ht="12.2" customHeight="1" x14ac:dyDescent="0.2">
      <c r="A16" s="2528">
        <v>61530</v>
      </c>
      <c r="B16" s="2529"/>
      <c r="C16" s="2529"/>
      <c r="D16" s="2529"/>
      <c r="E16" s="2529"/>
      <c r="F16" s="2530"/>
      <c r="G16" s="2538"/>
      <c r="H16" s="2539"/>
      <c r="I16" s="2539"/>
      <c r="J16" s="2539"/>
      <c r="K16" s="2539"/>
      <c r="L16" s="2540"/>
    </row>
    <row r="17" spans="1:13" ht="12.2" customHeight="1" x14ac:dyDescent="0.2">
      <c r="A17" s="2541"/>
      <c r="B17" s="2542"/>
      <c r="C17" s="2542"/>
      <c r="D17" s="2542"/>
      <c r="E17" s="2542"/>
      <c r="F17" s="2543"/>
      <c r="G17" s="1192" t="s">
        <v>1184</v>
      </c>
      <c r="H17" s="1190"/>
      <c r="I17" s="1190"/>
      <c r="J17" s="1190"/>
      <c r="K17" s="1194" t="s">
        <v>1183</v>
      </c>
      <c r="L17" s="1187"/>
      <c r="M17" s="1180"/>
    </row>
    <row r="18" spans="1:13" ht="12.2" customHeight="1" x14ac:dyDescent="0.2">
      <c r="A18" s="2512"/>
      <c r="B18" s="2513"/>
      <c r="C18" s="2513"/>
      <c r="D18" s="2513"/>
      <c r="E18" s="2513"/>
      <c r="F18" s="2514"/>
      <c r="G18" s="2522" t="s">
        <v>2063</v>
      </c>
      <c r="H18" s="2523"/>
      <c r="I18" s="2523"/>
      <c r="J18" s="2523"/>
      <c r="K18" s="2522" t="s">
        <v>2064</v>
      </c>
      <c r="L18" s="2527"/>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1697</v>
      </c>
    </row>
    <row r="22" spans="1:13" ht="12.2" customHeight="1" x14ac:dyDescent="0.2">
      <c r="A22" s="1197"/>
    </row>
    <row r="23" spans="1:13" ht="12.2" customHeight="1" x14ac:dyDescent="0.2">
      <c r="A23" s="1197"/>
      <c r="B23" s="1198" t="s">
        <v>2066</v>
      </c>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t="s">
        <v>2066</v>
      </c>
      <c r="C26" s="1199" t="s">
        <v>1698</v>
      </c>
    </row>
    <row r="27" spans="1:13" s="1195" customFormat="1" ht="9" customHeight="1" x14ac:dyDescent="0.2">
      <c r="B27" s="1200"/>
      <c r="C27" s="1199"/>
    </row>
    <row r="28" spans="1:13" s="1195" customFormat="1" ht="12.2" customHeight="1" x14ac:dyDescent="0.2">
      <c r="A28" s="1202"/>
      <c r="B28" s="1198" t="s">
        <v>2066</v>
      </c>
      <c r="C28" s="1199" t="s">
        <v>1699</v>
      </c>
    </row>
    <row r="29" spans="1:13" s="1195" customFormat="1" ht="9" customHeight="1" x14ac:dyDescent="0.2">
      <c r="A29" s="1202"/>
      <c r="B29" s="1200"/>
      <c r="C29" s="1199"/>
    </row>
    <row r="30" spans="1:13" s="1195" customFormat="1" ht="12.2" customHeight="1" x14ac:dyDescent="0.2">
      <c r="B30" s="1198" t="s">
        <v>2066</v>
      </c>
      <c r="C30" s="1199" t="s">
        <v>1561</v>
      </c>
      <c r="D30" s="1193"/>
      <c r="E30" s="1193"/>
    </row>
    <row r="31" spans="1:13" s="1195" customFormat="1" ht="9" customHeight="1" x14ac:dyDescent="0.2">
      <c r="B31" s="1200"/>
      <c r="C31" s="1199"/>
      <c r="D31" s="1193"/>
      <c r="E31" s="1193"/>
    </row>
    <row r="32" spans="1:13" s="1195" customFormat="1" ht="12.2" customHeight="1" x14ac:dyDescent="0.2">
      <c r="B32" s="1198" t="s">
        <v>2066</v>
      </c>
      <c r="C32" s="1199" t="s">
        <v>1562</v>
      </c>
      <c r="D32" s="1193"/>
      <c r="E32" s="1193"/>
    </row>
    <row r="33" spans="1:8" s="1195" customFormat="1" ht="10.9" customHeight="1" x14ac:dyDescent="0.2">
      <c r="B33" s="1200"/>
      <c r="C33" s="1203" t="s">
        <v>1700</v>
      </c>
      <c r="D33" s="1193"/>
      <c r="E33" s="1193"/>
    </row>
    <row r="34" spans="1:8" ht="9" customHeight="1" x14ac:dyDescent="0.2">
      <c r="B34" s="1200"/>
      <c r="C34" s="1203"/>
    </row>
    <row r="35" spans="1:8" s="1195" customFormat="1" ht="13.5" customHeight="1" x14ac:dyDescent="0.2">
      <c r="B35" s="1198" t="s">
        <v>2066</v>
      </c>
      <c r="C35" s="1199" t="s">
        <v>1563</v>
      </c>
    </row>
    <row r="36" spans="1:8" s="1195" customFormat="1" ht="10.9" customHeight="1" x14ac:dyDescent="0.2">
      <c r="B36" s="1200"/>
      <c r="C36" s="1203" t="s">
        <v>1564</v>
      </c>
    </row>
    <row r="37" spans="1:8" ht="9" customHeight="1" x14ac:dyDescent="0.2">
      <c r="B37" s="1200"/>
      <c r="C37" s="1203"/>
    </row>
    <row r="38" spans="1:8" s="1195" customFormat="1" ht="12.2" customHeight="1" x14ac:dyDescent="0.2">
      <c r="B38" s="1198" t="s">
        <v>2066</v>
      </c>
      <c r="C38" s="1199" t="s">
        <v>1565</v>
      </c>
    </row>
    <row r="39" spans="1:8" ht="9" customHeight="1" x14ac:dyDescent="0.2">
      <c r="B39" s="1200"/>
      <c r="C39" s="1203"/>
    </row>
    <row r="40" spans="1:8" s="1195" customFormat="1" ht="13.5" customHeight="1" x14ac:dyDescent="0.2">
      <c r="B40" s="1198" t="s">
        <v>2066</v>
      </c>
      <c r="C40" s="1199" t="s">
        <v>1566</v>
      </c>
    </row>
    <row r="41" spans="1:8" ht="9" customHeight="1" x14ac:dyDescent="0.2">
      <c r="A41" s="1204"/>
      <c r="B41" s="1200"/>
      <c r="C41" s="1203"/>
    </row>
    <row r="42" spans="1:8" s="1195" customFormat="1" ht="13.5" customHeight="1" x14ac:dyDescent="0.2">
      <c r="B42" s="1198" t="s">
        <v>2066</v>
      </c>
      <c r="C42" s="1199" t="s">
        <v>1832</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t="s">
        <v>2162</v>
      </c>
      <c r="C46" s="1206" t="s">
        <v>1567</v>
      </c>
      <c r="D46" s="1193"/>
      <c r="E46" s="1193"/>
      <c r="F46" s="1193"/>
      <c r="G46" s="1193"/>
      <c r="H46" s="1193"/>
    </row>
    <row r="47" spans="1:8" ht="9" customHeight="1" x14ac:dyDescent="0.2"/>
    <row r="48" spans="1:8" ht="12.2" customHeight="1" x14ac:dyDescent="0.2">
      <c r="B48" s="2058"/>
      <c r="C48" s="1207" t="s">
        <v>1568</v>
      </c>
    </row>
    <row r="49" spans="1:12" ht="9" customHeight="1" x14ac:dyDescent="0.2"/>
    <row r="50" spans="1:12" ht="6" customHeight="1" x14ac:dyDescent="0.2">
      <c r="C50" s="1207"/>
    </row>
    <row r="51" spans="1:12" ht="12.2" customHeight="1" x14ac:dyDescent="0.2">
      <c r="A51" s="2057"/>
    </row>
    <row r="52" spans="1:12" ht="12.2" customHeight="1" x14ac:dyDescent="0.2">
      <c r="A52" s="1205"/>
    </row>
    <row r="53" spans="1:12" ht="12.2" customHeight="1" x14ac:dyDescent="0.2"/>
    <row r="54" spans="1:12" ht="12.2" customHeight="1" x14ac:dyDescent="0.2"/>
    <row r="55" spans="1:12" ht="12.2" customHeight="1" x14ac:dyDescent="0.2"/>
    <row r="56" spans="1:12" ht="12.2" customHeight="1" x14ac:dyDescent="0.2">
      <c r="A56" s="1208"/>
    </row>
    <row r="59" spans="1:12" ht="12.75" customHeight="1" x14ac:dyDescent="0.2"/>
    <row r="60" spans="1:12" ht="36" customHeight="1" x14ac:dyDescent="0.2">
      <c r="L60" s="1175"/>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scale="98"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A10" zoomScale="110" zoomScaleNormal="110" workbookViewId="0">
      <selection activeCell="B47" sqref="B47"/>
    </sheetView>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500" t="s">
        <v>1191</v>
      </c>
      <c r="B2" s="2500"/>
      <c r="C2" s="2500"/>
      <c r="D2" s="2500"/>
      <c r="E2" s="2500"/>
      <c r="F2" s="2500"/>
      <c r="G2" s="2500"/>
      <c r="H2" s="2500"/>
      <c r="I2" s="2500"/>
      <c r="J2" s="2500"/>
      <c r="K2" s="2500"/>
      <c r="L2" s="2500"/>
    </row>
    <row r="3" spans="1:29" ht="13.5" customHeight="1" x14ac:dyDescent="0.2">
      <c r="A3" s="2531" t="s">
        <v>1190</v>
      </c>
      <c r="B3" s="2531"/>
      <c r="C3" s="2531"/>
      <c r="D3" s="2531"/>
      <c r="E3" s="2531"/>
      <c r="F3" s="2531"/>
      <c r="G3" s="2531"/>
      <c r="H3" s="2531"/>
      <c r="I3" s="2531"/>
      <c r="J3" s="2531"/>
      <c r="K3" s="2531"/>
      <c r="L3" s="2531"/>
    </row>
    <row r="4" spans="1:29" ht="13.5" customHeight="1" x14ac:dyDescent="0.2">
      <c r="A4" s="2500" t="s">
        <v>1985</v>
      </c>
      <c r="B4" s="2521"/>
      <c r="C4" s="2521"/>
      <c r="D4" s="2521"/>
      <c r="E4" s="2521"/>
      <c r="F4" s="2521"/>
      <c r="G4" s="2521"/>
      <c r="H4" s="2521"/>
      <c r="I4" s="2521"/>
      <c r="J4" s="2521"/>
      <c r="K4" s="2521"/>
      <c r="L4" s="2521"/>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522" t="str">
        <f>COVER!A17</f>
        <v>Eureka CUD 140</v>
      </c>
      <c r="B7" s="2523"/>
      <c r="C7" s="2523"/>
      <c r="D7" s="2524"/>
      <c r="E7" s="2525">
        <f>COVER!A13</f>
        <v>53102140026</v>
      </c>
      <c r="F7" s="2526"/>
      <c r="G7" s="2532" t="str">
        <f>COVER!T23</f>
        <v>066-005027</v>
      </c>
      <c r="H7" s="2533"/>
      <c r="I7" s="2533"/>
      <c r="J7" s="2533"/>
      <c r="K7" s="2533"/>
      <c r="L7" s="2534"/>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535"/>
      <c r="B9" s="2536"/>
      <c r="C9" s="2536"/>
      <c r="D9" s="2536"/>
      <c r="E9" s="2536"/>
      <c r="F9" s="2537"/>
      <c r="G9" s="2506" t="str">
        <f>COVER!T13</f>
        <v>Gorenz and Associates, Ltd.</v>
      </c>
      <c r="H9" s="2529"/>
      <c r="I9" s="2529"/>
      <c r="J9" s="2529"/>
      <c r="K9" s="2529"/>
      <c r="L9" s="2530"/>
    </row>
    <row r="10" spans="1:29" ht="13.5" customHeight="1" x14ac:dyDescent="0.2">
      <c r="A10" s="2512" t="str">
        <f>COVER!A38</f>
        <v>Robert Bardwell</v>
      </c>
      <c r="B10" s="2513"/>
      <c r="C10" s="2513"/>
      <c r="D10" s="2513"/>
      <c r="E10" s="2513"/>
      <c r="F10" s="2514"/>
      <c r="G10" s="2506" t="str">
        <f>COVER!T17</f>
        <v>4200 N Knoxville Ave</v>
      </c>
      <c r="H10" s="2507"/>
      <c r="I10" s="2507"/>
      <c r="J10" s="2507"/>
      <c r="K10" s="2507"/>
      <c r="L10" s="2508"/>
    </row>
    <row r="11" spans="1:29" ht="13.5" customHeight="1" x14ac:dyDescent="0.2">
      <c r="A11" s="1181" t="s">
        <v>1519</v>
      </c>
      <c r="B11" s="1182"/>
      <c r="C11" s="1183"/>
      <c r="D11" s="1188"/>
      <c r="E11" s="1183"/>
      <c r="F11" s="1187"/>
      <c r="G11" s="2506" t="str">
        <f>COVER!T19</f>
        <v>Peoria</v>
      </c>
      <c r="H11" s="2507"/>
      <c r="I11" s="2507"/>
      <c r="J11" s="2507"/>
      <c r="K11" s="2507"/>
      <c r="L11" s="2508"/>
    </row>
    <row r="12" spans="1:29" ht="13.5" customHeight="1" x14ac:dyDescent="0.2">
      <c r="A12" s="2515" t="s">
        <v>1518</v>
      </c>
      <c r="B12" s="2516"/>
      <c r="C12" s="2516"/>
      <c r="D12" s="2516"/>
      <c r="E12" s="2516"/>
      <c r="F12" s="2517"/>
      <c r="G12" s="2509"/>
      <c r="H12" s="2510"/>
      <c r="I12" s="2510"/>
      <c r="J12" s="2510"/>
      <c r="K12" s="2510"/>
      <c r="L12" s="2511"/>
    </row>
    <row r="13" spans="1:29" ht="13.5" customHeight="1" x14ac:dyDescent="0.2">
      <c r="A13" s="2506"/>
      <c r="B13" s="2507"/>
      <c r="C13" s="2507"/>
      <c r="D13" s="2507"/>
      <c r="E13" s="2507"/>
      <c r="F13" s="2508"/>
      <c r="G13" s="2501" t="s">
        <v>1520</v>
      </c>
      <c r="H13" s="2502"/>
      <c r="I13" s="2518" t="str">
        <f>COVER!T25</f>
        <v>tcustis@gorenzcpa.com</v>
      </c>
      <c r="J13" s="2519"/>
      <c r="K13" s="2519"/>
      <c r="L13" s="2520"/>
    </row>
    <row r="14" spans="1:29" ht="13.5" customHeight="1" x14ac:dyDescent="0.2">
      <c r="A14" s="2506" t="str">
        <f>COVER!A19</f>
        <v>109 W. Cruger Ave.</v>
      </c>
      <c r="B14" s="2507"/>
      <c r="C14" s="2507"/>
      <c r="D14" s="2507"/>
      <c r="E14" s="2507"/>
      <c r="F14" s="2508"/>
      <c r="G14" s="1192" t="s">
        <v>1185</v>
      </c>
      <c r="H14" s="1190"/>
      <c r="I14" s="1190"/>
      <c r="J14" s="1190"/>
      <c r="K14" s="1190"/>
      <c r="L14" s="1191"/>
    </row>
    <row r="15" spans="1:29" ht="13.5" customHeight="1" x14ac:dyDescent="0.2">
      <c r="A15" s="2506" t="str">
        <f>COVER!A21</f>
        <v>Eureka</v>
      </c>
      <c r="B15" s="2507"/>
      <c r="C15" s="2507"/>
      <c r="D15" s="2507"/>
      <c r="E15" s="2507"/>
      <c r="F15" s="2508"/>
      <c r="G15" s="2503" t="str">
        <f>COVER!T15</f>
        <v>Tim C. Custis, CPA</v>
      </c>
      <c r="H15" s="2504"/>
      <c r="I15" s="2504"/>
      <c r="J15" s="2504"/>
      <c r="K15" s="2504"/>
      <c r="L15" s="2505"/>
    </row>
    <row r="16" spans="1:29" ht="12.2" customHeight="1" x14ac:dyDescent="0.2">
      <c r="A16" s="2544">
        <f>COVER!A25</f>
        <v>61530</v>
      </c>
      <c r="B16" s="2542"/>
      <c r="C16" s="2542"/>
      <c r="D16" s="2542"/>
      <c r="E16" s="2542"/>
      <c r="F16" s="2543"/>
      <c r="G16" s="2538"/>
      <c r="H16" s="2539"/>
      <c r="I16" s="2539"/>
      <c r="J16" s="2539"/>
      <c r="K16" s="2539"/>
      <c r="L16" s="2540"/>
    </row>
    <row r="17" spans="1:13" ht="12.2" customHeight="1" x14ac:dyDescent="0.2">
      <c r="A17" s="2541"/>
      <c r="B17" s="2542"/>
      <c r="C17" s="2542"/>
      <c r="D17" s="2542"/>
      <c r="E17" s="2542"/>
      <c r="F17" s="2543"/>
      <c r="G17" s="1192" t="s">
        <v>1184</v>
      </c>
      <c r="H17" s="1190"/>
      <c r="I17" s="1190"/>
      <c r="J17" s="1190"/>
      <c r="K17" s="1194" t="s">
        <v>1183</v>
      </c>
      <c r="L17" s="1187"/>
      <c r="M17" s="1180"/>
    </row>
    <row r="18" spans="1:13" ht="12.2" customHeight="1" x14ac:dyDescent="0.2">
      <c r="A18" s="2512"/>
      <c r="B18" s="2513"/>
      <c r="C18" s="2513"/>
      <c r="D18" s="2513"/>
      <c r="E18" s="2513"/>
      <c r="F18" s="2514"/>
      <c r="G18" s="2522" t="str">
        <f>COVER!T21</f>
        <v>309-685-7621</v>
      </c>
      <c r="H18" s="2523"/>
      <c r="I18" s="2523"/>
      <c r="J18" s="2523"/>
      <c r="K18" s="2522" t="str">
        <f>COVER!X21</f>
        <v>309-685-4758</v>
      </c>
      <c r="L18" s="2527"/>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1697</v>
      </c>
    </row>
    <row r="22" spans="1:13" ht="12.2" customHeight="1" x14ac:dyDescent="0.2">
      <c r="A22" s="1197"/>
    </row>
    <row r="23" spans="1:13" ht="12.2" customHeight="1" x14ac:dyDescent="0.2">
      <c r="A23" s="1197"/>
      <c r="B23" s="1198" t="s">
        <v>2066</v>
      </c>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t="s">
        <v>2066</v>
      </c>
      <c r="C26" s="1199" t="s">
        <v>1698</v>
      </c>
    </row>
    <row r="27" spans="1:13" s="1195" customFormat="1" ht="9" customHeight="1" x14ac:dyDescent="0.2">
      <c r="B27" s="1200"/>
      <c r="C27" s="1199"/>
    </row>
    <row r="28" spans="1:13" s="1195" customFormat="1" ht="12.2" customHeight="1" x14ac:dyDescent="0.2">
      <c r="A28" s="1202"/>
      <c r="B28" s="1198" t="s">
        <v>2066</v>
      </c>
      <c r="C28" s="1199" t="s">
        <v>1699</v>
      </c>
    </row>
    <row r="29" spans="1:13" s="1195" customFormat="1" ht="9" customHeight="1" x14ac:dyDescent="0.2">
      <c r="A29" s="1202"/>
      <c r="B29" s="1200"/>
      <c r="C29" s="1199"/>
    </row>
    <row r="30" spans="1:13" s="1195" customFormat="1" ht="12.2" customHeight="1" x14ac:dyDescent="0.2">
      <c r="B30" s="1198" t="s">
        <v>2066</v>
      </c>
      <c r="C30" s="1199" t="s">
        <v>1561</v>
      </c>
      <c r="D30" s="1193"/>
      <c r="E30" s="1193"/>
    </row>
    <row r="31" spans="1:13" s="1195" customFormat="1" ht="9" customHeight="1" x14ac:dyDescent="0.2">
      <c r="B31" s="1200"/>
      <c r="C31" s="1199"/>
      <c r="D31" s="1193"/>
      <c r="E31" s="1193"/>
    </row>
    <row r="32" spans="1:13" s="1195" customFormat="1" ht="12.2" customHeight="1" x14ac:dyDescent="0.2">
      <c r="B32" s="1198" t="s">
        <v>2066</v>
      </c>
      <c r="C32" s="1199" t="s">
        <v>1562</v>
      </c>
      <c r="D32" s="1193"/>
      <c r="E32" s="1193"/>
    </row>
    <row r="33" spans="1:8" s="1195" customFormat="1" ht="10.9" customHeight="1" x14ac:dyDescent="0.2">
      <c r="B33" s="1200"/>
      <c r="C33" s="1203" t="s">
        <v>1700</v>
      </c>
      <c r="D33" s="1193"/>
      <c r="E33" s="1193"/>
    </row>
    <row r="34" spans="1:8" ht="9" customHeight="1" x14ac:dyDescent="0.2">
      <c r="B34" s="1200"/>
      <c r="C34" s="1203"/>
    </row>
    <row r="35" spans="1:8" s="1195" customFormat="1" ht="13.5" customHeight="1" x14ac:dyDescent="0.2">
      <c r="B35" s="1198" t="s">
        <v>2066</v>
      </c>
      <c r="C35" s="1199" t="s">
        <v>1563</v>
      </c>
    </row>
    <row r="36" spans="1:8" s="1195" customFormat="1" ht="10.9" customHeight="1" x14ac:dyDescent="0.2">
      <c r="B36" s="1200"/>
      <c r="C36" s="1203" t="s">
        <v>1564</v>
      </c>
    </row>
    <row r="37" spans="1:8" ht="9" customHeight="1" x14ac:dyDescent="0.2">
      <c r="B37" s="1200"/>
      <c r="C37" s="1203"/>
    </row>
    <row r="38" spans="1:8" s="1195" customFormat="1" ht="12.2" customHeight="1" x14ac:dyDescent="0.2">
      <c r="B38" s="1198" t="s">
        <v>2066</v>
      </c>
      <c r="C38" s="1199" t="s">
        <v>1565</v>
      </c>
    </row>
    <row r="39" spans="1:8" ht="9" customHeight="1" x14ac:dyDescent="0.2">
      <c r="B39" s="1200"/>
      <c r="C39" s="1203"/>
    </row>
    <row r="40" spans="1:8" s="1195" customFormat="1" ht="13.5" customHeight="1" x14ac:dyDescent="0.2">
      <c r="B40" s="1198" t="s">
        <v>2066</v>
      </c>
      <c r="C40" s="1199" t="s">
        <v>1566</v>
      </c>
    </row>
    <row r="41" spans="1:8" ht="9" customHeight="1" x14ac:dyDescent="0.2">
      <c r="A41" s="1204"/>
      <c r="B41" s="1200"/>
      <c r="C41" s="1203"/>
    </row>
    <row r="42" spans="1:8" s="1195" customFormat="1" ht="13.5" customHeight="1" x14ac:dyDescent="0.2">
      <c r="B42" s="1198" t="s">
        <v>2066</v>
      </c>
      <c r="C42" s="1199" t="s">
        <v>1832</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t="s">
        <v>2162</v>
      </c>
      <c r="C46" s="1206" t="s">
        <v>1567</v>
      </c>
      <c r="D46" s="1193"/>
      <c r="E46" s="1193"/>
      <c r="F46" s="1193"/>
      <c r="G46" s="1193"/>
      <c r="H46" s="1193"/>
    </row>
    <row r="47" spans="1:8" ht="9" customHeight="1" x14ac:dyDescent="0.2"/>
    <row r="48" spans="1:8" ht="12.2" customHeight="1" x14ac:dyDescent="0.2">
      <c r="B48" s="1931"/>
      <c r="C48" s="1207" t="s">
        <v>1568</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545" t="str">
        <f>'Single Audit Coverzzz'!A7</f>
        <v>Eureka CUD 140</v>
      </c>
      <c r="B1" s="2521"/>
      <c r="C1" s="2521"/>
      <c r="D1" s="2521"/>
    </row>
    <row r="2" spans="1:11" s="1209" customFormat="1" ht="12.75" x14ac:dyDescent="0.2">
      <c r="A2" s="2546">
        <f>'Single Audit Coverzzz'!E7</f>
        <v>53102140026</v>
      </c>
      <c r="B2" s="2547"/>
      <c r="C2" s="2547"/>
      <c r="D2" s="2547"/>
    </row>
    <row r="3" spans="1:11" s="1209" customFormat="1" ht="12.75" x14ac:dyDescent="0.2">
      <c r="A3" s="2545" t="s">
        <v>1513</v>
      </c>
      <c r="B3" s="2521"/>
      <c r="C3" s="2521"/>
      <c r="D3" s="2521"/>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1701</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1702</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1703</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1704</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1725</v>
      </c>
      <c r="E24" s="1222"/>
      <c r="F24" s="1222"/>
      <c r="G24" s="1222"/>
      <c r="H24" s="1222"/>
      <c r="I24" s="1222"/>
      <c r="J24" s="1222"/>
      <c r="K24" s="1222"/>
    </row>
    <row r="25" spans="1:11" x14ac:dyDescent="0.2">
      <c r="A25" s="1216"/>
      <c r="B25" s="1225"/>
      <c r="D25" s="1224" t="s">
        <v>1705</v>
      </c>
      <c r="E25" s="1222"/>
      <c r="F25" s="1222"/>
      <c r="G25" s="1222"/>
      <c r="H25" s="1222"/>
      <c r="I25" s="1222"/>
      <c r="J25" s="1222"/>
      <c r="K25" s="1222"/>
    </row>
    <row r="26" spans="1:11" x14ac:dyDescent="0.2">
      <c r="A26" s="1216"/>
      <c r="B26" s="1225"/>
      <c r="D26" s="1229" t="s">
        <v>1706</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1569</v>
      </c>
      <c r="E28" s="1222"/>
      <c r="F28" s="1222"/>
      <c r="G28" s="1222"/>
      <c r="H28" s="1222"/>
      <c r="I28" s="1222"/>
      <c r="J28" s="1222"/>
      <c r="K28" s="1222"/>
    </row>
    <row r="29" spans="1:11" ht="10.5" customHeight="1" x14ac:dyDescent="0.2">
      <c r="A29" s="1216"/>
      <c r="D29" s="1230" t="s">
        <v>1570</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1571</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1571</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1572</v>
      </c>
    </row>
    <row r="41" spans="1:5" ht="3" customHeight="1" x14ac:dyDescent="0.2">
      <c r="A41" s="1216"/>
      <c r="B41" s="1233"/>
      <c r="C41" s="1234"/>
      <c r="D41" s="1215"/>
    </row>
    <row r="42" spans="1:5" ht="10.5" customHeight="1" x14ac:dyDescent="0.2">
      <c r="A42" s="1216"/>
      <c r="B42" s="1235"/>
      <c r="C42" s="1226">
        <v>11</v>
      </c>
      <c r="D42" s="1237" t="s">
        <v>1573</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1574</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1707</v>
      </c>
    </row>
    <row r="57" spans="1:4" ht="10.5" customHeight="1" x14ac:dyDescent="0.2">
      <c r="A57" s="1216"/>
      <c r="D57" s="1231" t="s">
        <v>1708</v>
      </c>
    </row>
    <row r="58" spans="1:4" x14ac:dyDescent="0.2">
      <c r="A58" s="1216"/>
      <c r="C58" s="1238"/>
      <c r="D58" s="1231" t="s">
        <v>1709</v>
      </c>
    </row>
    <row r="59" spans="1:4" ht="10.5" customHeight="1" x14ac:dyDescent="0.2">
      <c r="A59" s="1216"/>
      <c r="D59" s="1215" t="s">
        <v>1209</v>
      </c>
    </row>
    <row r="60" spans="1:4" ht="10.5" customHeight="1" x14ac:dyDescent="0.2">
      <c r="A60" s="1216"/>
      <c r="D60" s="1239" t="s">
        <v>1598</v>
      </c>
    </row>
    <row r="61" spans="1:4" ht="10.5" customHeight="1" x14ac:dyDescent="0.2">
      <c r="A61" s="1216"/>
      <c r="C61" s="1238"/>
      <c r="D61" s="1231" t="s">
        <v>1710</v>
      </c>
    </row>
    <row r="62" spans="1:4" ht="10.5" customHeight="1" x14ac:dyDescent="0.2">
      <c r="A62" s="1216"/>
      <c r="D62" s="1240" t="s">
        <v>1208</v>
      </c>
    </row>
    <row r="63" spans="1:4" ht="10.5" customHeight="1" x14ac:dyDescent="0.2">
      <c r="A63" s="1216"/>
      <c r="D63" s="1215" t="s">
        <v>1575</v>
      </c>
    </row>
    <row r="64" spans="1:4" ht="10.5" customHeight="1" x14ac:dyDescent="0.2">
      <c r="A64" s="1216"/>
      <c r="D64" s="1239" t="s">
        <v>1597</v>
      </c>
    </row>
    <row r="65" spans="1:4" x14ac:dyDescent="0.2">
      <c r="A65" s="1216"/>
      <c r="C65" s="1238"/>
      <c r="D65" s="1231" t="s">
        <v>1711</v>
      </c>
    </row>
    <row r="66" spans="1:4" ht="10.5" customHeight="1" x14ac:dyDescent="0.2">
      <c r="A66" s="1216"/>
      <c r="D66" s="1241" t="s">
        <v>1207</v>
      </c>
    </row>
    <row r="67" spans="1:4" ht="10.5" customHeight="1" x14ac:dyDescent="0.2">
      <c r="A67" s="1216"/>
      <c r="D67" s="1215" t="s">
        <v>1576</v>
      </c>
    </row>
    <row r="68" spans="1:4" ht="10.5" customHeight="1" x14ac:dyDescent="0.2">
      <c r="A68" s="1216"/>
      <c r="D68" s="1239" t="s">
        <v>1597</v>
      </c>
    </row>
    <row r="69" spans="1:4" ht="10.5" customHeight="1" x14ac:dyDescent="0.2">
      <c r="A69" s="1216"/>
      <c r="C69" s="1238"/>
      <c r="D69" s="1231" t="s">
        <v>1712</v>
      </c>
    </row>
    <row r="70" spans="1:4" x14ac:dyDescent="0.2">
      <c r="A70" s="1216"/>
      <c r="D70" s="1240" t="s">
        <v>1206</v>
      </c>
    </row>
    <row r="71" spans="1:4" ht="3" customHeight="1" x14ac:dyDescent="0.2">
      <c r="A71" s="1216"/>
      <c r="D71" s="1215"/>
    </row>
    <row r="72" spans="1:4" x14ac:dyDescent="0.2">
      <c r="A72" s="1216"/>
      <c r="B72" s="1219"/>
      <c r="C72" s="1220">
        <f>C56+1</f>
        <v>18</v>
      </c>
      <c r="D72" s="1241" t="s">
        <v>1713</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1714</v>
      </c>
    </row>
    <row r="77" spans="1:4" ht="3" customHeight="1" x14ac:dyDescent="0.2">
      <c r="A77" s="1216"/>
      <c r="B77" s="1223"/>
      <c r="C77" s="1220"/>
      <c r="D77" s="1242"/>
    </row>
    <row r="78" spans="1:4" x14ac:dyDescent="0.2">
      <c r="A78" s="1216"/>
      <c r="B78" s="1219"/>
      <c r="C78" s="1220">
        <f>C76+1</f>
        <v>21</v>
      </c>
      <c r="D78" s="1215" t="s">
        <v>1715</v>
      </c>
    </row>
    <row r="79" spans="1:4" ht="3" customHeight="1" x14ac:dyDescent="0.2">
      <c r="A79" s="1216"/>
      <c r="B79" s="1223"/>
      <c r="C79" s="1220"/>
      <c r="D79" s="1215"/>
    </row>
    <row r="80" spans="1:4" x14ac:dyDescent="0.2">
      <c r="A80" s="1216"/>
      <c r="B80" s="1219"/>
      <c r="C80" s="1220">
        <f>C78+1</f>
        <v>22</v>
      </c>
      <c r="D80" s="1243" t="s">
        <v>1716</v>
      </c>
    </row>
    <row r="81" spans="1:4" ht="3" customHeight="1" x14ac:dyDescent="0.2">
      <c r="A81" s="1216"/>
      <c r="B81" s="1223"/>
      <c r="C81" s="1220"/>
      <c r="D81" s="1243"/>
    </row>
    <row r="82" spans="1:4" x14ac:dyDescent="0.2">
      <c r="A82" s="1216"/>
      <c r="B82" s="1219"/>
      <c r="C82" s="1220">
        <f>C80+1</f>
        <v>23</v>
      </c>
      <c r="D82" s="1242" t="s">
        <v>1717</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1718</v>
      </c>
    </row>
    <row r="92" spans="1:4" x14ac:dyDescent="0.2">
      <c r="A92" s="1216"/>
      <c r="B92" s="1244"/>
      <c r="C92" s="1238"/>
      <c r="D92" s="1231" t="s">
        <v>1200</v>
      </c>
    </row>
    <row r="93" spans="1:4" ht="4.5" customHeight="1" x14ac:dyDescent="0.2">
      <c r="A93" s="1216"/>
      <c r="D93" s="1215"/>
    </row>
    <row r="94" spans="1:4" x14ac:dyDescent="0.2">
      <c r="A94" s="1216"/>
      <c r="B94" s="1217" t="s">
        <v>1577</v>
      </c>
      <c r="C94" s="1218"/>
      <c r="D94" s="1215"/>
    </row>
    <row r="95" spans="1:4" ht="4.5" customHeight="1" x14ac:dyDescent="0.2">
      <c r="A95" s="1216"/>
      <c r="B95" s="1217"/>
      <c r="C95" s="1218"/>
      <c r="D95" s="1215"/>
    </row>
    <row r="96" spans="1:4" x14ac:dyDescent="0.2">
      <c r="A96" s="1216"/>
      <c r="B96" s="1219"/>
      <c r="C96" s="1220">
        <f>C91+1</f>
        <v>28</v>
      </c>
      <c r="D96" s="1231" t="s">
        <v>1719</v>
      </c>
    </row>
    <row r="97" spans="1:4" ht="3" customHeight="1" x14ac:dyDescent="0.2">
      <c r="A97" s="1216"/>
      <c r="B97" s="1223"/>
      <c r="C97" s="1220"/>
      <c r="D97" s="1231"/>
    </row>
    <row r="98" spans="1:4" x14ac:dyDescent="0.2">
      <c r="A98" s="1216"/>
      <c r="B98" s="1219"/>
      <c r="C98" s="1220">
        <f>C96+1</f>
        <v>29</v>
      </c>
      <c r="D98" s="1245" t="s">
        <v>1720</v>
      </c>
    </row>
    <row r="99" spans="1:4" ht="3" customHeight="1" x14ac:dyDescent="0.2">
      <c r="A99" s="1216"/>
      <c r="B99" s="1223"/>
      <c r="C99" s="1220"/>
      <c r="D99" s="1245"/>
    </row>
    <row r="100" spans="1:4" x14ac:dyDescent="0.2">
      <c r="A100" s="1216"/>
      <c r="B100" s="1219"/>
      <c r="C100" s="1220">
        <f>C98+1</f>
        <v>30</v>
      </c>
      <c r="D100" s="1231" t="s">
        <v>1721</v>
      </c>
    </row>
    <row r="101" spans="1:4" ht="3" customHeight="1" x14ac:dyDescent="0.2">
      <c r="A101" s="1216"/>
      <c r="B101" s="1223"/>
      <c r="C101" s="1220"/>
      <c r="D101" s="1246"/>
    </row>
    <row r="102" spans="1:4" x14ac:dyDescent="0.2">
      <c r="A102" s="1216"/>
      <c r="B102" s="1219"/>
      <c r="C102" s="1220">
        <f>C100+1</f>
        <v>31</v>
      </c>
      <c r="D102" s="1231" t="s">
        <v>1578</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1579</v>
      </c>
    </row>
    <row r="107" spans="1:4" ht="3" customHeight="1" x14ac:dyDescent="0.2">
      <c r="A107" s="1216"/>
      <c r="B107" s="1223"/>
      <c r="C107" s="1220"/>
      <c r="D107" s="1215"/>
    </row>
    <row r="108" spans="1:4" x14ac:dyDescent="0.2">
      <c r="A108" s="1216"/>
      <c r="B108" s="1219"/>
      <c r="C108" s="1220">
        <v>33</v>
      </c>
      <c r="D108" s="1215" t="s">
        <v>1722</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1723</v>
      </c>
    </row>
    <row r="118" spans="1:4" ht="3" customHeight="1" x14ac:dyDescent="0.2">
      <c r="A118" s="1216"/>
      <c r="B118" s="1223"/>
      <c r="C118" s="1220"/>
      <c r="D118" s="1231"/>
    </row>
    <row r="119" spans="1:4" x14ac:dyDescent="0.2">
      <c r="A119" s="1216"/>
      <c r="B119" s="1219"/>
      <c r="C119" s="1220">
        <f>C117+1</f>
        <v>38</v>
      </c>
      <c r="D119" s="1231" t="s">
        <v>1724</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1833</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549" t="str">
        <f>'Single Audit Coverzzz'!A7</f>
        <v>Eureka CUD 140</v>
      </c>
      <c r="B1" s="2549"/>
      <c r="C1" s="2549"/>
      <c r="D1" s="2549"/>
      <c r="E1" s="2549"/>
    </row>
    <row r="2" spans="1:5" x14ac:dyDescent="0.2">
      <c r="A2" s="2550">
        <f>'Single Audit Coverzzz'!E7</f>
        <v>53102140026</v>
      </c>
      <c r="B2" s="2550"/>
      <c r="C2" s="2550"/>
      <c r="D2" s="2550"/>
      <c r="E2" s="2550"/>
    </row>
    <row r="3" spans="1:5" ht="4.5" customHeight="1" x14ac:dyDescent="0.2"/>
    <row r="4" spans="1:5" x14ac:dyDescent="0.2">
      <c r="A4" s="2549" t="s">
        <v>1245</v>
      </c>
      <c r="B4" s="2549"/>
      <c r="C4" s="2549"/>
      <c r="D4" s="2549"/>
      <c r="E4" s="2549"/>
    </row>
    <row r="5" spans="1:5" x14ac:dyDescent="0.2">
      <c r="A5" s="2552" t="str">
        <f>'Single Audit Coverzzz'!A4</f>
        <v>Year Ending June 30, 2019</v>
      </c>
      <c r="B5" s="2552"/>
      <c r="C5" s="2552"/>
      <c r="D5" s="2552"/>
      <c r="E5" s="2552"/>
    </row>
    <row r="6" spans="1:5" x14ac:dyDescent="0.2">
      <c r="A6" s="2549" t="s">
        <v>1244</v>
      </c>
      <c r="B6" s="2549"/>
      <c r="C6" s="2549"/>
      <c r="D6" s="2549"/>
      <c r="E6" s="2549"/>
    </row>
    <row r="8" spans="1:5" x14ac:dyDescent="0.2">
      <c r="A8" s="1254" t="s">
        <v>1243</v>
      </c>
    </row>
    <row r="10" spans="1:5" x14ac:dyDescent="0.2">
      <c r="A10" s="1255" t="s">
        <v>1242</v>
      </c>
      <c r="B10" s="1256" t="s">
        <v>1241</v>
      </c>
      <c r="C10" s="1256"/>
      <c r="D10" s="1257">
        <f>SUM('Acct Summary 7-8'!C7:K7)</f>
        <v>789670</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1726</v>
      </c>
      <c r="B14" s="1256"/>
      <c r="C14" s="1256"/>
      <c r="D14" s="1258">
        <f>'ICR Computation 30'!E11</f>
        <v>49628</v>
      </c>
    </row>
    <row r="15" spans="1:5" x14ac:dyDescent="0.2">
      <c r="A15" s="1255"/>
      <c r="B15" s="1256"/>
      <c r="C15" s="1256"/>
    </row>
    <row r="16" spans="1:5" x14ac:dyDescent="0.2">
      <c r="A16" s="1255" t="s">
        <v>1840</v>
      </c>
      <c r="B16" s="1256"/>
      <c r="C16" s="1256"/>
    </row>
    <row r="17" spans="1:4" x14ac:dyDescent="0.2">
      <c r="A17" s="1255" t="s">
        <v>2057</v>
      </c>
      <c r="B17" s="1256" t="s">
        <v>1236</v>
      </c>
      <c r="C17" s="1256"/>
      <c r="D17" s="1258">
        <f>-SUM('Revenues 9-14'!C264:D264,'Revenues 9-14'!F264:G264)</f>
        <v>-45886</v>
      </c>
    </row>
    <row r="19" spans="1:4" ht="13.5" thickBot="1" x14ac:dyDescent="0.25">
      <c r="A19" s="1259" t="s">
        <v>1235</v>
      </c>
      <c r="D19" s="1260">
        <f>SUM(D10:D17)</f>
        <v>793412</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551" t="s">
        <v>2178</v>
      </c>
      <c r="B24" s="2551"/>
      <c r="D24" s="1262">
        <v>-49628</v>
      </c>
    </row>
    <row r="25" spans="1:4" x14ac:dyDescent="0.2">
      <c r="A25" s="2548"/>
      <c r="B25" s="2548"/>
      <c r="D25" s="1262"/>
    </row>
    <row r="26" spans="1:4" x14ac:dyDescent="0.2">
      <c r="A26" s="2548"/>
      <c r="B26" s="2548"/>
      <c r="D26" s="1262"/>
    </row>
    <row r="27" spans="1:4" x14ac:dyDescent="0.2">
      <c r="A27" s="2548"/>
      <c r="B27" s="2548"/>
      <c r="D27" s="1262"/>
    </row>
    <row r="28" spans="1:4" x14ac:dyDescent="0.2">
      <c r="A28" s="2548"/>
      <c r="B28" s="2548"/>
      <c r="D28" s="1262"/>
    </row>
    <row r="29" spans="1:4" x14ac:dyDescent="0.2">
      <c r="A29" s="2548"/>
      <c r="B29" s="2548"/>
      <c r="D29" s="1262"/>
    </row>
    <row r="30" spans="1:4" x14ac:dyDescent="0.2">
      <c r="A30" s="2548"/>
      <c r="B30" s="2548"/>
      <c r="D30" s="1262"/>
    </row>
    <row r="32" spans="1:4" x14ac:dyDescent="0.2">
      <c r="A32" s="1254" t="s">
        <v>1233</v>
      </c>
      <c r="D32" s="1257">
        <f>SUM(D19:D30)</f>
        <v>743784</v>
      </c>
    </row>
    <row r="33" spans="1:4" x14ac:dyDescent="0.2">
      <c r="D33" s="1263"/>
    </row>
    <row r="34" spans="1:4" x14ac:dyDescent="0.2">
      <c r="A34" s="317" t="s">
        <v>1232</v>
      </c>
    </row>
    <row r="35" spans="1:4" x14ac:dyDescent="0.2">
      <c r="A35" s="317" t="s">
        <v>1231</v>
      </c>
      <c r="B35" s="1252" t="s">
        <v>1230</v>
      </c>
      <c r="D35" s="1264">
        <v>743784</v>
      </c>
    </row>
    <row r="37" spans="1:4" x14ac:dyDescent="0.2">
      <c r="A37" s="1254" t="s">
        <v>1229</v>
      </c>
    </row>
    <row r="39" spans="1:4" ht="13.35" customHeight="1" x14ac:dyDescent="0.2">
      <c r="A39" s="1261" t="s">
        <v>1228</v>
      </c>
    </row>
    <row r="40" spans="1:4" x14ac:dyDescent="0.2">
      <c r="A40" s="2548"/>
      <c r="B40" s="2548"/>
      <c r="D40" s="1262"/>
    </row>
    <row r="41" spans="1:4" x14ac:dyDescent="0.2">
      <c r="A41" s="2548"/>
      <c r="B41" s="2548"/>
      <c r="D41" s="1265"/>
    </row>
    <row r="42" spans="1:4" x14ac:dyDescent="0.2">
      <c r="A42" s="2548"/>
      <c r="B42" s="2548"/>
      <c r="D42" s="1265"/>
    </row>
    <row r="43" spans="1:4" x14ac:dyDescent="0.2">
      <c r="A43" s="2548"/>
      <c r="B43" s="2548"/>
      <c r="D43" s="1265"/>
    </row>
    <row r="44" spans="1:4" x14ac:dyDescent="0.2">
      <c r="A44" s="2548"/>
      <c r="B44" s="2548"/>
      <c r="D44" s="1265"/>
    </row>
    <row r="45" spans="1:4" x14ac:dyDescent="0.2">
      <c r="A45" s="2548"/>
      <c r="B45" s="2548"/>
      <c r="D45" s="1265"/>
    </row>
    <row r="47" spans="1:4" x14ac:dyDescent="0.2">
      <c r="B47" s="1266" t="s">
        <v>1227</v>
      </c>
      <c r="C47" s="1266"/>
      <c r="D47" s="1267">
        <f>SUM(D35:D45)</f>
        <v>743784</v>
      </c>
    </row>
    <row r="49" spans="2:4" x14ac:dyDescent="0.2">
      <c r="B49" s="1266" t="s">
        <v>1226</v>
      </c>
      <c r="C49" s="1266"/>
      <c r="D49" s="1267">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531" t="str">
        <f>'Single Audit Coverzzz'!A7</f>
        <v>Eureka CUD 140</v>
      </c>
      <c r="C1" s="2553"/>
      <c r="D1" s="2553"/>
      <c r="E1" s="2553"/>
      <c r="F1" s="2553"/>
      <c r="G1" s="2553"/>
      <c r="H1" s="2553"/>
      <c r="I1" s="2553"/>
      <c r="J1" s="2553"/>
      <c r="K1" s="2553"/>
      <c r="L1" s="2553"/>
      <c r="M1" s="2553"/>
    </row>
    <row r="2" spans="2:14" ht="15" x14ac:dyDescent="0.2">
      <c r="B2" s="2554">
        <f>'Single Audit Coverzzz'!E7</f>
        <v>53102140026</v>
      </c>
      <c r="C2" s="2554"/>
      <c r="D2" s="2554"/>
      <c r="E2" s="2554"/>
      <c r="F2" s="2554"/>
      <c r="G2" s="2554"/>
      <c r="H2" s="2554"/>
      <c r="I2" s="2554"/>
      <c r="J2" s="2554"/>
      <c r="K2" s="2554"/>
      <c r="L2" s="2554"/>
      <c r="M2" s="2554"/>
      <c r="N2" s="1296"/>
    </row>
    <row r="3" spans="2:14" ht="15" x14ac:dyDescent="0.2">
      <c r="B3" s="2555" t="s">
        <v>1219</v>
      </c>
      <c r="C3" s="2555"/>
      <c r="D3" s="2555"/>
      <c r="E3" s="2555"/>
      <c r="F3" s="2555"/>
      <c r="G3" s="2555"/>
      <c r="H3" s="2555"/>
      <c r="I3" s="2555"/>
      <c r="J3" s="2555"/>
      <c r="K3" s="2555"/>
      <c r="L3" s="2555"/>
      <c r="M3" s="2555"/>
      <c r="N3" s="1296"/>
    </row>
    <row r="4" spans="2:14" ht="15" x14ac:dyDescent="0.2">
      <c r="B4" s="2556" t="str">
        <f>'Single Audit Coverzzz'!A4</f>
        <v>Year Ending June 30, 2019</v>
      </c>
      <c r="C4" s="2556"/>
      <c r="D4" s="2556"/>
      <c r="E4" s="2556"/>
      <c r="F4" s="2556"/>
      <c r="G4" s="2556"/>
      <c r="H4" s="2556"/>
      <c r="I4" s="2556"/>
      <c r="J4" s="2556"/>
      <c r="K4" s="2556"/>
      <c r="L4" s="2556"/>
      <c r="M4" s="2556"/>
      <c r="N4" s="1296"/>
    </row>
    <row r="6" spans="2:14" x14ac:dyDescent="0.2">
      <c r="B6" s="1297"/>
      <c r="C6" s="1298"/>
      <c r="D6" s="1299" t="s">
        <v>1265</v>
      </c>
      <c r="E6" s="1300" t="s">
        <v>527</v>
      </c>
      <c r="F6" s="1301"/>
      <c r="G6" s="1302" t="s">
        <v>1730</v>
      </c>
      <c r="H6" s="1300"/>
      <c r="I6" s="1300"/>
      <c r="J6" s="1300"/>
      <c r="K6" s="1303"/>
      <c r="L6" s="1304"/>
      <c r="M6" s="1305"/>
    </row>
    <row r="7" spans="2:14" x14ac:dyDescent="0.2">
      <c r="B7" s="1306" t="s">
        <v>1580</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1835</v>
      </c>
      <c r="I8" s="1313" t="s">
        <v>1262</v>
      </c>
      <c r="J8" s="1312" t="s">
        <v>1986</v>
      </c>
      <c r="K8" s="1313" t="s">
        <v>1261</v>
      </c>
      <c r="L8" s="1314" t="s">
        <v>1257</v>
      </c>
      <c r="M8" s="1315" t="s">
        <v>30</v>
      </c>
    </row>
    <row r="9" spans="2:14" ht="14.25" x14ac:dyDescent="0.2">
      <c r="B9" s="1319" t="s">
        <v>1259</v>
      </c>
      <c r="C9" s="1307" t="s">
        <v>1731</v>
      </c>
      <c r="D9" s="1308" t="s">
        <v>1732</v>
      </c>
      <c r="E9" s="1316" t="s">
        <v>1835</v>
      </c>
      <c r="F9" s="1317" t="s">
        <v>1986</v>
      </c>
      <c r="G9" s="1318" t="s">
        <v>1835</v>
      </c>
      <c r="H9" s="1311" t="s">
        <v>1581</v>
      </c>
      <c r="I9" s="1313" t="s">
        <v>1986</v>
      </c>
      <c r="J9" s="1312" t="s">
        <v>1581</v>
      </c>
      <c r="K9" s="1313" t="s">
        <v>1258</v>
      </c>
      <c r="L9" s="1320" t="s">
        <v>1582</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t="s">
        <v>2067</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1733</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1836</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1734</v>
      </c>
      <c r="C37" s="1359"/>
      <c r="D37" s="1359"/>
      <c r="E37" s="1359"/>
      <c r="F37" s="1359"/>
      <c r="G37" s="1359"/>
      <c r="H37" s="1359"/>
      <c r="I37" s="1360"/>
      <c r="J37" s="1360"/>
      <c r="K37" s="1360"/>
      <c r="L37" s="1360"/>
      <c r="M37" s="1360"/>
    </row>
    <row r="38" spans="2:13" ht="11.25" customHeight="1" x14ac:dyDescent="0.2">
      <c r="B38" s="1361" t="s">
        <v>1583</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1735</v>
      </c>
      <c r="C40" s="1360"/>
      <c r="D40" s="1360"/>
      <c r="E40" s="1360"/>
      <c r="F40" s="1360"/>
      <c r="G40" s="1360"/>
      <c r="H40" s="1360"/>
      <c r="I40" s="1360"/>
      <c r="J40" s="1360"/>
      <c r="K40" s="1360"/>
      <c r="L40" s="1360"/>
      <c r="M40" s="1360"/>
    </row>
    <row r="41" spans="2:13" ht="11.25" customHeight="1" x14ac:dyDescent="0.2">
      <c r="B41" s="1294" t="s">
        <v>1584</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1736</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1737</v>
      </c>
      <c r="C45" s="1362"/>
      <c r="D45" s="1363"/>
      <c r="E45" s="1294"/>
      <c r="F45" s="1294"/>
      <c r="G45" s="1294"/>
      <c r="H45" s="1294"/>
      <c r="I45" s="1294"/>
      <c r="J45" s="1294"/>
      <c r="K45" s="1364"/>
      <c r="L45" s="1364"/>
      <c r="M45" s="1294"/>
    </row>
    <row r="46" spans="2:13" ht="11.25" customHeight="1" x14ac:dyDescent="0.2">
      <c r="B46" s="1294" t="s">
        <v>1585</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73" t="s">
        <v>1168</v>
      </c>
      <c r="B2" s="2173"/>
      <c r="C2" s="2173"/>
      <c r="D2" s="2173"/>
      <c r="E2" s="2173"/>
      <c r="F2" s="2173"/>
      <c r="G2" s="2173"/>
      <c r="H2" s="2173"/>
      <c r="I2" s="2173"/>
      <c r="J2" s="2173"/>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87" t="s">
        <v>1632</v>
      </c>
      <c r="B35" s="2188"/>
      <c r="C35" s="2188"/>
      <c r="D35" s="2188"/>
      <c r="E35" s="2189"/>
      <c r="F35" s="2189"/>
      <c r="G35" s="2189"/>
      <c r="H35" s="2189"/>
      <c r="I35" s="218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87" t="s">
        <v>313</v>
      </c>
      <c r="B47" s="2190"/>
      <c r="C47" s="2190"/>
      <c r="D47" s="2190"/>
      <c r="E47" s="2191"/>
      <c r="F47" s="2191"/>
      <c r="G47" s="2191"/>
      <c r="H47" s="2191"/>
      <c r="I47" s="219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1638</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94"/>
      <c r="C57" s="2195"/>
      <c r="D57" s="2195"/>
      <c r="E57" s="2195"/>
      <c r="F57" s="2195"/>
      <c r="G57" s="2195"/>
      <c r="H57" s="2195"/>
      <c r="I57" s="2195"/>
      <c r="J57" s="2196"/>
    </row>
    <row r="58" spans="1:10" s="181" customFormat="1" x14ac:dyDescent="0.2">
      <c r="A58" s="253"/>
      <c r="B58" s="2197"/>
      <c r="C58" s="2198"/>
      <c r="D58" s="2198"/>
      <c r="E58" s="2198"/>
      <c r="F58" s="2198"/>
      <c r="G58" s="2198"/>
      <c r="H58" s="2198"/>
      <c r="I58" s="2198"/>
      <c r="J58" s="2199"/>
    </row>
    <row r="59" spans="1:10" s="181" customFormat="1" x14ac:dyDescent="0.2">
      <c r="A59" s="253"/>
      <c r="B59" s="2197"/>
      <c r="C59" s="2198"/>
      <c r="D59" s="2198"/>
      <c r="E59" s="2198"/>
      <c r="F59" s="2198"/>
      <c r="G59" s="2198"/>
      <c r="H59" s="2198"/>
      <c r="I59" s="2198"/>
      <c r="J59" s="2199"/>
    </row>
    <row r="60" spans="1:10" s="181" customFormat="1" x14ac:dyDescent="0.2">
      <c r="A60" s="253"/>
      <c r="B60" s="2197"/>
      <c r="C60" s="2198"/>
      <c r="D60" s="2198"/>
      <c r="E60" s="2198"/>
      <c r="F60" s="2198"/>
      <c r="G60" s="2198"/>
      <c r="H60" s="2198"/>
      <c r="I60" s="2198"/>
      <c r="J60" s="2199"/>
    </row>
    <row r="61" spans="1:10" s="181" customFormat="1" x14ac:dyDescent="0.2">
      <c r="A61" s="253"/>
      <c r="B61" s="2197"/>
      <c r="C61" s="2198"/>
      <c r="D61" s="2198"/>
      <c r="E61" s="2198"/>
      <c r="F61" s="2198"/>
      <c r="G61" s="2198"/>
      <c r="H61" s="2198"/>
      <c r="I61" s="2198"/>
      <c r="J61" s="2199"/>
    </row>
    <row r="62" spans="1:10" s="181" customFormat="1" x14ac:dyDescent="0.2">
      <c r="A62" s="253"/>
      <c r="B62" s="2197"/>
      <c r="C62" s="2198"/>
      <c r="D62" s="2198"/>
      <c r="E62" s="2198"/>
      <c r="F62" s="2198"/>
      <c r="G62" s="2198"/>
      <c r="H62" s="2198"/>
      <c r="I62" s="2198"/>
      <c r="J62" s="2199"/>
    </row>
    <row r="63" spans="1:10" s="181" customFormat="1" x14ac:dyDescent="0.2">
      <c r="A63" s="253"/>
      <c r="B63" s="2197"/>
      <c r="C63" s="2198"/>
      <c r="D63" s="2198"/>
      <c r="E63" s="2198"/>
      <c r="F63" s="2198"/>
      <c r="G63" s="2198"/>
      <c r="H63" s="2198"/>
      <c r="I63" s="2198"/>
      <c r="J63" s="2199"/>
    </row>
    <row r="64" spans="1:10" s="181" customFormat="1" x14ac:dyDescent="0.2">
      <c r="A64" s="253"/>
      <c r="B64" s="2197"/>
      <c r="C64" s="2198"/>
      <c r="D64" s="2198"/>
      <c r="E64" s="2198"/>
      <c r="F64" s="2198"/>
      <c r="G64" s="2198"/>
      <c r="H64" s="2198"/>
      <c r="I64" s="2198"/>
      <c r="J64" s="2199"/>
    </row>
    <row r="65" spans="1:10" s="181" customFormat="1" x14ac:dyDescent="0.2">
      <c r="A65" s="253"/>
      <c r="B65" s="2197"/>
      <c r="C65" s="2198"/>
      <c r="D65" s="2198"/>
      <c r="E65" s="2198"/>
      <c r="F65" s="2198"/>
      <c r="G65" s="2198"/>
      <c r="H65" s="2198"/>
      <c r="I65" s="2198"/>
      <c r="J65" s="2199"/>
    </row>
    <row r="66" spans="1:10" s="181" customFormat="1" x14ac:dyDescent="0.2">
      <c r="A66" s="253"/>
      <c r="B66" s="2197"/>
      <c r="C66" s="2198"/>
      <c r="D66" s="2198"/>
      <c r="E66" s="2198"/>
      <c r="F66" s="2198"/>
      <c r="G66" s="2198"/>
      <c r="H66" s="2198"/>
      <c r="I66" s="2198"/>
      <c r="J66" s="2199"/>
    </row>
    <row r="67" spans="1:10" s="181" customFormat="1" ht="9" customHeight="1" x14ac:dyDescent="0.2">
      <c r="A67" s="254"/>
      <c r="B67" s="2200"/>
      <c r="C67" s="2201"/>
      <c r="D67" s="2201"/>
      <c r="E67" s="2201"/>
      <c r="F67" s="2201"/>
      <c r="G67" s="2201"/>
      <c r="H67" s="2201"/>
      <c r="I67" s="2201"/>
      <c r="J67" s="22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87" t="s">
        <v>1323</v>
      </c>
      <c r="B70" s="2190"/>
      <c r="C70" s="2190"/>
      <c r="D70" s="2190"/>
      <c r="E70" s="2191"/>
      <c r="F70" s="2191"/>
      <c r="G70" s="2191"/>
      <c r="H70" s="2191"/>
      <c r="I70" s="219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1646</v>
      </c>
      <c r="G77" s="297" t="s">
        <v>1901</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92" t="s">
        <v>1320</v>
      </c>
      <c r="B83" s="2192"/>
      <c r="C83" s="2192"/>
      <c r="D83" s="219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1169</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74"/>
      <c r="C102" s="2175"/>
      <c r="D102" s="2175"/>
      <c r="E102" s="2175"/>
      <c r="F102" s="2175"/>
      <c r="G102" s="2175"/>
      <c r="H102" s="2175"/>
      <c r="I102" s="2176"/>
    </row>
    <row r="103" spans="1:9" s="181" customFormat="1" ht="11.25" customHeight="1" x14ac:dyDescent="0.2">
      <c r="A103" s="316"/>
      <c r="B103" s="2177"/>
      <c r="C103" s="2178"/>
      <c r="D103" s="2178"/>
      <c r="E103" s="2178"/>
      <c r="F103" s="2178"/>
      <c r="G103" s="2178"/>
      <c r="H103" s="2178"/>
      <c r="I103" s="2179"/>
    </row>
    <row r="104" spans="1:9" s="181" customFormat="1" ht="11.25" customHeight="1" x14ac:dyDescent="0.2">
      <c r="A104" s="316"/>
      <c r="B104" s="2177"/>
      <c r="C104" s="2178"/>
      <c r="D104" s="2178"/>
      <c r="E104" s="2178"/>
      <c r="F104" s="2178"/>
      <c r="G104" s="2178"/>
      <c r="H104" s="2178"/>
      <c r="I104" s="2179"/>
    </row>
    <row r="105" spans="1:9" s="181" customFormat="1" x14ac:dyDescent="0.2">
      <c r="A105" s="316"/>
      <c r="B105" s="2177"/>
      <c r="C105" s="2178"/>
      <c r="D105" s="2178"/>
      <c r="E105" s="2178"/>
      <c r="F105" s="2178"/>
      <c r="G105" s="2178"/>
      <c r="H105" s="2178"/>
      <c r="I105" s="2179"/>
    </row>
    <row r="106" spans="1:9" s="181" customFormat="1" ht="11.25" customHeight="1" x14ac:dyDescent="0.2">
      <c r="A106" s="316"/>
      <c r="B106" s="2177"/>
      <c r="C106" s="2178"/>
      <c r="D106" s="2178"/>
      <c r="E106" s="2178"/>
      <c r="F106" s="2178"/>
      <c r="G106" s="2178"/>
      <c r="H106" s="2178"/>
      <c r="I106" s="2179"/>
    </row>
    <row r="107" spans="1:9" s="181" customFormat="1" ht="11.25" customHeight="1" x14ac:dyDescent="0.2">
      <c r="A107" s="316"/>
      <c r="B107" s="2177"/>
      <c r="C107" s="2178"/>
      <c r="D107" s="2178"/>
      <c r="E107" s="2178"/>
      <c r="F107" s="2178"/>
      <c r="G107" s="2178"/>
      <c r="H107" s="2178"/>
      <c r="I107" s="2179"/>
    </row>
    <row r="108" spans="1:9" s="181" customFormat="1" ht="11.25" customHeight="1" x14ac:dyDescent="0.2">
      <c r="A108" s="316"/>
      <c r="B108" s="2177"/>
      <c r="C108" s="2178"/>
      <c r="D108" s="2178"/>
      <c r="E108" s="2178"/>
      <c r="F108" s="2178"/>
      <c r="G108" s="2178"/>
      <c r="H108" s="2178"/>
      <c r="I108" s="2179"/>
    </row>
    <row r="109" spans="1:9" s="181" customFormat="1" ht="11.25" customHeight="1" x14ac:dyDescent="0.2">
      <c r="A109" s="316"/>
      <c r="B109" s="2177"/>
      <c r="C109" s="2178"/>
      <c r="D109" s="2178"/>
      <c r="E109" s="2178"/>
      <c r="F109" s="2178"/>
      <c r="G109" s="2178"/>
      <c r="H109" s="2178"/>
      <c r="I109" s="2179"/>
    </row>
    <row r="110" spans="1:9" s="181" customFormat="1" ht="11.25" customHeight="1" x14ac:dyDescent="0.2">
      <c r="A110" s="316"/>
      <c r="B110" s="2177"/>
      <c r="C110" s="2178"/>
      <c r="D110" s="2178"/>
      <c r="E110" s="2178"/>
      <c r="F110" s="2178"/>
      <c r="G110" s="2178"/>
      <c r="H110" s="2178"/>
      <c r="I110" s="2179"/>
    </row>
    <row r="111" spans="1:9" s="181" customFormat="1" ht="11.25" customHeight="1" x14ac:dyDescent="0.2">
      <c r="A111" s="316"/>
      <c r="B111" s="2177"/>
      <c r="C111" s="2178"/>
      <c r="D111" s="2178"/>
      <c r="E111" s="2178"/>
      <c r="F111" s="2178"/>
      <c r="G111" s="2178"/>
      <c r="H111" s="2178"/>
      <c r="I111" s="2179"/>
    </row>
    <row r="112" spans="1:9" s="181" customFormat="1" ht="11.25" customHeight="1" x14ac:dyDescent="0.2">
      <c r="A112" s="316"/>
      <c r="B112" s="2180"/>
      <c r="C112" s="2181"/>
      <c r="D112" s="2181"/>
      <c r="E112" s="2181"/>
      <c r="F112" s="2181"/>
      <c r="G112" s="2181"/>
      <c r="H112" s="2181"/>
      <c r="I112" s="21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83" t="s">
        <v>2176</v>
      </c>
      <c r="D114" s="218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84" t="s">
        <v>1330</v>
      </c>
      <c r="D117" s="2185"/>
      <c r="E117" s="2186"/>
      <c r="F117" s="2186"/>
      <c r="G117" s="2186"/>
      <c r="H117" s="2186"/>
      <c r="I117" s="304"/>
    </row>
    <row r="118" spans="1:9" s="181" customFormat="1" ht="24" customHeight="1" x14ac:dyDescent="0.2">
      <c r="A118" s="316"/>
      <c r="B118" s="316"/>
      <c r="C118" s="316"/>
      <c r="D118" s="323" t="s">
        <v>2200</v>
      </c>
      <c r="E118" s="322"/>
      <c r="F118" s="324"/>
      <c r="G118" s="1837"/>
      <c r="H118" s="322"/>
      <c r="I118" s="304"/>
    </row>
    <row r="119" spans="1:9" s="181" customFormat="1" ht="11.25" customHeight="1" x14ac:dyDescent="0.2">
      <c r="A119" s="325"/>
      <c r="B119" s="325"/>
      <c r="C119" s="326"/>
      <c r="D119" s="327" t="s">
        <v>361</v>
      </c>
      <c r="E119" s="310"/>
      <c r="F119" s="1836" t="s">
        <v>1902</v>
      </c>
      <c r="G119" s="328"/>
      <c r="H119" s="328"/>
      <c r="I119" s="304"/>
    </row>
    <row r="120" spans="1:9" x14ac:dyDescent="0.2">
      <c r="A120" s="329"/>
      <c r="B120" s="180"/>
      <c r="C120" s="330"/>
      <c r="D120" s="256"/>
      <c r="E120" s="256"/>
      <c r="F120" s="256"/>
      <c r="G120" s="256"/>
      <c r="H120" s="256"/>
      <c r="I120" s="304"/>
    </row>
    <row r="121" spans="1:9" x14ac:dyDescent="0.2">
      <c r="A121" s="329"/>
      <c r="B121" s="1485"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104"/>
  <sheetViews>
    <sheetView showGridLines="0" zoomScale="85" zoomScaleNormal="85" zoomScaleSheetLayoutView="115" workbookViewId="0">
      <pane xSplit="1" ySplit="11" topLeftCell="B12" activePane="bottomRight" state="frozen"/>
      <selection activeCell="A4" sqref="A4"/>
      <selection pane="topRight" activeCell="A4" sqref="A4"/>
      <selection pane="bottomLeft" activeCell="A4" sqref="A4"/>
      <selection pane="bottomRight" activeCell="B12" sqref="B12"/>
    </sheetView>
  </sheetViews>
  <sheetFormatPr defaultColWidth="16.7109375" defaultRowHeight="12" x14ac:dyDescent="0.2"/>
  <cols>
    <col min="1" max="1" width="50.140625" style="1935" customWidth="1"/>
    <col min="2" max="2" width="9.85546875" style="1935" customWidth="1"/>
    <col min="3" max="3" width="1.85546875" style="2015" customWidth="1"/>
    <col min="4" max="4" width="13" style="1935" customWidth="1"/>
    <col min="5" max="5" width="1.85546875" style="1936" customWidth="1"/>
    <col min="6" max="6" width="12.85546875" style="1935" customWidth="1"/>
    <col min="7" max="7" width="1.85546875" style="1935" customWidth="1"/>
    <col min="8" max="8" width="13.85546875" style="1935" customWidth="1"/>
    <col min="9" max="9" width="4.42578125" style="1935" customWidth="1"/>
    <col min="10" max="10" width="13.140625" style="1935" bestFit="1" customWidth="1"/>
    <col min="11" max="11" width="1.85546875" style="1935" customWidth="1"/>
    <col min="12" max="12" width="12.28515625" style="1935" customWidth="1"/>
    <col min="13" max="13" width="1.85546875" style="1935" customWidth="1"/>
    <col min="14" max="14" width="11" style="1935" customWidth="1"/>
    <col min="15" max="15" width="3.85546875" style="1936" customWidth="1"/>
    <col min="16" max="16" width="13.28515625" style="1935" bestFit="1" customWidth="1"/>
    <col min="17" max="17" width="1.85546875" style="2015" customWidth="1"/>
    <col min="18" max="18" width="12.42578125" style="1935" bestFit="1" customWidth="1"/>
    <col min="19" max="16384" width="16.7109375" style="1935"/>
  </cols>
  <sheetData>
    <row r="1" spans="1:18" s="2014" customFormat="1" ht="15.75" x14ac:dyDescent="0.15">
      <c r="A1" s="2558" t="s">
        <v>2159</v>
      </c>
      <c r="B1" s="2558"/>
      <c r="C1" s="2558"/>
      <c r="D1" s="2558"/>
      <c r="E1" s="2558"/>
      <c r="F1" s="2558"/>
      <c r="G1" s="2558"/>
      <c r="H1" s="2558"/>
      <c r="I1" s="2558"/>
      <c r="J1" s="2558"/>
      <c r="K1" s="2558"/>
      <c r="L1" s="2558"/>
      <c r="M1" s="2558"/>
      <c r="N1" s="2558"/>
      <c r="O1" s="2558"/>
      <c r="P1" s="2558"/>
      <c r="Q1" s="2558"/>
      <c r="R1" s="2558"/>
    </row>
    <row r="2" spans="1:18" ht="18" customHeight="1" x14ac:dyDescent="0.2">
      <c r="A2" s="2559" t="s">
        <v>2069</v>
      </c>
      <c r="B2" s="2559"/>
      <c r="C2" s="2559"/>
      <c r="D2" s="2559"/>
      <c r="E2" s="2559"/>
      <c r="F2" s="2559"/>
      <c r="G2" s="2559"/>
      <c r="H2" s="2559"/>
      <c r="I2" s="2559"/>
      <c r="J2" s="2559"/>
      <c r="K2" s="2559"/>
      <c r="L2" s="2559"/>
      <c r="M2" s="2559"/>
      <c r="N2" s="2559"/>
      <c r="O2" s="2559"/>
      <c r="P2" s="2559"/>
      <c r="Q2" s="2559"/>
      <c r="R2" s="2559"/>
    </row>
    <row r="3" spans="1:18" ht="20.25" customHeight="1" x14ac:dyDescent="0.2">
      <c r="A3" s="2559" t="s">
        <v>1219</v>
      </c>
      <c r="B3" s="2559"/>
      <c r="C3" s="2559"/>
      <c r="D3" s="2559"/>
      <c r="E3" s="2559"/>
      <c r="F3" s="2559"/>
      <c r="G3" s="2559"/>
      <c r="H3" s="2559"/>
      <c r="I3" s="2559"/>
      <c r="J3" s="2559"/>
      <c r="K3" s="2559"/>
      <c r="L3" s="2559"/>
      <c r="M3" s="2559"/>
      <c r="N3" s="2559"/>
      <c r="O3" s="2559"/>
      <c r="P3" s="2559"/>
      <c r="Q3" s="2559"/>
      <c r="R3" s="2559"/>
    </row>
    <row r="4" spans="1:18" ht="14.25" x14ac:dyDescent="0.2">
      <c r="A4" s="2560" t="s">
        <v>2158</v>
      </c>
      <c r="B4" s="2560"/>
      <c r="C4" s="2560"/>
      <c r="D4" s="2560"/>
      <c r="E4" s="2560"/>
      <c r="F4" s="2560"/>
      <c r="G4" s="2560"/>
      <c r="H4" s="2560"/>
      <c r="I4" s="2560"/>
      <c r="J4" s="2560"/>
      <c r="K4" s="2560"/>
      <c r="L4" s="2560"/>
      <c r="M4" s="2560"/>
      <c r="N4" s="2560"/>
      <c r="O4" s="2560"/>
      <c r="P4" s="2560"/>
      <c r="Q4" s="2560"/>
      <c r="R4" s="2560"/>
    </row>
    <row r="5" spans="1:18" ht="12.75" x14ac:dyDescent="0.2">
      <c r="A5" s="2013"/>
      <c r="B5" s="2013"/>
      <c r="C5" s="2013"/>
      <c r="D5" s="2013"/>
      <c r="E5" s="2013"/>
      <c r="F5" s="2012"/>
      <c r="G5" s="2012"/>
      <c r="H5" s="2012"/>
      <c r="I5" s="2012"/>
      <c r="J5" s="2012"/>
      <c r="K5" s="2012"/>
      <c r="L5" s="2010"/>
      <c r="M5" s="2010"/>
      <c r="N5" s="2010"/>
      <c r="O5" s="2011"/>
      <c r="P5" s="2010"/>
      <c r="Q5" s="2010"/>
      <c r="R5" s="2010"/>
    </row>
    <row r="6" spans="1:18" s="1952" customFormat="1" ht="15" x14ac:dyDescent="0.2">
      <c r="A6" s="2009"/>
      <c r="B6" s="2009"/>
      <c r="C6" s="2009"/>
      <c r="D6" s="2009"/>
      <c r="E6" s="2009"/>
      <c r="F6" s="2008"/>
      <c r="G6" s="2008"/>
      <c r="H6" s="2008"/>
      <c r="I6" s="2008"/>
      <c r="J6" s="2008"/>
      <c r="K6" s="2008"/>
      <c r="L6" s="2006"/>
      <c r="M6" s="2006"/>
      <c r="N6" s="2006"/>
      <c r="O6" s="2007"/>
      <c r="P6" s="2006"/>
      <c r="Q6" s="2006"/>
      <c r="R6" s="2006"/>
    </row>
    <row r="7" spans="1:18" s="1969" customFormat="1" ht="17.25" x14ac:dyDescent="0.2">
      <c r="A7" s="2008"/>
      <c r="B7" s="2006"/>
      <c r="C7" s="2006"/>
      <c r="D7" s="2007" t="s">
        <v>2157</v>
      </c>
      <c r="E7" s="2007"/>
      <c r="F7" s="2557" t="s">
        <v>527</v>
      </c>
      <c r="G7" s="2557"/>
      <c r="H7" s="2557"/>
      <c r="I7" s="2056"/>
      <c r="J7" s="2557" t="s">
        <v>2156</v>
      </c>
      <c r="K7" s="2557"/>
      <c r="L7" s="2557"/>
      <c r="M7" s="2006"/>
      <c r="N7" s="2006"/>
      <c r="O7" s="2007"/>
      <c r="P7" s="2006"/>
      <c r="Q7" s="2006"/>
      <c r="R7" s="2006"/>
    </row>
    <row r="8" spans="1:18" s="1969" customFormat="1" ht="15" x14ac:dyDescent="0.2">
      <c r="A8" s="1958"/>
      <c r="B8" s="1953" t="s">
        <v>1264</v>
      </c>
      <c r="C8" s="2007"/>
      <c r="D8" s="1953" t="s">
        <v>2155</v>
      </c>
      <c r="E8" s="1953"/>
      <c r="F8" s="1953" t="s">
        <v>2154</v>
      </c>
      <c r="G8" s="1953"/>
      <c r="H8" s="1973" t="s">
        <v>2153</v>
      </c>
      <c r="I8" s="1973"/>
      <c r="J8" s="1953" t="s">
        <v>2152</v>
      </c>
      <c r="K8" s="1953"/>
      <c r="L8" s="1973" t="str">
        <f>+H8</f>
        <v>7/01/18</v>
      </c>
      <c r="M8" s="1962"/>
      <c r="N8" s="1953" t="s">
        <v>1261</v>
      </c>
      <c r="O8" s="1953"/>
      <c r="P8" s="1953" t="s">
        <v>2151</v>
      </c>
      <c r="Q8" s="2007"/>
      <c r="R8" s="1958" t="s">
        <v>1169</v>
      </c>
    </row>
    <row r="9" spans="1:18" s="1952" customFormat="1" ht="15" x14ac:dyDescent="0.2">
      <c r="A9" s="1958" t="s">
        <v>2150</v>
      </c>
      <c r="B9" s="1953" t="s">
        <v>2149</v>
      </c>
      <c r="C9" s="2007"/>
      <c r="D9" s="1953" t="s">
        <v>2149</v>
      </c>
      <c r="E9" s="1953"/>
      <c r="F9" s="2005">
        <v>43281</v>
      </c>
      <c r="G9" s="2005"/>
      <c r="H9" s="2005">
        <v>43646</v>
      </c>
      <c r="I9" s="2005"/>
      <c r="J9" s="2005">
        <f>+F9</f>
        <v>43281</v>
      </c>
      <c r="K9" s="2005"/>
      <c r="L9" s="2005">
        <f>+H9</f>
        <v>43646</v>
      </c>
      <c r="M9" s="1962"/>
      <c r="N9" s="1953" t="s">
        <v>2148</v>
      </c>
      <c r="O9" s="1953"/>
      <c r="P9" s="1953" t="s">
        <v>1257</v>
      </c>
      <c r="Q9" s="2007"/>
      <c r="R9" s="1953" t="s">
        <v>30</v>
      </c>
    </row>
    <row r="10" spans="1:18" s="1969" customFormat="1" ht="15" x14ac:dyDescent="0.2">
      <c r="A10" s="2004" t="s">
        <v>2147</v>
      </c>
      <c r="B10" s="2055" t="s">
        <v>1255</v>
      </c>
      <c r="C10" s="2007"/>
      <c r="D10" s="2055" t="s">
        <v>1254</v>
      </c>
      <c r="E10" s="1953"/>
      <c r="F10" s="2055" t="s">
        <v>1253</v>
      </c>
      <c r="G10" s="1953"/>
      <c r="H10" s="2055" t="s">
        <v>1252</v>
      </c>
      <c r="I10" s="1953"/>
      <c r="J10" s="2055" t="s">
        <v>1251</v>
      </c>
      <c r="K10" s="1953"/>
      <c r="L10" s="2055" t="s">
        <v>1250</v>
      </c>
      <c r="M10" s="2001"/>
      <c r="N10" s="2055" t="s">
        <v>1249</v>
      </c>
      <c r="O10" s="2000"/>
      <c r="P10" s="2055" t="s">
        <v>1248</v>
      </c>
      <c r="Q10" s="2007"/>
      <c r="R10" s="2055" t="s">
        <v>1247</v>
      </c>
    </row>
    <row r="11" spans="1:18" s="1952" customFormat="1" ht="15" x14ac:dyDescent="0.2">
      <c r="A11" s="1962"/>
      <c r="B11" s="2003"/>
      <c r="C11" s="2054"/>
      <c r="D11" s="2003"/>
      <c r="E11" s="1953"/>
      <c r="F11" s="2000"/>
      <c r="G11" s="2000"/>
      <c r="H11" s="2000"/>
      <c r="I11" s="2000"/>
      <c r="J11" s="2000"/>
      <c r="K11" s="2000"/>
      <c r="L11" s="2000"/>
      <c r="M11" s="2001"/>
      <c r="N11" s="1999"/>
      <c r="O11" s="2000"/>
      <c r="P11" s="1999"/>
      <c r="Q11" s="2053"/>
      <c r="R11" s="1999"/>
    </row>
    <row r="12" spans="1:18" s="1952" customFormat="1" ht="15" x14ac:dyDescent="0.2">
      <c r="A12" s="1967" t="s">
        <v>2146</v>
      </c>
      <c r="B12" s="2003"/>
      <c r="C12" s="2054"/>
      <c r="D12" s="2003"/>
      <c r="E12" s="1953"/>
      <c r="F12" s="2000"/>
      <c r="G12" s="2000"/>
      <c r="H12" s="2000"/>
      <c r="I12" s="2000"/>
      <c r="J12" s="2000"/>
      <c r="K12" s="2000"/>
      <c r="L12" s="2000"/>
      <c r="M12" s="2001"/>
      <c r="N12" s="1999"/>
      <c r="O12" s="2000"/>
      <c r="P12" s="1999"/>
      <c r="Q12" s="2053"/>
      <c r="R12" s="1999"/>
    </row>
    <row r="13" spans="1:18" s="1952" customFormat="1" ht="15" x14ac:dyDescent="0.2">
      <c r="A13" s="1967" t="s">
        <v>2114</v>
      </c>
      <c r="B13" s="2003"/>
      <c r="C13" s="2054"/>
      <c r="D13" s="2003"/>
      <c r="E13" s="1953"/>
      <c r="F13" s="2000"/>
      <c r="G13" s="2000"/>
      <c r="H13" s="2000"/>
      <c r="I13" s="2000"/>
      <c r="J13" s="2000"/>
      <c r="K13" s="2000"/>
      <c r="L13" s="2000"/>
      <c r="M13" s="2001"/>
      <c r="N13" s="1999"/>
      <c r="O13" s="2000"/>
      <c r="P13" s="1999"/>
      <c r="Q13" s="2053"/>
      <c r="R13" s="1999"/>
    </row>
    <row r="14" spans="1:18" s="1952" customFormat="1" ht="15" x14ac:dyDescent="0.2">
      <c r="A14" s="1967" t="s">
        <v>2135</v>
      </c>
      <c r="B14" s="2003"/>
      <c r="C14" s="2054"/>
      <c r="D14" s="2002"/>
      <c r="E14" s="1953"/>
      <c r="F14" s="2000"/>
      <c r="G14" s="2000"/>
      <c r="H14" s="2000"/>
      <c r="I14" s="2000"/>
      <c r="J14" s="2000"/>
      <c r="K14" s="2000"/>
      <c r="L14" s="2000"/>
      <c r="M14" s="2001"/>
      <c r="N14" s="1999"/>
      <c r="O14" s="2000"/>
      <c r="P14" s="1999"/>
      <c r="Q14" s="2053"/>
      <c r="R14" s="1999"/>
    </row>
    <row r="15" spans="1:18" s="1952" customFormat="1" ht="15" x14ac:dyDescent="0.2">
      <c r="A15" s="1962"/>
      <c r="B15" s="1962"/>
      <c r="C15" s="2006"/>
      <c r="D15" s="1998"/>
      <c r="E15" s="1953"/>
      <c r="F15" s="1986"/>
      <c r="G15" s="1986"/>
      <c r="H15" s="1986"/>
      <c r="I15" s="1986"/>
      <c r="J15" s="1986"/>
      <c r="K15" s="1986"/>
      <c r="L15" s="1986"/>
      <c r="M15" s="1962"/>
      <c r="N15" s="1962"/>
      <c r="O15" s="1953"/>
      <c r="P15" s="1962"/>
      <c r="Q15" s="2006"/>
      <c r="R15" s="1997"/>
    </row>
    <row r="16" spans="1:18" s="1952" customFormat="1" ht="15" x14ac:dyDescent="0.2">
      <c r="A16" s="1958" t="s">
        <v>1058</v>
      </c>
      <c r="B16" s="1970">
        <v>10.555</v>
      </c>
      <c r="C16" s="2041"/>
      <c r="D16" s="1975" t="s">
        <v>2145</v>
      </c>
      <c r="E16" s="1953"/>
      <c r="F16" s="1968">
        <v>130055</v>
      </c>
      <c r="G16" s="1968"/>
      <c r="H16" s="1968">
        <v>45808</v>
      </c>
      <c r="I16" s="1968"/>
      <c r="J16" s="1968">
        <v>144656</v>
      </c>
      <c r="K16" s="1968"/>
      <c r="L16" s="1960">
        <v>31207</v>
      </c>
      <c r="M16" s="1960"/>
      <c r="N16" s="1960"/>
      <c r="O16" s="1975"/>
      <c r="P16" s="1972">
        <f>J16+L16+N16</f>
        <v>175863</v>
      </c>
      <c r="Q16" s="2038"/>
      <c r="R16" s="1991" t="s">
        <v>2109</v>
      </c>
    </row>
    <row r="17" spans="1:18" s="1952" customFormat="1" ht="15" x14ac:dyDescent="0.2">
      <c r="A17" s="1958" t="s">
        <v>1058</v>
      </c>
      <c r="B17" s="1970">
        <v>10.555</v>
      </c>
      <c r="C17" s="2041"/>
      <c r="D17" s="1975" t="s">
        <v>2144</v>
      </c>
      <c r="E17" s="1953"/>
      <c r="F17" s="1968"/>
      <c r="G17" s="1968"/>
      <c r="H17" s="1968">
        <v>143857</v>
      </c>
      <c r="I17" s="1968"/>
      <c r="J17" s="1968"/>
      <c r="K17" s="1968"/>
      <c r="L17" s="1968">
        <v>143857</v>
      </c>
      <c r="M17" s="1960"/>
      <c r="N17" s="1960"/>
      <c r="O17" s="1975">
        <v>-3</v>
      </c>
      <c r="P17" s="1972">
        <f>J17+L17+N17</f>
        <v>143857</v>
      </c>
      <c r="Q17" s="2038"/>
      <c r="R17" s="1991" t="s">
        <v>2109</v>
      </c>
    </row>
    <row r="18" spans="1:18" s="1952" customFormat="1" ht="15" x14ac:dyDescent="0.2">
      <c r="A18" s="1958"/>
      <c r="B18" s="1970"/>
      <c r="C18" s="2041"/>
      <c r="D18" s="1953"/>
      <c r="E18" s="1953"/>
      <c r="F18" s="1968"/>
      <c r="G18" s="1968"/>
      <c r="H18" s="1968"/>
      <c r="I18" s="1968"/>
      <c r="J18" s="1968"/>
      <c r="K18" s="1968"/>
      <c r="L18" s="1968"/>
      <c r="M18" s="1960"/>
      <c r="N18" s="1962"/>
      <c r="O18" s="1978"/>
      <c r="P18" s="1972"/>
      <c r="Q18" s="2038"/>
      <c r="R18" s="1991"/>
    </row>
    <row r="19" spans="1:18" s="1952" customFormat="1" ht="15" x14ac:dyDescent="0.2">
      <c r="A19" s="1958" t="s">
        <v>1059</v>
      </c>
      <c r="B19" s="1970">
        <v>10.553000000000001</v>
      </c>
      <c r="C19" s="2041"/>
      <c r="D19" s="1975" t="s">
        <v>2143</v>
      </c>
      <c r="E19" s="1953"/>
      <c r="F19" s="1996">
        <v>22179</v>
      </c>
      <c r="G19" s="1996"/>
      <c r="H19" s="1968">
        <v>7292</v>
      </c>
      <c r="I19" s="1968"/>
      <c r="J19" s="1996">
        <v>24698</v>
      </c>
      <c r="K19" s="1996"/>
      <c r="L19" s="1960">
        <v>4773</v>
      </c>
      <c r="M19" s="1960"/>
      <c r="N19" s="1960"/>
      <c r="O19" s="1975"/>
      <c r="P19" s="1972">
        <f>J19+L19+N19</f>
        <v>29471</v>
      </c>
      <c r="Q19" s="2038"/>
      <c r="R19" s="1991" t="s">
        <v>2109</v>
      </c>
    </row>
    <row r="20" spans="1:18" s="1952" customFormat="1" ht="15" x14ac:dyDescent="0.2">
      <c r="A20" s="1958" t="s">
        <v>1059</v>
      </c>
      <c r="B20" s="1970">
        <v>10.553000000000001</v>
      </c>
      <c r="C20" s="2041"/>
      <c r="D20" s="1975" t="s">
        <v>2142</v>
      </c>
      <c r="E20" s="1975"/>
      <c r="F20" s="1968"/>
      <c r="G20" s="1968"/>
      <c r="H20" s="1996">
        <v>25104</v>
      </c>
      <c r="I20" s="1996"/>
      <c r="J20" s="1968"/>
      <c r="K20" s="1968"/>
      <c r="L20" s="1996">
        <v>25104</v>
      </c>
      <c r="M20" s="1960"/>
      <c r="N20" s="1960"/>
      <c r="O20" s="1975">
        <v>-3</v>
      </c>
      <c r="P20" s="1972">
        <f>J20+L20+N20</f>
        <v>25104</v>
      </c>
      <c r="Q20" s="2038"/>
      <c r="R20" s="1991" t="s">
        <v>2109</v>
      </c>
    </row>
    <row r="21" spans="1:18" s="1952" customFormat="1" ht="15" x14ac:dyDescent="0.2">
      <c r="A21" s="1958"/>
      <c r="B21" s="1970"/>
      <c r="C21" s="2041"/>
      <c r="D21" s="1953"/>
      <c r="E21" s="1953"/>
      <c r="F21" s="1968"/>
      <c r="G21" s="1968"/>
      <c r="H21" s="1968"/>
      <c r="I21" s="1968"/>
      <c r="J21" s="1968"/>
      <c r="K21" s="1968"/>
      <c r="L21" s="1968"/>
      <c r="M21" s="1960"/>
      <c r="N21" s="1960"/>
      <c r="O21" s="1978"/>
      <c r="P21" s="1972"/>
      <c r="Q21" s="2038"/>
      <c r="R21" s="1991"/>
    </row>
    <row r="22" spans="1:18" s="1952" customFormat="1" ht="15" hidden="1" x14ac:dyDescent="0.2">
      <c r="A22" s="1958" t="s">
        <v>2141</v>
      </c>
      <c r="B22" s="1970">
        <v>10.55</v>
      </c>
      <c r="C22" s="2041"/>
      <c r="D22" s="1953" t="s">
        <v>2140</v>
      </c>
      <c r="E22" s="1953"/>
      <c r="F22" s="1968"/>
      <c r="G22" s="1968"/>
      <c r="H22" s="1995"/>
      <c r="I22" s="1995"/>
      <c r="J22" s="1968"/>
      <c r="K22" s="1968"/>
      <c r="L22" s="1968"/>
      <c r="M22" s="1960"/>
      <c r="N22" s="1960"/>
      <c r="O22" s="1975"/>
      <c r="P22" s="1972">
        <f>J22+L22+N22</f>
        <v>0</v>
      </c>
      <c r="Q22" s="2038"/>
      <c r="R22" s="1991" t="s">
        <v>2109</v>
      </c>
    </row>
    <row r="23" spans="1:18" s="1952" customFormat="1" ht="15" hidden="1" x14ac:dyDescent="0.2">
      <c r="A23" s="1958" t="s">
        <v>2141</v>
      </c>
      <c r="B23" s="1970">
        <v>10.55</v>
      </c>
      <c r="C23" s="2041"/>
      <c r="D23" s="1953" t="s">
        <v>2140</v>
      </c>
      <c r="E23" s="1953"/>
      <c r="F23" s="1995"/>
      <c r="G23" s="1995"/>
      <c r="H23" s="1995"/>
      <c r="I23" s="1995"/>
      <c r="J23" s="1968"/>
      <c r="K23" s="1968"/>
      <c r="L23" s="1968"/>
      <c r="M23" s="1960"/>
      <c r="N23" s="1960"/>
      <c r="O23" s="1975"/>
      <c r="P23" s="1972">
        <f>J23+L23+N23</f>
        <v>0</v>
      </c>
      <c r="Q23" s="2038"/>
      <c r="R23" s="1991"/>
    </row>
    <row r="24" spans="1:18" s="1952" customFormat="1" ht="15" hidden="1" x14ac:dyDescent="0.2">
      <c r="A24" s="1958"/>
      <c r="B24" s="1970"/>
      <c r="C24" s="2041"/>
      <c r="D24" s="1953"/>
      <c r="E24" s="1953"/>
      <c r="F24" s="1968"/>
      <c r="G24" s="1968"/>
      <c r="H24" s="1968"/>
      <c r="I24" s="1968"/>
      <c r="J24" s="1968"/>
      <c r="K24" s="1968"/>
      <c r="L24" s="1968"/>
      <c r="M24" s="1960"/>
      <c r="N24" s="1960"/>
      <c r="O24" s="1978"/>
      <c r="P24" s="1972"/>
      <c r="Q24" s="2038"/>
      <c r="R24" s="1991"/>
    </row>
    <row r="25" spans="1:18" s="1952" customFormat="1" ht="15" x14ac:dyDescent="0.2">
      <c r="A25" s="1958" t="s">
        <v>2139</v>
      </c>
      <c r="B25" s="1970"/>
      <c r="C25" s="2041"/>
      <c r="D25" s="1953"/>
      <c r="E25" s="1953"/>
      <c r="F25" s="1968"/>
      <c r="G25" s="1968"/>
      <c r="H25" s="1968"/>
      <c r="I25" s="1968"/>
      <c r="J25" s="1968"/>
      <c r="K25" s="1968"/>
      <c r="L25" s="1968"/>
      <c r="M25" s="1960"/>
      <c r="N25" s="1960"/>
      <c r="O25" s="1978"/>
      <c r="P25" s="1972"/>
      <c r="Q25" s="2038"/>
      <c r="R25" s="1991"/>
    </row>
    <row r="26" spans="1:18" s="1952" customFormat="1" ht="15" x14ac:dyDescent="0.2">
      <c r="A26" s="1958" t="s">
        <v>2166</v>
      </c>
      <c r="B26" s="1970">
        <v>10.555</v>
      </c>
      <c r="C26" s="2041"/>
      <c r="D26" s="1975" t="s">
        <v>2138</v>
      </c>
      <c r="E26" s="1953"/>
      <c r="F26" s="1968"/>
      <c r="G26" s="1968"/>
      <c r="H26" s="1968"/>
      <c r="I26" s="1968"/>
      <c r="J26" s="1968">
        <v>6498</v>
      </c>
      <c r="K26" s="1968"/>
      <c r="L26" s="1968"/>
      <c r="M26" s="1960"/>
      <c r="N26" s="1960"/>
      <c r="O26" s="1961"/>
      <c r="P26" s="1972">
        <f>J26+L26+N26</f>
        <v>6498</v>
      </c>
      <c r="Q26" s="2038"/>
      <c r="R26" s="1991" t="s">
        <v>2109</v>
      </c>
    </row>
    <row r="27" spans="1:18" s="1952" customFormat="1" ht="15" x14ac:dyDescent="0.2">
      <c r="A27" s="1958" t="s">
        <v>2166</v>
      </c>
      <c r="B27" s="1970">
        <v>10.555</v>
      </c>
      <c r="C27" s="2041"/>
      <c r="D27" s="1975" t="s">
        <v>2137</v>
      </c>
      <c r="E27" s="1953"/>
      <c r="F27" s="1968"/>
      <c r="G27" s="1968"/>
      <c r="H27" s="1968"/>
      <c r="I27" s="1968"/>
      <c r="J27" s="1968"/>
      <c r="K27" s="1968"/>
      <c r="L27" s="1968">
        <v>6498</v>
      </c>
      <c r="M27" s="1960"/>
      <c r="N27" s="1960"/>
      <c r="O27" s="1961"/>
      <c r="P27" s="1972">
        <f>J27+L27+N27</f>
        <v>6498</v>
      </c>
      <c r="Q27" s="2038"/>
      <c r="R27" s="1991" t="s">
        <v>2109</v>
      </c>
    </row>
    <row r="28" spans="1:18" s="1952" customFormat="1" ht="15" x14ac:dyDescent="0.2">
      <c r="A28" s="1958"/>
      <c r="B28" s="1970"/>
      <c r="C28" s="2041"/>
      <c r="D28" s="1975"/>
      <c r="E28" s="1953"/>
      <c r="F28" s="1968"/>
      <c r="G28" s="1968"/>
      <c r="H28" s="1968"/>
      <c r="I28" s="1968"/>
      <c r="J28" s="1968"/>
      <c r="K28" s="1968"/>
      <c r="L28" s="1968"/>
      <c r="M28" s="1960"/>
      <c r="N28" s="1960"/>
      <c r="O28" s="1961"/>
      <c r="P28" s="1972"/>
      <c r="Q28" s="2038"/>
      <c r="R28" s="1991"/>
    </row>
    <row r="29" spans="1:18" s="1952" customFormat="1" ht="15" x14ac:dyDescent="0.2">
      <c r="A29" s="1958" t="s">
        <v>2167</v>
      </c>
      <c r="B29" s="1970">
        <v>10.555</v>
      </c>
      <c r="C29" s="2041"/>
      <c r="D29" s="1975" t="s">
        <v>2138</v>
      </c>
      <c r="E29" s="1953"/>
      <c r="F29" s="1968"/>
      <c r="G29" s="1968"/>
      <c r="H29" s="1968"/>
      <c r="I29" s="1968"/>
      <c r="J29" s="1968">
        <v>45897</v>
      </c>
      <c r="K29" s="1968"/>
      <c r="L29" s="1968"/>
      <c r="M29" s="1960"/>
      <c r="N29" s="1960"/>
      <c r="O29" s="1961"/>
      <c r="P29" s="1972">
        <f>J29+L29+N29</f>
        <v>45897</v>
      </c>
      <c r="Q29" s="2038"/>
      <c r="R29" s="1991" t="s">
        <v>2109</v>
      </c>
    </row>
    <row r="30" spans="1:18" s="1969" customFormat="1" ht="17.25" x14ac:dyDescent="0.2">
      <c r="A30" s="1958" t="s">
        <v>2167</v>
      </c>
      <c r="B30" s="1970">
        <v>10.555</v>
      </c>
      <c r="C30" s="2041"/>
      <c r="D30" s="1975" t="s">
        <v>2137</v>
      </c>
      <c r="E30" s="1953"/>
      <c r="F30" s="1968">
        <v>0</v>
      </c>
      <c r="G30" s="1968"/>
      <c r="H30" s="1968">
        <v>0</v>
      </c>
      <c r="I30" s="1968"/>
      <c r="J30" s="1968">
        <v>0</v>
      </c>
      <c r="K30" s="1968"/>
      <c r="L30" s="1968">
        <v>43130</v>
      </c>
      <c r="M30" s="1960"/>
      <c r="N30" s="1960">
        <v>0</v>
      </c>
      <c r="O30" s="1960"/>
      <c r="P30" s="1960">
        <f>J30+L30+N30</f>
        <v>43130</v>
      </c>
      <c r="Q30" s="2033"/>
      <c r="R30" s="1991" t="s">
        <v>2109</v>
      </c>
    </row>
    <row r="31" spans="1:18" s="1969" customFormat="1" ht="17.25" x14ac:dyDescent="0.2">
      <c r="A31" s="1967" t="s">
        <v>2136</v>
      </c>
      <c r="B31" s="1970"/>
      <c r="C31" s="2041"/>
      <c r="D31" s="1953"/>
      <c r="E31" s="1953"/>
      <c r="F31" s="2052">
        <f>SUM(F16:F30)</f>
        <v>152234</v>
      </c>
      <c r="G31" s="1968"/>
      <c r="H31" s="2052">
        <f>SUM(H16:H30)</f>
        <v>222061</v>
      </c>
      <c r="I31" s="1968"/>
      <c r="J31" s="2052">
        <f>SUM(J16:J30)</f>
        <v>221749</v>
      </c>
      <c r="K31" s="1968"/>
      <c r="L31" s="2052">
        <f>SUM(L16:L30)</f>
        <v>254569</v>
      </c>
      <c r="M31" s="1960"/>
      <c r="N31" s="2051">
        <f>SUM(N16:N30)</f>
        <v>0</v>
      </c>
      <c r="O31" s="1960"/>
      <c r="P31" s="2051">
        <f>SUM(P16:P30)</f>
        <v>476318</v>
      </c>
      <c r="Q31" s="2033"/>
      <c r="R31" s="1991"/>
    </row>
    <row r="32" spans="1:18" s="1952" customFormat="1" ht="15" x14ac:dyDescent="0.2">
      <c r="A32" s="1958"/>
      <c r="B32" s="1970"/>
      <c r="C32" s="2041"/>
      <c r="D32" s="1953"/>
      <c r="E32" s="1953"/>
      <c r="F32" s="1968"/>
      <c r="G32" s="1968"/>
      <c r="H32" s="1968"/>
      <c r="I32" s="1968"/>
      <c r="J32" s="1968"/>
      <c r="K32" s="1968"/>
      <c r="L32" s="1968"/>
      <c r="M32" s="1960"/>
      <c r="N32" s="1960"/>
      <c r="O32" s="1961"/>
      <c r="P32" s="1972"/>
      <c r="Q32" s="2038"/>
      <c r="R32" s="1991"/>
    </row>
    <row r="33" spans="1:18" s="1952" customFormat="1" ht="15" x14ac:dyDescent="0.2">
      <c r="A33" s="1967" t="s">
        <v>2121</v>
      </c>
      <c r="B33" s="1970"/>
      <c r="C33" s="2041"/>
      <c r="D33" s="1953"/>
      <c r="E33" s="1953"/>
      <c r="F33" s="1968"/>
      <c r="G33" s="1968"/>
      <c r="H33" s="1968"/>
      <c r="I33" s="1968"/>
      <c r="J33" s="1968"/>
      <c r="K33" s="1968"/>
      <c r="L33" s="1968"/>
      <c r="M33" s="1960"/>
      <c r="N33" s="1960"/>
      <c r="O33" s="1961"/>
      <c r="P33" s="1972"/>
      <c r="Q33" s="2038"/>
      <c r="R33" s="1991"/>
    </row>
    <row r="34" spans="1:18" s="1952" customFormat="1" ht="15" x14ac:dyDescent="0.2">
      <c r="A34" s="1967" t="s">
        <v>2114</v>
      </c>
      <c r="B34" s="1970"/>
      <c r="C34" s="2041"/>
      <c r="D34" s="1953"/>
      <c r="E34" s="1953"/>
      <c r="F34" s="1968"/>
      <c r="G34" s="1968"/>
      <c r="H34" s="1968"/>
      <c r="I34" s="1968"/>
      <c r="J34" s="1968"/>
      <c r="K34" s="1968"/>
      <c r="L34" s="1968"/>
      <c r="M34" s="1960"/>
      <c r="N34" s="1960"/>
      <c r="O34" s="1961"/>
      <c r="P34" s="1972"/>
      <c r="Q34" s="2038"/>
      <c r="R34" s="1991"/>
    </row>
    <row r="35" spans="1:18" s="1952" customFormat="1" ht="15" x14ac:dyDescent="0.2">
      <c r="A35" s="1967" t="s">
        <v>2135</v>
      </c>
      <c r="B35" s="1970"/>
      <c r="C35" s="2041"/>
      <c r="D35" s="1953"/>
      <c r="E35" s="1953"/>
      <c r="F35" s="1968"/>
      <c r="G35" s="1968"/>
      <c r="H35" s="1968"/>
      <c r="I35" s="1968"/>
      <c r="J35" s="1968"/>
      <c r="K35" s="1968"/>
      <c r="L35" s="1968"/>
      <c r="M35" s="1960"/>
      <c r="N35" s="1960"/>
      <c r="O35" s="1961"/>
      <c r="P35" s="1972"/>
      <c r="Q35" s="2038"/>
      <c r="R35" s="1991"/>
    </row>
    <row r="36" spans="1:18" s="1952" customFormat="1" ht="15" x14ac:dyDescent="0.2">
      <c r="A36" s="1958"/>
      <c r="B36" s="1970"/>
      <c r="C36" s="2041"/>
      <c r="D36" s="1953"/>
      <c r="E36" s="1953"/>
      <c r="F36" s="1968"/>
      <c r="G36" s="1968"/>
      <c r="H36" s="1968"/>
      <c r="I36" s="1968"/>
      <c r="J36" s="1968"/>
      <c r="K36" s="1968"/>
      <c r="L36" s="1968"/>
      <c r="M36" s="1960"/>
      <c r="N36" s="1960"/>
      <c r="O36" s="1961"/>
      <c r="P36" s="1972"/>
      <c r="Q36" s="2038"/>
      <c r="R36" s="1991"/>
    </row>
    <row r="37" spans="1:18" s="1952" customFormat="1" ht="15" x14ac:dyDescent="0.2">
      <c r="A37" s="1977" t="s">
        <v>918</v>
      </c>
      <c r="B37" s="1984" t="s">
        <v>2133</v>
      </c>
      <c r="C37" s="2047"/>
      <c r="D37" s="1975" t="s">
        <v>2134</v>
      </c>
      <c r="E37" s="1990"/>
      <c r="F37" s="1968">
        <v>68584</v>
      </c>
      <c r="G37" s="1968"/>
      <c r="H37" s="1968">
        <v>68498</v>
      </c>
      <c r="I37" s="1968"/>
      <c r="J37" s="1968">
        <v>114817</v>
      </c>
      <c r="K37" s="1968"/>
      <c r="L37" s="1968">
        <v>22265</v>
      </c>
      <c r="M37" s="1968"/>
      <c r="N37" s="1968"/>
      <c r="O37" s="1978"/>
      <c r="P37" s="1982">
        <f>N37+L37+J37</f>
        <v>137082</v>
      </c>
      <c r="Q37" s="2039"/>
      <c r="R37" s="1968">
        <v>137529</v>
      </c>
    </row>
    <row r="38" spans="1:18" s="1952" customFormat="1" ht="15" x14ac:dyDescent="0.2">
      <c r="A38" s="1977" t="s">
        <v>918</v>
      </c>
      <c r="B38" s="1984" t="s">
        <v>2133</v>
      </c>
      <c r="C38" s="2047"/>
      <c r="D38" s="1975" t="s">
        <v>2132</v>
      </c>
      <c r="E38" s="1989"/>
      <c r="F38" s="1968"/>
      <c r="G38" s="1968"/>
      <c r="H38" s="1968">
        <v>71681</v>
      </c>
      <c r="I38" s="1968"/>
      <c r="J38" s="1968"/>
      <c r="K38" s="1968"/>
      <c r="L38" s="1968">
        <v>116200</v>
      </c>
      <c r="M38" s="1968"/>
      <c r="N38" s="1968">
        <v>27248</v>
      </c>
      <c r="O38" s="1978"/>
      <c r="P38" s="1982">
        <f>N38+L38+J38</f>
        <v>143448</v>
      </c>
      <c r="Q38" s="2039"/>
      <c r="R38" s="1968">
        <v>143656</v>
      </c>
    </row>
    <row r="39" spans="1:18" s="1952" customFormat="1" ht="15" x14ac:dyDescent="0.2">
      <c r="A39" s="1977"/>
      <c r="B39" s="1984"/>
      <c r="C39" s="2047"/>
      <c r="D39" s="1975"/>
      <c r="E39" s="1989"/>
      <c r="F39" s="1968"/>
      <c r="G39" s="1968"/>
      <c r="H39" s="1968"/>
      <c r="I39" s="1968"/>
      <c r="J39" s="1968"/>
      <c r="K39" s="1968"/>
      <c r="L39" s="1968"/>
      <c r="M39" s="1968"/>
      <c r="N39" s="1968"/>
      <c r="O39" s="1978"/>
      <c r="P39" s="1982"/>
      <c r="Q39" s="2039"/>
      <c r="R39" s="1968"/>
    </row>
    <row r="40" spans="1:18" s="1952" customFormat="1" ht="15" hidden="1" x14ac:dyDescent="0.2">
      <c r="A40" s="1993"/>
      <c r="B40" s="1984"/>
      <c r="C40" s="2047"/>
      <c r="D40" s="1975"/>
      <c r="E40" s="1989"/>
      <c r="F40" s="1968"/>
      <c r="G40" s="1968"/>
      <c r="H40" s="1968"/>
      <c r="I40" s="1968"/>
      <c r="J40" s="1968"/>
      <c r="K40" s="1968"/>
      <c r="L40" s="1968"/>
      <c r="M40" s="1968"/>
      <c r="N40" s="1968"/>
      <c r="O40" s="1978"/>
      <c r="P40" s="1982">
        <f>N40+L40+J40</f>
        <v>0</v>
      </c>
      <c r="Q40" s="2039"/>
      <c r="R40" s="1991"/>
    </row>
    <row r="41" spans="1:18" s="1952" customFormat="1" ht="15" hidden="1" x14ac:dyDescent="0.2">
      <c r="A41" s="1993" t="s">
        <v>2131</v>
      </c>
      <c r="B41" s="1984">
        <v>84.027000000000001</v>
      </c>
      <c r="C41" s="2047"/>
      <c r="D41" s="1975" t="s">
        <v>2130</v>
      </c>
      <c r="E41" s="1989"/>
      <c r="F41" s="1968"/>
      <c r="G41" s="1968"/>
      <c r="H41" s="1992"/>
      <c r="I41" s="1992"/>
      <c r="J41" s="1968"/>
      <c r="K41" s="1968"/>
      <c r="L41" s="1968"/>
      <c r="M41" s="1968"/>
      <c r="N41" s="1968"/>
      <c r="O41" s="1978"/>
      <c r="P41" s="1982">
        <f>N41+L41+J41</f>
        <v>0</v>
      </c>
      <c r="Q41" s="2039"/>
      <c r="R41" s="1991" t="s">
        <v>2109</v>
      </c>
    </row>
    <row r="42" spans="1:18" s="1952" customFormat="1" ht="15" hidden="1" x14ac:dyDescent="0.2">
      <c r="A42" s="1993"/>
      <c r="B42" s="1984"/>
      <c r="C42" s="2047"/>
      <c r="D42" s="1975"/>
      <c r="E42" s="1989"/>
      <c r="F42" s="1968"/>
      <c r="G42" s="1968"/>
      <c r="H42" s="1968"/>
      <c r="I42" s="1968"/>
      <c r="J42" s="1968"/>
      <c r="K42" s="1968"/>
      <c r="L42" s="1968"/>
      <c r="M42" s="1968"/>
      <c r="N42" s="1968"/>
      <c r="O42" s="1978"/>
      <c r="P42" s="1982"/>
      <c r="Q42" s="2039"/>
      <c r="R42" s="1991"/>
    </row>
    <row r="43" spans="1:18" s="1952" customFormat="1" ht="15" hidden="1" x14ac:dyDescent="0.2">
      <c r="A43" s="1993" t="s">
        <v>2129</v>
      </c>
      <c r="B43" s="1984">
        <v>84.027000000000001</v>
      </c>
      <c r="C43" s="2047"/>
      <c r="D43" s="1994" t="s">
        <v>2128</v>
      </c>
      <c r="E43" s="1989"/>
      <c r="F43" s="1968"/>
      <c r="G43" s="1968"/>
      <c r="H43" s="1992"/>
      <c r="I43" s="1992"/>
      <c r="J43" s="1968"/>
      <c r="K43" s="1968"/>
      <c r="L43" s="1968"/>
      <c r="M43" s="1968"/>
      <c r="N43" s="1968"/>
      <c r="O43" s="1978"/>
      <c r="P43" s="1982">
        <f>N43+L43+J43</f>
        <v>0</v>
      </c>
      <c r="Q43" s="2039"/>
      <c r="R43" s="1991" t="s">
        <v>2109</v>
      </c>
    </row>
    <row r="44" spans="1:18" s="1952" customFormat="1" ht="15" hidden="1" x14ac:dyDescent="0.2">
      <c r="A44" s="1993"/>
      <c r="B44" s="1984"/>
      <c r="C44" s="2047"/>
      <c r="D44" s="1975"/>
      <c r="E44" s="1989"/>
      <c r="F44" s="1968"/>
      <c r="G44" s="1968"/>
      <c r="H44" s="1992"/>
      <c r="I44" s="1992"/>
      <c r="J44" s="1968"/>
      <c r="K44" s="1968"/>
      <c r="L44" s="1968"/>
      <c r="M44" s="1968"/>
      <c r="N44" s="1968"/>
      <c r="O44" s="1978"/>
      <c r="P44" s="1982"/>
      <c r="Q44" s="2039"/>
      <c r="R44" s="1991"/>
    </row>
    <row r="45" spans="1:18" s="1952" customFormat="1" ht="15" x14ac:dyDescent="0.2">
      <c r="A45" s="1977" t="s">
        <v>758</v>
      </c>
      <c r="B45" s="1984">
        <v>84.367000000000004</v>
      </c>
      <c r="C45" s="2047"/>
      <c r="D45" s="1975" t="s">
        <v>2127</v>
      </c>
      <c r="E45" s="1990"/>
      <c r="F45" s="1968">
        <v>25326</v>
      </c>
      <c r="G45" s="1968"/>
      <c r="H45" s="1968">
        <v>20459</v>
      </c>
      <c r="I45" s="1968"/>
      <c r="J45" s="1978">
        <v>38192</v>
      </c>
      <c r="K45" s="1978"/>
      <c r="L45" s="1978">
        <v>7593</v>
      </c>
      <c r="M45" s="1978"/>
      <c r="N45" s="1968"/>
      <c r="O45" s="1978"/>
      <c r="P45" s="1982">
        <f>N45+L45+J45</f>
        <v>45785</v>
      </c>
      <c r="Q45" s="2039"/>
      <c r="R45" s="1968">
        <v>45785</v>
      </c>
    </row>
    <row r="46" spans="1:18" s="1952" customFormat="1" ht="15" x14ac:dyDescent="0.2">
      <c r="A46" s="1977" t="s">
        <v>758</v>
      </c>
      <c r="B46" s="1984">
        <v>84.367000000000004</v>
      </c>
      <c r="C46" s="2047"/>
      <c r="D46" s="1975" t="s">
        <v>2126</v>
      </c>
      <c r="E46" s="1989"/>
      <c r="F46" s="2035"/>
      <c r="G46" s="1996"/>
      <c r="H46" s="1968">
        <v>23407</v>
      </c>
      <c r="I46" s="1968"/>
      <c r="J46" s="1968"/>
      <c r="K46" s="1968"/>
      <c r="L46" s="1978">
        <v>34604</v>
      </c>
      <c r="M46" s="1978"/>
      <c r="N46" s="1978">
        <v>7465</v>
      </c>
      <c r="O46" s="1978"/>
      <c r="P46" s="1982">
        <f>N46+L46+J46</f>
        <v>42069</v>
      </c>
      <c r="Q46" s="2039"/>
      <c r="R46" s="1968">
        <v>42069</v>
      </c>
    </row>
    <row r="47" spans="1:18" s="1952" customFormat="1" ht="15" hidden="1" x14ac:dyDescent="0.2">
      <c r="A47" s="1977"/>
      <c r="B47" s="1984"/>
      <c r="C47" s="2047"/>
      <c r="D47" s="1975"/>
      <c r="E47" s="1989"/>
      <c r="F47" s="1968"/>
      <c r="G47" s="1968"/>
      <c r="H47" s="1968"/>
      <c r="I47" s="1968"/>
      <c r="J47" s="1968"/>
      <c r="K47" s="1968"/>
      <c r="L47" s="1968"/>
      <c r="M47" s="1968"/>
      <c r="N47" s="1968"/>
      <c r="O47" s="1978"/>
      <c r="P47" s="1982"/>
      <c r="Q47" s="2039"/>
      <c r="R47" s="1968"/>
    </row>
    <row r="48" spans="1:18" s="1952" customFormat="1" ht="15" hidden="1" x14ac:dyDescent="0.2">
      <c r="A48" s="1977"/>
      <c r="B48" s="1984"/>
      <c r="C48" s="2047"/>
      <c r="D48" s="1975"/>
      <c r="E48" s="1956"/>
      <c r="F48" s="1968">
        <v>0</v>
      </c>
      <c r="G48" s="1968"/>
      <c r="H48" s="1968">
        <v>0</v>
      </c>
      <c r="I48" s="1968"/>
      <c r="J48" s="1968">
        <v>0</v>
      </c>
      <c r="K48" s="1968"/>
      <c r="L48" s="1968">
        <v>0</v>
      </c>
      <c r="M48" s="1968">
        <v>0</v>
      </c>
      <c r="N48" s="1960">
        <v>0</v>
      </c>
      <c r="O48" s="1960"/>
      <c r="P48" s="1968">
        <f>N48+L48+J48</f>
        <v>0</v>
      </c>
      <c r="Q48" s="2042"/>
      <c r="R48" s="1968"/>
    </row>
    <row r="49" spans="1:18" s="1952" customFormat="1" ht="15" hidden="1" x14ac:dyDescent="0.2">
      <c r="A49" s="1977"/>
      <c r="B49" s="1984"/>
      <c r="C49" s="2047"/>
      <c r="D49" s="1975"/>
      <c r="E49" s="1989"/>
      <c r="F49" s="1968" t="s">
        <v>1169</v>
      </c>
      <c r="G49" s="1968"/>
      <c r="H49" s="1968" t="s">
        <v>1169</v>
      </c>
      <c r="I49" s="1968"/>
      <c r="J49" s="1968"/>
      <c r="K49" s="1968"/>
      <c r="L49" s="1968" t="s">
        <v>1169</v>
      </c>
      <c r="M49" s="1968"/>
      <c r="N49" s="1968"/>
      <c r="O49" s="1978"/>
      <c r="P49" s="1982"/>
      <c r="Q49" s="2050"/>
      <c r="R49" s="1968"/>
    </row>
    <row r="50" spans="1:18" s="1969" customFormat="1" ht="17.25" x14ac:dyDescent="0.2">
      <c r="A50" s="1979" t="s">
        <v>2125</v>
      </c>
      <c r="B50" s="1988"/>
      <c r="C50" s="2049"/>
      <c r="D50" s="1962"/>
      <c r="E50" s="1953"/>
      <c r="F50" s="2044">
        <f>SUM(F36:F49)</f>
        <v>93910</v>
      </c>
      <c r="G50" s="1982"/>
      <c r="H50" s="2044">
        <f>SUM(H36:H49)</f>
        <v>184045</v>
      </c>
      <c r="I50" s="1982"/>
      <c r="J50" s="2044">
        <f>SUM(J36:J49)</f>
        <v>153009</v>
      </c>
      <c r="K50" s="1982"/>
      <c r="L50" s="2044">
        <f>SUM(L36:L49)</f>
        <v>180662</v>
      </c>
      <c r="M50" s="1982"/>
      <c r="N50" s="2044">
        <f>SUM(N36:N49)</f>
        <v>34713</v>
      </c>
      <c r="O50" s="1972"/>
      <c r="P50" s="2048">
        <f>SUM(P36:P49)</f>
        <v>368384</v>
      </c>
      <c r="Q50" s="2036"/>
      <c r="R50" s="1987"/>
    </row>
    <row r="51" spans="1:18" s="1952" customFormat="1" ht="15" x14ac:dyDescent="0.2">
      <c r="A51" s="1962"/>
      <c r="B51" s="1970"/>
      <c r="C51" s="2041"/>
      <c r="D51" s="1973"/>
      <c r="E51" s="1953"/>
      <c r="F51" s="1968"/>
      <c r="G51" s="1968"/>
      <c r="H51" s="1968"/>
      <c r="I51" s="1968"/>
      <c r="J51" s="1968"/>
      <c r="K51" s="1968"/>
      <c r="L51" s="1968"/>
      <c r="M51" s="1968"/>
      <c r="N51" s="1968"/>
      <c r="O51" s="1961"/>
      <c r="P51" s="1972"/>
      <c r="Q51" s="2038"/>
      <c r="R51" s="1960"/>
    </row>
    <row r="52" spans="1:18" s="1952" customFormat="1" ht="15" x14ac:dyDescent="0.2">
      <c r="A52" s="1967" t="s">
        <v>2121</v>
      </c>
      <c r="B52" s="1970"/>
      <c r="C52" s="2041"/>
      <c r="D52" s="1973"/>
      <c r="E52" s="1953"/>
      <c r="F52" s="1968"/>
      <c r="G52" s="1968"/>
      <c r="H52" s="1968"/>
      <c r="I52" s="1968"/>
      <c r="J52" s="1968"/>
      <c r="K52" s="1968"/>
      <c r="L52" s="1968"/>
      <c r="M52" s="1968"/>
      <c r="N52" s="1968"/>
      <c r="O52" s="1961"/>
      <c r="P52" s="1972"/>
      <c r="Q52" s="2038"/>
      <c r="R52" s="1960"/>
    </row>
    <row r="53" spans="1:18" s="1952" customFormat="1" ht="15" x14ac:dyDescent="0.2">
      <c r="A53" s="1967" t="s">
        <v>2114</v>
      </c>
      <c r="B53" s="1970"/>
      <c r="C53" s="2041"/>
      <c r="D53" s="1973"/>
      <c r="E53" s="1953"/>
      <c r="F53" s="1968"/>
      <c r="G53" s="1968"/>
      <c r="H53" s="1968"/>
      <c r="I53" s="1968"/>
      <c r="J53" s="1968"/>
      <c r="K53" s="1968"/>
      <c r="L53" s="1968"/>
      <c r="M53" s="1968"/>
      <c r="N53" s="1968"/>
      <c r="O53" s="1961"/>
      <c r="P53" s="1972"/>
      <c r="Q53" s="2038"/>
      <c r="R53" s="1960"/>
    </row>
    <row r="54" spans="1:18" s="1952" customFormat="1" ht="15" x14ac:dyDescent="0.2">
      <c r="A54" s="1967" t="s">
        <v>2088</v>
      </c>
      <c r="B54" s="1970"/>
      <c r="C54" s="2041"/>
      <c r="D54" s="1973"/>
      <c r="E54" s="1953"/>
      <c r="F54" s="1968"/>
      <c r="G54" s="1968"/>
      <c r="H54" s="1968" t="s">
        <v>1169</v>
      </c>
      <c r="I54" s="1968"/>
      <c r="J54" s="1968"/>
      <c r="K54" s="1968"/>
      <c r="L54" s="1968"/>
      <c r="M54" s="1968"/>
      <c r="N54" s="1968"/>
      <c r="O54" s="1961"/>
      <c r="P54" s="1972"/>
      <c r="Q54" s="2038"/>
      <c r="R54" s="1960"/>
    </row>
    <row r="55" spans="1:18" s="1952" customFormat="1" ht="9.75" customHeight="1" x14ac:dyDescent="0.2">
      <c r="A55" s="1962"/>
      <c r="B55" s="1970"/>
      <c r="C55" s="2041"/>
      <c r="D55" s="1973"/>
      <c r="E55" s="1953"/>
      <c r="F55" s="1968"/>
      <c r="G55" s="1968"/>
      <c r="H55" s="1968"/>
      <c r="I55" s="1968"/>
      <c r="J55" s="1968"/>
      <c r="K55" s="1968"/>
      <c r="L55" s="1968"/>
      <c r="M55" s="1968"/>
      <c r="N55" s="1968"/>
      <c r="O55" s="1961"/>
      <c r="P55" s="1972"/>
      <c r="Q55" s="2038"/>
      <c r="R55" s="1960"/>
    </row>
    <row r="56" spans="1:18" s="1952" customFormat="1" ht="15" x14ac:dyDescent="0.2">
      <c r="A56" s="1958" t="s">
        <v>2123</v>
      </c>
      <c r="B56" s="1970">
        <v>84.027000000000001</v>
      </c>
      <c r="C56" s="2041"/>
      <c r="D56" s="1975" t="s">
        <v>2124</v>
      </c>
      <c r="E56" s="1953"/>
      <c r="F56" s="1968">
        <v>214093</v>
      </c>
      <c r="G56" s="1968"/>
      <c r="H56" s="1968">
        <v>97725</v>
      </c>
      <c r="I56" s="1968"/>
      <c r="J56" s="1968">
        <f>214093+56075</f>
        <v>270168</v>
      </c>
      <c r="K56" s="1968"/>
      <c r="L56" s="1968">
        <f>97725-56075</f>
        <v>41650</v>
      </c>
      <c r="M56" s="1968"/>
      <c r="N56" s="1968"/>
      <c r="O56" s="1978"/>
      <c r="P56" s="1982">
        <f>N56+L56+J56</f>
        <v>311818</v>
      </c>
      <c r="Q56" s="2039"/>
      <c r="R56" s="1968">
        <v>311818</v>
      </c>
    </row>
    <row r="57" spans="1:18" s="1952" customFormat="1" ht="17.25" x14ac:dyDescent="0.4">
      <c r="A57" s="1958" t="s">
        <v>2123</v>
      </c>
      <c r="B57" s="1970">
        <v>84.027000000000001</v>
      </c>
      <c r="C57" s="2041"/>
      <c r="D57" s="1975" t="s">
        <v>2122</v>
      </c>
      <c r="E57" s="1953"/>
      <c r="F57" s="2046">
        <v>0</v>
      </c>
      <c r="G57" s="2046"/>
      <c r="H57" s="2046">
        <v>221523</v>
      </c>
      <c r="I57" s="2046"/>
      <c r="J57" s="2046">
        <v>0</v>
      </c>
      <c r="K57" s="2046"/>
      <c r="L57" s="2046">
        <f>221523+61460</f>
        <v>282983</v>
      </c>
      <c r="M57" s="1968"/>
      <c r="N57" s="2046">
        <f>323956-282983</f>
        <v>40973</v>
      </c>
      <c r="O57" s="1978"/>
      <c r="P57" s="2046">
        <f>N57+L57+J57</f>
        <v>323956</v>
      </c>
      <c r="Q57" s="2045"/>
      <c r="R57" s="1968">
        <v>323956</v>
      </c>
    </row>
    <row r="58" spans="1:18" s="1952" customFormat="1" ht="9.75" hidden="1" customHeight="1" x14ac:dyDescent="0.2">
      <c r="A58" s="1962"/>
      <c r="B58" s="1970"/>
      <c r="C58" s="2041"/>
      <c r="D58" s="1973"/>
      <c r="E58" s="1953"/>
      <c r="F58" s="1968"/>
      <c r="G58" s="1968"/>
      <c r="H58" s="1968"/>
      <c r="I58" s="1968"/>
      <c r="J58" s="1968"/>
      <c r="K58" s="1968"/>
      <c r="L58" s="1968"/>
      <c r="M58" s="1960"/>
      <c r="N58" s="1960"/>
      <c r="O58" s="1961"/>
      <c r="P58" s="1972"/>
      <c r="Q58" s="2038"/>
      <c r="R58" s="1960"/>
    </row>
    <row r="59" spans="1:18" s="1952" customFormat="1" ht="15" hidden="1" x14ac:dyDescent="0.2">
      <c r="A59" s="1967" t="s">
        <v>2121</v>
      </c>
      <c r="B59" s="1970"/>
      <c r="C59" s="2041"/>
      <c r="D59" s="1973"/>
      <c r="E59" s="1953"/>
      <c r="F59" s="1968"/>
      <c r="G59" s="1968"/>
      <c r="H59" s="1968"/>
      <c r="I59" s="1968"/>
      <c r="J59" s="1968"/>
      <c r="K59" s="1968"/>
      <c r="L59" s="1968"/>
      <c r="M59" s="1960"/>
      <c r="N59" s="1960"/>
      <c r="O59" s="1961"/>
      <c r="P59" s="1972"/>
      <c r="Q59" s="2038"/>
      <c r="R59" s="1960"/>
    </row>
    <row r="60" spans="1:18" s="1952" customFormat="1" ht="15" hidden="1" x14ac:dyDescent="0.2">
      <c r="A60" s="1967" t="s">
        <v>2114</v>
      </c>
      <c r="B60" s="1970"/>
      <c r="C60" s="2041"/>
      <c r="D60" s="1973"/>
      <c r="E60" s="1953"/>
      <c r="F60" s="1968"/>
      <c r="G60" s="1968"/>
      <c r="H60" s="1968"/>
      <c r="I60" s="1968"/>
      <c r="J60" s="1968"/>
      <c r="K60" s="1968"/>
      <c r="L60" s="1968"/>
      <c r="M60" s="1960"/>
      <c r="N60" s="1960"/>
      <c r="O60" s="1961"/>
      <c r="P60" s="1972"/>
      <c r="Q60" s="2038"/>
      <c r="R60" s="1960"/>
    </row>
    <row r="61" spans="1:18" s="1952" customFormat="1" ht="15" hidden="1" x14ac:dyDescent="0.2">
      <c r="A61" s="1967" t="s">
        <v>2120</v>
      </c>
      <c r="B61" s="1970"/>
      <c r="C61" s="2041"/>
      <c r="D61" s="1973"/>
      <c r="E61" s="1953"/>
      <c r="F61" s="1968"/>
      <c r="G61" s="1968"/>
      <c r="H61" s="1968"/>
      <c r="I61" s="1968"/>
      <c r="J61" s="1968"/>
      <c r="K61" s="1968"/>
      <c r="L61" s="1968"/>
      <c r="M61" s="1960"/>
      <c r="N61" s="1960"/>
      <c r="O61" s="1961"/>
      <c r="P61" s="1972"/>
      <c r="Q61" s="2038"/>
      <c r="R61" s="1960"/>
    </row>
    <row r="62" spans="1:18" s="1952" customFormat="1" ht="9" hidden="1" customHeight="1" x14ac:dyDescent="0.2">
      <c r="A62" s="1962"/>
      <c r="B62" s="1970"/>
      <c r="C62" s="2041"/>
      <c r="D62" s="1973"/>
      <c r="E62" s="1953"/>
      <c r="F62" s="1968"/>
      <c r="G62" s="1968"/>
      <c r="H62" s="1968"/>
      <c r="I62" s="1968"/>
      <c r="J62" s="1968"/>
      <c r="K62" s="1968"/>
      <c r="L62" s="1968"/>
      <c r="M62" s="1968"/>
      <c r="N62" s="1968"/>
      <c r="O62" s="1978"/>
      <c r="P62" s="1982"/>
      <c r="Q62" s="2039"/>
      <c r="R62" s="1968"/>
    </row>
    <row r="63" spans="1:18" s="1952" customFormat="1" ht="15" hidden="1" x14ac:dyDescent="0.2">
      <c r="A63" s="1958" t="s">
        <v>2118</v>
      </c>
      <c r="B63" s="1984">
        <v>84.195999999999998</v>
      </c>
      <c r="C63" s="2047"/>
      <c r="D63" s="1975" t="s">
        <v>2119</v>
      </c>
      <c r="E63" s="1953"/>
      <c r="F63" s="1968"/>
      <c r="G63" s="1968"/>
      <c r="H63" s="1968"/>
      <c r="I63" s="1968"/>
      <c r="J63" s="1968"/>
      <c r="K63" s="1968"/>
      <c r="L63" s="1968"/>
      <c r="M63" s="1968"/>
      <c r="N63" s="1968"/>
      <c r="O63" s="1978"/>
      <c r="P63" s="1982">
        <f>N63+L63+J63</f>
        <v>0</v>
      </c>
      <c r="Q63" s="2039"/>
      <c r="R63" s="1985"/>
    </row>
    <row r="64" spans="1:18" s="1952" customFormat="1" ht="15" hidden="1" x14ac:dyDescent="0.2">
      <c r="A64" s="1958" t="s">
        <v>2118</v>
      </c>
      <c r="B64" s="1984">
        <v>84.195999999999998</v>
      </c>
      <c r="C64" s="2047"/>
      <c r="D64" s="1975" t="s">
        <v>2117</v>
      </c>
      <c r="E64" s="1953"/>
      <c r="F64" s="1968"/>
      <c r="G64" s="1968"/>
      <c r="H64" s="1983"/>
      <c r="I64" s="1983"/>
      <c r="J64" s="1968"/>
      <c r="K64" s="1968"/>
      <c r="L64" s="1983"/>
      <c r="M64" s="1968"/>
      <c r="N64" s="1968"/>
      <c r="O64" s="1978"/>
      <c r="P64" s="1982">
        <f>N64+L64+J64</f>
        <v>0</v>
      </c>
      <c r="Q64" s="2039"/>
      <c r="R64" s="1981"/>
    </row>
    <row r="65" spans="1:18" s="1952" customFormat="1" ht="9.75" hidden="1" customHeight="1" x14ac:dyDescent="0.2">
      <c r="A65" s="1962"/>
      <c r="B65" s="1970"/>
      <c r="C65" s="2041"/>
      <c r="D65" s="1973"/>
      <c r="E65" s="1953"/>
      <c r="F65" s="1968"/>
      <c r="G65" s="1968"/>
      <c r="H65" s="1968"/>
      <c r="I65" s="1968"/>
      <c r="J65" s="1968"/>
      <c r="K65" s="1968"/>
      <c r="L65" s="1968"/>
      <c r="M65" s="1960"/>
      <c r="N65" s="1980"/>
      <c r="O65" s="1961"/>
      <c r="P65" s="1972"/>
      <c r="Q65" s="2038"/>
      <c r="R65" s="1960"/>
    </row>
    <row r="66" spans="1:18" s="1952" customFormat="1" ht="8.25" hidden="1" customHeight="1" x14ac:dyDescent="0.4">
      <c r="A66" s="1962"/>
      <c r="B66" s="1970"/>
      <c r="C66" s="2041"/>
      <c r="D66" s="1973"/>
      <c r="E66" s="1953"/>
      <c r="F66" s="2046">
        <v>0</v>
      </c>
      <c r="G66" s="2046"/>
      <c r="H66" s="2046">
        <v>0</v>
      </c>
      <c r="I66" s="2046"/>
      <c r="J66" s="2046">
        <v>0</v>
      </c>
      <c r="K66" s="2046"/>
      <c r="L66" s="2046">
        <v>0</v>
      </c>
      <c r="M66" s="1968">
        <v>0</v>
      </c>
      <c r="N66" s="2046">
        <v>0</v>
      </c>
      <c r="O66" s="1968">
        <v>0</v>
      </c>
      <c r="P66" s="2046">
        <v>0</v>
      </c>
      <c r="Q66" s="2045"/>
      <c r="R66" s="1960"/>
    </row>
    <row r="67" spans="1:18" s="1969" customFormat="1" ht="17.25" x14ac:dyDescent="0.2">
      <c r="A67" s="1979" t="s">
        <v>2175</v>
      </c>
      <c r="B67" s="1970"/>
      <c r="C67" s="2041"/>
      <c r="D67" s="1973"/>
      <c r="E67" s="1953"/>
      <c r="F67" s="2044">
        <f>SUM(F51:F66)</f>
        <v>214093</v>
      </c>
      <c r="G67" s="1982"/>
      <c r="H67" s="2044">
        <f>SUM(H51:H66)</f>
        <v>319248</v>
      </c>
      <c r="I67" s="1982"/>
      <c r="J67" s="2044">
        <f>SUM(J51:J66)</f>
        <v>270168</v>
      </c>
      <c r="K67" s="1982"/>
      <c r="L67" s="2044">
        <f>SUM(L51:L66)</f>
        <v>324633</v>
      </c>
      <c r="M67" s="1960"/>
      <c r="N67" s="2044">
        <f>SUM(N51:N66)</f>
        <v>40973</v>
      </c>
      <c r="O67" s="1961"/>
      <c r="P67" s="2044">
        <f>SUM(P51:P66)</f>
        <v>635774</v>
      </c>
      <c r="Q67" s="2043"/>
      <c r="R67" s="1960"/>
    </row>
    <row r="68" spans="1:18" s="1969" customFormat="1" ht="17.25" x14ac:dyDescent="0.2">
      <c r="A68" s="1979"/>
      <c r="B68" s="1970"/>
      <c r="C68" s="2041"/>
      <c r="D68" s="1973"/>
      <c r="E68" s="1953"/>
      <c r="F68" s="2039"/>
      <c r="G68" s="1982"/>
      <c r="H68" s="2039"/>
      <c r="I68" s="1982"/>
      <c r="J68" s="2039"/>
      <c r="K68" s="1982"/>
      <c r="L68" s="2039"/>
      <c r="M68" s="1960"/>
      <c r="N68" s="2039"/>
      <c r="O68" s="1961"/>
      <c r="P68" s="2039"/>
      <c r="Q68" s="2043"/>
      <c r="R68" s="1960"/>
    </row>
    <row r="69" spans="1:18" s="1969" customFormat="1" ht="17.25" x14ac:dyDescent="0.2">
      <c r="A69" s="1979" t="s">
        <v>2116</v>
      </c>
      <c r="B69" s="1970"/>
      <c r="C69" s="2041"/>
      <c r="D69" s="1973"/>
      <c r="E69" s="1953"/>
      <c r="F69" s="2040">
        <f>F67+F50</f>
        <v>308003</v>
      </c>
      <c r="G69" s="1982"/>
      <c r="H69" s="2040">
        <f>H67+H50</f>
        <v>503293</v>
      </c>
      <c r="I69" s="1982"/>
      <c r="J69" s="2040">
        <f>J67+J50</f>
        <v>423177</v>
      </c>
      <c r="K69" s="1982"/>
      <c r="L69" s="2040">
        <f>L67+L50</f>
        <v>505295</v>
      </c>
      <c r="M69" s="1960"/>
      <c r="N69" s="2040">
        <f>N67+N50</f>
        <v>75686</v>
      </c>
      <c r="O69" s="1961"/>
      <c r="P69" s="2040">
        <f>P67+P50</f>
        <v>1004158</v>
      </c>
      <c r="Q69" s="2043"/>
      <c r="R69" s="1960"/>
    </row>
    <row r="70" spans="1:18" s="1952" customFormat="1" ht="15" x14ac:dyDescent="0.2">
      <c r="A70" s="1962"/>
      <c r="B70" s="1970"/>
      <c r="C70" s="2041"/>
      <c r="D70" s="1973"/>
      <c r="E70" s="1953"/>
      <c r="F70" s="1968"/>
      <c r="G70" s="1968"/>
      <c r="H70" s="1968"/>
      <c r="I70" s="1968"/>
      <c r="J70" s="1968"/>
      <c r="K70" s="1968"/>
      <c r="L70" s="1968"/>
      <c r="M70" s="1960"/>
      <c r="N70" s="1960"/>
      <c r="O70" s="1961"/>
      <c r="P70" s="1972"/>
      <c r="Q70" s="2038"/>
      <c r="R70" s="1960"/>
    </row>
    <row r="71" spans="1:18" s="1952" customFormat="1" ht="15" x14ac:dyDescent="0.2">
      <c r="A71" s="1974" t="s">
        <v>2115</v>
      </c>
      <c r="B71" s="1970"/>
      <c r="C71" s="2041"/>
      <c r="D71" s="1973"/>
      <c r="E71" s="1953"/>
      <c r="F71" s="1960"/>
      <c r="G71" s="1960"/>
      <c r="H71" s="1960"/>
      <c r="I71" s="1960"/>
      <c r="J71" s="1960"/>
      <c r="K71" s="1960"/>
      <c r="L71" s="1960"/>
      <c r="M71" s="1960"/>
      <c r="N71" s="1960"/>
      <c r="O71" s="1961"/>
      <c r="P71" s="1972"/>
      <c r="Q71" s="2038"/>
      <c r="R71" s="1960"/>
    </row>
    <row r="72" spans="1:18" s="1952" customFormat="1" ht="15" x14ac:dyDescent="0.2">
      <c r="A72" s="1974" t="s">
        <v>2114</v>
      </c>
      <c r="B72" s="1970"/>
      <c r="C72" s="2041"/>
      <c r="D72" s="1973"/>
      <c r="E72" s="1953"/>
      <c r="F72" s="1960"/>
      <c r="G72" s="1960"/>
      <c r="H72" s="1960"/>
      <c r="I72" s="1960"/>
      <c r="J72" s="1960"/>
      <c r="K72" s="1960"/>
      <c r="L72" s="1960"/>
      <c r="M72" s="1960"/>
      <c r="N72" s="1960"/>
      <c r="O72" s="1961"/>
      <c r="P72" s="1972"/>
      <c r="Q72" s="2038"/>
      <c r="R72" s="1960"/>
    </row>
    <row r="73" spans="1:18" s="1952" customFormat="1" ht="15" x14ac:dyDescent="0.2">
      <c r="A73" s="1974" t="s">
        <v>2113</v>
      </c>
      <c r="B73" s="1970"/>
      <c r="C73" s="2041"/>
      <c r="D73" s="1973"/>
      <c r="E73" s="1953"/>
      <c r="F73" s="1960"/>
      <c r="G73" s="1960"/>
      <c r="H73" s="1960"/>
      <c r="I73" s="1960"/>
      <c r="J73" s="1960"/>
      <c r="K73" s="1960"/>
      <c r="L73" s="1960"/>
      <c r="M73" s="1960"/>
      <c r="N73" s="1960"/>
      <c r="O73" s="1961"/>
      <c r="P73" s="1972"/>
      <c r="Q73" s="2038"/>
      <c r="R73" s="1960"/>
    </row>
    <row r="74" spans="1:18" s="1952" customFormat="1" ht="15" x14ac:dyDescent="0.2">
      <c r="A74" s="1974"/>
      <c r="B74" s="1970"/>
      <c r="C74" s="2041"/>
      <c r="D74" s="1973"/>
      <c r="E74" s="1953"/>
      <c r="F74" s="1960"/>
      <c r="G74" s="1960"/>
      <c r="H74" s="1968"/>
      <c r="I74" s="1968"/>
      <c r="J74" s="1960"/>
      <c r="K74" s="1960"/>
      <c r="L74" s="1960"/>
      <c r="M74" s="1960"/>
      <c r="N74" s="1960"/>
      <c r="O74" s="1961"/>
      <c r="P74" s="1972"/>
      <c r="Q74" s="2038"/>
      <c r="R74" s="1960"/>
    </row>
    <row r="75" spans="1:18" s="1952" customFormat="1" ht="15" x14ac:dyDescent="0.2">
      <c r="A75" s="1977" t="s">
        <v>2111</v>
      </c>
      <c r="B75" s="1970">
        <v>93.778000000000006</v>
      </c>
      <c r="C75" s="2041"/>
      <c r="D75" s="1975" t="s">
        <v>2112</v>
      </c>
      <c r="E75" s="1953"/>
      <c r="F75" s="1968">
        <v>12247</v>
      </c>
      <c r="G75" s="1968"/>
      <c r="H75" s="1968">
        <v>3822</v>
      </c>
      <c r="I75" s="1968"/>
      <c r="J75" s="1968">
        <v>16738</v>
      </c>
      <c r="K75" s="1968"/>
      <c r="L75" s="1968"/>
      <c r="M75" s="1968">
        <v>0</v>
      </c>
      <c r="N75" s="1978"/>
      <c r="O75" s="1961"/>
      <c r="P75" s="1968">
        <f>J75+N75+L75</f>
        <v>16738</v>
      </c>
      <c r="Q75" s="1996"/>
      <c r="R75" s="1976" t="s">
        <v>2109</v>
      </c>
    </row>
    <row r="76" spans="1:18" s="1952" customFormat="1" ht="15" x14ac:dyDescent="0.2">
      <c r="A76" s="1977" t="s">
        <v>2111</v>
      </c>
      <c r="B76" s="1970">
        <v>93.778000000000006</v>
      </c>
      <c r="C76" s="2041"/>
      <c r="D76" s="1975" t="s">
        <v>2110</v>
      </c>
      <c r="F76" s="2035">
        <v>0</v>
      </c>
      <c r="G76" s="1968"/>
      <c r="H76" s="2035">
        <f>17318-3822</f>
        <v>13496</v>
      </c>
      <c r="I76" s="1968"/>
      <c r="J76" s="2035">
        <v>0</v>
      </c>
      <c r="K76" s="1968"/>
      <c r="L76" s="2035">
        <v>18364</v>
      </c>
      <c r="M76" s="1968"/>
      <c r="N76" s="2035">
        <v>0</v>
      </c>
      <c r="O76" s="1968"/>
      <c r="P76" s="2035">
        <f>J76+N76+L76</f>
        <v>18364</v>
      </c>
      <c r="Q76" s="2042"/>
      <c r="R76" s="1976" t="s">
        <v>2109</v>
      </c>
    </row>
    <row r="77" spans="1:18" s="1952" customFormat="1" ht="15" x14ac:dyDescent="0.2">
      <c r="A77" s="1974"/>
      <c r="B77" s="1970"/>
      <c r="C77" s="2041"/>
      <c r="D77" s="1973"/>
      <c r="E77" s="1953"/>
      <c r="F77" s="1960"/>
      <c r="G77" s="1960"/>
      <c r="H77" s="1968"/>
      <c r="I77" s="1968"/>
      <c r="J77" s="1960"/>
      <c r="K77" s="1960"/>
      <c r="L77" s="1960"/>
      <c r="M77" s="1960"/>
      <c r="N77" s="1960"/>
      <c r="O77" s="1961"/>
      <c r="P77" s="1972"/>
      <c r="Q77" s="2038"/>
      <c r="R77" s="1971"/>
    </row>
    <row r="78" spans="1:18" s="1952" customFormat="1" ht="17.25" x14ac:dyDescent="0.2">
      <c r="A78" s="1967" t="s">
        <v>2108</v>
      </c>
      <c r="B78" s="1970"/>
      <c r="C78" s="2041"/>
      <c r="D78" s="1962"/>
      <c r="E78" s="1953"/>
      <c r="F78" s="2037">
        <f>SUM(F73:F77)</f>
        <v>12247</v>
      </c>
      <c r="G78" s="2038"/>
      <c r="H78" s="2040">
        <f>SUM(H72:H77)</f>
        <v>17318</v>
      </c>
      <c r="I78" s="2039"/>
      <c r="J78" s="2037">
        <f>SUM(J75:J77)</f>
        <v>16738</v>
      </c>
      <c r="K78" s="2038"/>
      <c r="L78" s="2037">
        <f>SUM(L72:L77)</f>
        <v>18364</v>
      </c>
      <c r="M78" s="2038"/>
      <c r="N78" s="2037">
        <f>SUM(N72:N77)</f>
        <v>0</v>
      </c>
      <c r="O78" s="2038"/>
      <c r="P78" s="2037">
        <f>SUM(P72:P77)</f>
        <v>35102</v>
      </c>
      <c r="Q78" s="2036"/>
      <c r="R78" s="1960"/>
    </row>
    <row r="79" spans="1:18" s="1952" customFormat="1" ht="12" customHeight="1" x14ac:dyDescent="0.2">
      <c r="A79" s="1962"/>
      <c r="B79" s="1962"/>
      <c r="C79" s="2006"/>
      <c r="D79" s="1962"/>
      <c r="E79" s="1953"/>
      <c r="F79" s="1960"/>
      <c r="G79" s="1960"/>
      <c r="H79" s="1968"/>
      <c r="I79" s="1968"/>
      <c r="J79" s="1960"/>
      <c r="K79" s="1960"/>
      <c r="L79" s="1960"/>
      <c r="M79" s="1960"/>
      <c r="N79" s="1960"/>
      <c r="O79" s="1961"/>
      <c r="P79" s="1960"/>
      <c r="Q79" s="1980"/>
      <c r="R79" s="1960"/>
    </row>
    <row r="80" spans="1:18" s="1969" customFormat="1" ht="18" thickBot="1" x14ac:dyDescent="0.25">
      <c r="A80" s="1967" t="s">
        <v>2105</v>
      </c>
      <c r="B80" s="1962"/>
      <c r="C80" s="2006"/>
      <c r="D80" s="1962"/>
      <c r="E80" s="1953"/>
      <c r="F80" s="2031">
        <f>+F78+F67+F31+F50</f>
        <v>472484</v>
      </c>
      <c r="G80" s="1960"/>
      <c r="H80" s="2032">
        <f>+H78+H67+H31+H50</f>
        <v>742672</v>
      </c>
      <c r="I80" s="1968"/>
      <c r="J80" s="2031">
        <f>+J78+J67+J31+J50</f>
        <v>661664</v>
      </c>
      <c r="K80" s="1960"/>
      <c r="L80" s="2031">
        <f>+L78+L67+L31+L50</f>
        <v>778228</v>
      </c>
      <c r="M80" s="1960"/>
      <c r="N80" s="2031">
        <f>+N78+N67+N31+N50</f>
        <v>75686</v>
      </c>
      <c r="O80" s="1960"/>
      <c r="P80" s="2031">
        <f>+P78+P67+P31+P50</f>
        <v>1515578</v>
      </c>
      <c r="Q80" s="2030"/>
      <c r="R80" s="1960"/>
    </row>
    <row r="81" spans="1:18" s="1962" customFormat="1" ht="17.25" x14ac:dyDescent="0.2">
      <c r="C81" s="2006"/>
      <c r="E81" s="1953"/>
      <c r="F81" s="1960"/>
      <c r="G81" s="1960"/>
      <c r="H81" s="1968"/>
      <c r="I81" s="1968"/>
      <c r="J81" s="1960"/>
      <c r="K81" s="1960"/>
      <c r="L81" s="1960"/>
      <c r="M81" s="1960"/>
      <c r="N81" s="1960"/>
      <c r="O81" s="1960"/>
      <c r="P81" s="1960"/>
      <c r="Q81" s="2030"/>
      <c r="R81" s="1960"/>
    </row>
    <row r="82" spans="1:18" s="1952" customFormat="1" ht="17.25" hidden="1" x14ac:dyDescent="0.2">
      <c r="A82" s="1962"/>
      <c r="B82" s="1962"/>
      <c r="C82" s="2006"/>
      <c r="D82" s="1962"/>
      <c r="E82" s="1953"/>
      <c r="F82" s="1960"/>
      <c r="G82" s="1960"/>
      <c r="H82" s="1968"/>
      <c r="I82" s="1968"/>
      <c r="J82" s="1960"/>
      <c r="K82" s="1960"/>
      <c r="L82" s="1960"/>
      <c r="M82" s="1960"/>
      <c r="N82" s="1960"/>
      <c r="O82" s="1960"/>
      <c r="P82" s="1960"/>
      <c r="Q82" s="2030"/>
      <c r="R82" s="1960"/>
    </row>
    <row r="83" spans="1:18" s="1952" customFormat="1" ht="17.25" hidden="1" x14ac:dyDescent="0.2">
      <c r="A83" s="1962"/>
      <c r="B83" s="1962"/>
      <c r="C83" s="2006"/>
      <c r="D83" s="1962"/>
      <c r="E83" s="1953"/>
      <c r="F83" s="1960"/>
      <c r="G83" s="1960"/>
      <c r="H83" s="1968"/>
      <c r="I83" s="1968"/>
      <c r="J83" s="1960"/>
      <c r="K83" s="1960"/>
      <c r="L83" s="1960"/>
      <c r="M83" s="1960"/>
      <c r="N83" s="1960"/>
      <c r="O83" s="1960"/>
      <c r="P83" s="1960"/>
      <c r="Q83" s="2030"/>
      <c r="R83" s="1960"/>
    </row>
    <row r="84" spans="1:18" s="1952" customFormat="1" ht="15" x14ac:dyDescent="0.2">
      <c r="A84" s="1967" t="s">
        <v>2107</v>
      </c>
      <c r="B84" s="1962"/>
      <c r="C84" s="2006"/>
      <c r="D84" s="1962"/>
      <c r="E84" s="1953"/>
      <c r="F84" s="1968">
        <f>+F31+F50</f>
        <v>246144</v>
      </c>
      <c r="G84" s="1968"/>
      <c r="H84" s="1968">
        <f>+H31+H50</f>
        <v>406106</v>
      </c>
      <c r="I84" s="1968"/>
      <c r="J84" s="1968">
        <f>+J31+J50</f>
        <v>374758</v>
      </c>
      <c r="K84" s="1968"/>
      <c r="L84" s="1968">
        <f>+L31+L50</f>
        <v>435231</v>
      </c>
      <c r="M84" s="1960"/>
      <c r="N84" s="1968">
        <f>+N31+N50</f>
        <v>34713</v>
      </c>
      <c r="O84" s="1960"/>
      <c r="P84" s="1968">
        <f>+P31+P50</f>
        <v>844702</v>
      </c>
      <c r="Q84" s="1996"/>
      <c r="R84" s="1960"/>
    </row>
    <row r="85" spans="1:18" s="1952" customFormat="1" ht="15" x14ac:dyDescent="0.2">
      <c r="A85" s="1967"/>
      <c r="B85" s="1962"/>
      <c r="C85" s="2006"/>
      <c r="D85" s="1962"/>
      <c r="E85" s="1953"/>
      <c r="F85" s="1960"/>
      <c r="G85" s="1960"/>
      <c r="H85" s="1968"/>
      <c r="I85" s="1968"/>
      <c r="J85" s="1968"/>
      <c r="K85" s="1968"/>
      <c r="L85" s="1968"/>
      <c r="M85" s="1960"/>
      <c r="N85" s="1968"/>
      <c r="O85" s="1960"/>
      <c r="P85" s="1968"/>
      <c r="Q85" s="1996"/>
      <c r="R85" s="1960"/>
    </row>
    <row r="86" spans="1:18" s="1952" customFormat="1" ht="17.25" x14ac:dyDescent="0.2">
      <c r="A86" s="1967" t="s">
        <v>2106</v>
      </c>
      <c r="B86" s="1962"/>
      <c r="C86" s="2006"/>
      <c r="D86" s="1962"/>
      <c r="E86" s="1953"/>
      <c r="F86" s="2035">
        <f>+F56+F57+F78</f>
        <v>226340</v>
      </c>
      <c r="G86" s="1968"/>
      <c r="H86" s="2035">
        <f>+H56+H57+H78</f>
        <v>336566</v>
      </c>
      <c r="I86" s="1968"/>
      <c r="J86" s="2035">
        <f>+J56+J57+J78</f>
        <v>286906</v>
      </c>
      <c r="K86" s="1968"/>
      <c r="L86" s="2035">
        <f>+L56+L57+L78</f>
        <v>342997</v>
      </c>
      <c r="M86" s="1960"/>
      <c r="N86" s="2035">
        <f>+N56+N57+N78</f>
        <v>40973</v>
      </c>
      <c r="O86" s="1960"/>
      <c r="P86" s="2035">
        <f>+P56+P57+P78</f>
        <v>670876</v>
      </c>
      <c r="Q86" s="2034"/>
      <c r="R86" s="1960"/>
    </row>
    <row r="87" spans="1:18" s="1952" customFormat="1" ht="17.25" x14ac:dyDescent="0.2">
      <c r="A87" s="1967"/>
      <c r="B87" s="1962"/>
      <c r="C87" s="2006"/>
      <c r="D87" s="1962"/>
      <c r="E87" s="1953"/>
      <c r="F87" s="1960"/>
      <c r="G87" s="1960"/>
      <c r="H87" s="1968"/>
      <c r="I87" s="1968"/>
      <c r="J87" s="1960"/>
      <c r="K87" s="1960"/>
      <c r="L87" s="1960"/>
      <c r="M87" s="1960"/>
      <c r="N87" s="1960"/>
      <c r="O87" s="1960"/>
      <c r="P87" s="1960"/>
      <c r="Q87" s="2033"/>
      <c r="R87" s="1960"/>
    </row>
    <row r="88" spans="1:18" s="1952" customFormat="1" ht="18" thickBot="1" x14ac:dyDescent="0.25">
      <c r="A88" s="1967" t="s">
        <v>2105</v>
      </c>
      <c r="B88" s="1962"/>
      <c r="C88" s="2006"/>
      <c r="D88" s="1962"/>
      <c r="E88" s="1953"/>
      <c r="F88" s="2031">
        <f>F84+F86</f>
        <v>472484</v>
      </c>
      <c r="G88" s="1960"/>
      <c r="H88" s="2032">
        <f>H84+H86</f>
        <v>742672</v>
      </c>
      <c r="I88" s="1968"/>
      <c r="J88" s="2031">
        <f>J84+J86</f>
        <v>661664</v>
      </c>
      <c r="K88" s="1960"/>
      <c r="L88" s="2031">
        <f>L84+L86</f>
        <v>778228</v>
      </c>
      <c r="M88" s="1960"/>
      <c r="N88" s="2031">
        <f>N84+N86</f>
        <v>75686</v>
      </c>
      <c r="O88" s="1960"/>
      <c r="P88" s="2031">
        <f>P84+P86</f>
        <v>1515578</v>
      </c>
      <c r="Q88" s="2030"/>
      <c r="R88" s="1960"/>
    </row>
    <row r="89" spans="1:18" s="1952" customFormat="1" ht="17.25" x14ac:dyDescent="0.2">
      <c r="A89" s="1967"/>
      <c r="B89" s="1962"/>
      <c r="C89" s="2006"/>
      <c r="D89" s="1962"/>
      <c r="E89" s="1953"/>
      <c r="F89" s="1965"/>
      <c r="G89" s="1965"/>
      <c r="H89" s="1966"/>
      <c r="I89" s="1966"/>
      <c r="J89" s="1965"/>
      <c r="K89" s="1965"/>
      <c r="L89" s="1965"/>
      <c r="M89" s="1965"/>
      <c r="N89" s="1965"/>
      <c r="O89" s="1965"/>
      <c r="P89" s="1965"/>
      <c r="Q89" s="2030"/>
      <c r="R89" s="1960"/>
    </row>
    <row r="90" spans="1:18" s="1952" customFormat="1" ht="15" x14ac:dyDescent="0.2">
      <c r="A90" s="1962" t="s">
        <v>2104</v>
      </c>
      <c r="B90" s="1964"/>
      <c r="C90" s="2029"/>
      <c r="D90" s="1962"/>
      <c r="E90" s="1953"/>
      <c r="F90" s="1960"/>
      <c r="G90" s="1960"/>
      <c r="H90" s="1960" t="s">
        <v>1169</v>
      </c>
      <c r="I90" s="1960"/>
      <c r="J90" s="1960"/>
      <c r="K90" s="1960"/>
      <c r="L90" s="1960"/>
      <c r="M90" s="1960"/>
      <c r="N90" s="1960"/>
      <c r="O90" s="1961"/>
      <c r="P90" s="1960"/>
      <c r="Q90" s="1980"/>
      <c r="R90" s="1960"/>
    </row>
    <row r="91" spans="1:18" s="1952" customFormat="1" ht="15" x14ac:dyDescent="0.2">
      <c r="A91" s="1963" t="s">
        <v>2103</v>
      </c>
      <c r="B91" s="1962"/>
      <c r="C91" s="2006"/>
      <c r="D91" s="1962"/>
      <c r="E91" s="1953"/>
      <c r="F91" s="1960"/>
      <c r="G91" s="1960"/>
      <c r="H91" s="1960" t="s">
        <v>1169</v>
      </c>
      <c r="I91" s="1960"/>
      <c r="J91" s="1960"/>
      <c r="K91" s="1960"/>
      <c r="L91" s="1960"/>
      <c r="M91" s="1960"/>
      <c r="N91" s="1960"/>
      <c r="O91" s="1961"/>
      <c r="P91" s="1960"/>
      <c r="Q91" s="1980"/>
      <c r="R91" s="1960"/>
    </row>
    <row r="92" spans="1:18" s="1952" customFormat="1" ht="15" x14ac:dyDescent="0.2">
      <c r="A92" s="1958" t="s">
        <v>2102</v>
      </c>
      <c r="C92" s="2028"/>
      <c r="E92" s="1956"/>
      <c r="F92" s="1959"/>
      <c r="G92" s="1959"/>
      <c r="H92" s="1959"/>
      <c r="I92" s="1959"/>
      <c r="J92" s="1959"/>
      <c r="K92" s="1959"/>
      <c r="L92" s="1959" t="s">
        <v>1169</v>
      </c>
      <c r="M92" s="1954"/>
      <c r="N92" s="1959" t="s">
        <v>1169</v>
      </c>
      <c r="O92" s="1955"/>
      <c r="P92" s="1959" t="s">
        <v>1169</v>
      </c>
      <c r="Q92" s="2027"/>
      <c r="R92" s="1959" t="s">
        <v>1169</v>
      </c>
    </row>
    <row r="93" spans="1:18" s="1952" customFormat="1" ht="15" x14ac:dyDescent="0.2">
      <c r="A93" s="1958" t="s">
        <v>2101</v>
      </c>
      <c r="B93" s="1957"/>
      <c r="C93" s="2026"/>
      <c r="E93" s="1956"/>
      <c r="F93" s="1954"/>
      <c r="G93" s="1954"/>
      <c r="H93" s="1954"/>
      <c r="I93" s="1954"/>
      <c r="J93" s="1954"/>
      <c r="K93" s="1954"/>
      <c r="L93" s="1954"/>
      <c r="M93" s="1954"/>
      <c r="N93" s="1954"/>
      <c r="O93" s="1955"/>
      <c r="P93" s="1954"/>
      <c r="Q93" s="2025"/>
      <c r="R93" s="1954"/>
    </row>
    <row r="94" spans="1:18" s="1942" customFormat="1" ht="13.5" customHeight="1" x14ac:dyDescent="0.2">
      <c r="A94" s="1946" t="s">
        <v>2100</v>
      </c>
      <c r="B94" s="1949"/>
      <c r="C94" s="2022"/>
      <c r="D94" s="1949"/>
      <c r="E94" s="1949"/>
      <c r="F94" s="1949"/>
      <c r="G94" s="1949"/>
      <c r="H94" s="1949"/>
      <c r="I94" s="1949"/>
      <c r="J94" s="1949"/>
      <c r="K94" s="1949"/>
      <c r="L94" s="1949"/>
      <c r="Q94" s="2018"/>
    </row>
    <row r="95" spans="1:18" s="1942" customFormat="1" ht="13.5" customHeight="1" x14ac:dyDescent="0.2">
      <c r="A95" s="1948" t="s">
        <v>2099</v>
      </c>
      <c r="B95" s="1951"/>
      <c r="C95" s="2024"/>
      <c r="D95" s="1951"/>
      <c r="E95" s="1951"/>
      <c r="F95" s="1951"/>
      <c r="G95" s="1951"/>
      <c r="H95" s="1951"/>
      <c r="I95" s="1951"/>
      <c r="J95" s="1951"/>
      <c r="K95" s="1951"/>
      <c r="L95" s="1951"/>
      <c r="P95" s="1950"/>
      <c r="Q95" s="2023"/>
    </row>
    <row r="96" spans="1:18" s="1942" customFormat="1" ht="13.5" customHeight="1" x14ac:dyDescent="0.2">
      <c r="A96" s="1946" t="s">
        <v>2098</v>
      </c>
      <c r="B96" s="1949"/>
      <c r="C96" s="2022"/>
      <c r="D96" s="1949"/>
      <c r="E96" s="1949"/>
      <c r="F96" s="1949"/>
      <c r="G96" s="1949"/>
      <c r="H96" s="1949"/>
      <c r="I96" s="1949"/>
      <c r="J96" s="1949"/>
      <c r="K96" s="1949"/>
      <c r="L96" s="1949"/>
      <c r="Q96" s="2018"/>
    </row>
    <row r="97" spans="1:17" s="1942" customFormat="1" ht="13.5" customHeight="1" x14ac:dyDescent="0.2">
      <c r="A97" s="1948" t="s">
        <v>2097</v>
      </c>
      <c r="B97" s="1947"/>
      <c r="C97" s="2021"/>
      <c r="D97" s="1947"/>
      <c r="E97" s="1947"/>
      <c r="F97" s="1947"/>
      <c r="G97" s="1947"/>
      <c r="H97" s="1947"/>
      <c r="I97" s="1947"/>
      <c r="J97" s="1947"/>
      <c r="K97" s="1947"/>
      <c r="L97" s="1947"/>
      <c r="Q97" s="2018"/>
    </row>
    <row r="98" spans="1:17" s="1942" customFormat="1" ht="13.5" customHeight="1" x14ac:dyDescent="0.2">
      <c r="A98" s="1946" t="s">
        <v>2096</v>
      </c>
      <c r="B98" s="1945"/>
      <c r="C98" s="2020"/>
      <c r="D98" s="1944"/>
      <c r="E98" s="1944"/>
      <c r="F98" s="1944"/>
      <c r="G98" s="1944"/>
      <c r="H98" s="1944"/>
      <c r="I98" s="1944"/>
      <c r="Q98" s="2018"/>
    </row>
    <row r="99" spans="1:17" s="1942" customFormat="1" ht="13.5" customHeight="1" x14ac:dyDescent="0.2">
      <c r="A99" s="1946" t="s">
        <v>2095</v>
      </c>
      <c r="B99" s="1945"/>
      <c r="C99" s="2020"/>
      <c r="D99" s="1944"/>
      <c r="E99" s="1944"/>
      <c r="F99" s="1944"/>
      <c r="G99" s="1944"/>
      <c r="H99" s="1944"/>
      <c r="I99" s="1944"/>
      <c r="Q99" s="2018"/>
    </row>
    <row r="100" spans="1:17" s="1942" customFormat="1" ht="13.5" customHeight="1" x14ac:dyDescent="0.2">
      <c r="A100" s="1944" t="s">
        <v>2094</v>
      </c>
      <c r="B100" s="1943"/>
      <c r="C100" s="2019"/>
      <c r="Q100" s="2018"/>
    </row>
    <row r="101" spans="1:17" s="1942" customFormat="1" ht="13.5" customHeight="1" x14ac:dyDescent="0.2">
      <c r="A101" s="1944" t="s">
        <v>2093</v>
      </c>
      <c r="B101" s="1943"/>
      <c r="C101" s="2019"/>
      <c r="Q101" s="2018"/>
    </row>
    <row r="102" spans="1:17" s="1942" customFormat="1" ht="13.5" customHeight="1" x14ac:dyDescent="0.2">
      <c r="A102" s="1944" t="s">
        <v>2092</v>
      </c>
      <c r="B102" s="1943"/>
      <c r="C102" s="2019"/>
      <c r="Q102" s="2018"/>
    </row>
    <row r="103" spans="1:17" s="1938" customFormat="1" ht="13.5" customHeight="1" x14ac:dyDescent="0.15">
      <c r="A103" s="1941"/>
      <c r="B103" s="1940"/>
      <c r="C103" s="2017"/>
      <c r="E103" s="1939"/>
      <c r="F103" s="1939"/>
      <c r="G103" s="1939"/>
      <c r="H103" s="1939"/>
      <c r="I103" s="1939"/>
      <c r="Q103" s="2016"/>
    </row>
    <row r="104" spans="1:17" x14ac:dyDescent="0.2">
      <c r="H104" s="1937"/>
      <c r="I104" s="1937"/>
    </row>
  </sheetData>
  <mergeCells count="6">
    <mergeCell ref="F7:H7"/>
    <mergeCell ref="J7:L7"/>
    <mergeCell ref="A1:R1"/>
    <mergeCell ref="A2:R2"/>
    <mergeCell ref="A3:R3"/>
    <mergeCell ref="A4:R4"/>
  </mergeCells>
  <printOptions horizontalCentered="1" gridLinesSet="0"/>
  <pageMargins left="0.25" right="0.25" top="0.5" bottom="0" header="0.5" footer="0"/>
  <pageSetup scale="70" fitToHeight="0" orientation="landscape" r:id="rId1"/>
  <headerFooter alignWithMargins="0">
    <oddFooter>&amp;L&amp;"Garamond,Regular"See the accompanying Notes to Schedule of Expenditures of Federal Awards.</oddFooter>
  </headerFooter>
  <rowBreaks count="1" manualBreakCount="1">
    <brk id="50" max="1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7"/>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570" t="s">
        <v>2071</v>
      </c>
      <c r="B1" s="2570"/>
      <c r="C1" s="2570"/>
      <c r="D1" s="2570"/>
      <c r="E1" s="2570"/>
      <c r="F1" s="2570"/>
    </row>
    <row r="2" spans="1:7" ht="13.5" customHeight="1" x14ac:dyDescent="0.2">
      <c r="A2" s="2554" t="s">
        <v>2069</v>
      </c>
      <c r="B2" s="2554"/>
      <c r="C2" s="2554"/>
      <c r="D2" s="2554"/>
      <c r="E2" s="2554"/>
      <c r="F2" s="2554"/>
      <c r="G2" s="1269"/>
    </row>
    <row r="3" spans="1:7" ht="15.75" customHeight="1" x14ac:dyDescent="0.2">
      <c r="A3" s="2571" t="s">
        <v>1271</v>
      </c>
      <c r="B3" s="2571"/>
      <c r="C3" s="2571"/>
      <c r="D3" s="2571"/>
      <c r="E3" s="2571"/>
      <c r="F3" s="2571"/>
    </row>
    <row r="4" spans="1:7" ht="13.5" customHeight="1" x14ac:dyDescent="0.2">
      <c r="A4" s="2572" t="s">
        <v>2174</v>
      </c>
      <c r="B4" s="2572"/>
      <c r="C4" s="2572"/>
      <c r="D4" s="2572"/>
      <c r="E4" s="2572"/>
      <c r="F4" s="2572"/>
    </row>
    <row r="5" spans="1:7" ht="8.25" customHeight="1" x14ac:dyDescent="0.2">
      <c r="C5" s="317"/>
      <c r="D5" s="317"/>
    </row>
    <row r="6" spans="1:7" ht="13.5" customHeight="1" x14ac:dyDescent="0.2">
      <c r="A6" s="1270" t="s">
        <v>1727</v>
      </c>
      <c r="C6" s="317"/>
      <c r="D6" s="317"/>
    </row>
    <row r="7" spans="1:7" ht="60.95" customHeight="1" x14ac:dyDescent="0.2">
      <c r="A7" s="2567" t="s">
        <v>2160</v>
      </c>
      <c r="B7" s="2567"/>
      <c r="C7" s="2567"/>
      <c r="D7" s="2567"/>
      <c r="E7" s="2567"/>
      <c r="F7" s="2567"/>
    </row>
    <row r="8" spans="1:7" ht="12" customHeight="1" x14ac:dyDescent="0.2">
      <c r="A8" s="1270"/>
      <c r="B8" s="1276"/>
      <c r="C8" s="1276"/>
      <c r="D8" s="1276"/>
    </row>
    <row r="9" spans="1:7" ht="15" customHeight="1" x14ac:dyDescent="0.2">
      <c r="A9" s="1271" t="s">
        <v>1728</v>
      </c>
      <c r="B9" s="1274"/>
      <c r="C9" s="1274"/>
      <c r="D9" s="1274"/>
      <c r="E9" s="1272"/>
      <c r="F9" s="1272"/>
      <c r="G9" s="1272"/>
    </row>
    <row r="10" spans="1:7" ht="15" customHeight="1" x14ac:dyDescent="0.2">
      <c r="A10" s="1273" t="s">
        <v>1547</v>
      </c>
      <c r="B10" s="1274"/>
      <c r="C10" s="1275"/>
      <c r="D10" s="1274" t="s">
        <v>1548</v>
      </c>
      <c r="E10" s="1275" t="s">
        <v>2066</v>
      </c>
      <c r="F10" s="1274" t="s">
        <v>99</v>
      </c>
      <c r="G10" s="1272"/>
    </row>
    <row r="11" spans="1:7" ht="12" customHeight="1" x14ac:dyDescent="0.2">
      <c r="A11" s="1273"/>
      <c r="B11" s="1274"/>
      <c r="C11" s="1897"/>
      <c r="D11" s="1274"/>
      <c r="E11" s="1897"/>
      <c r="F11" s="1274"/>
      <c r="G11" s="1272"/>
    </row>
    <row r="12" spans="1:7" x14ac:dyDescent="0.2">
      <c r="A12" s="1270" t="s">
        <v>1586</v>
      </c>
      <c r="C12" s="1254"/>
      <c r="D12" s="1254"/>
    </row>
    <row r="13" spans="1:7" ht="21" customHeight="1" x14ac:dyDescent="0.2">
      <c r="A13" s="2567" t="s">
        <v>2168</v>
      </c>
      <c r="B13" s="2567"/>
      <c r="C13" s="2567"/>
      <c r="D13" s="2567"/>
      <c r="E13" s="2567"/>
      <c r="F13" s="2567"/>
    </row>
    <row r="14" spans="1:7" ht="9.75" customHeight="1" x14ac:dyDescent="0.2">
      <c r="C14" s="1254"/>
      <c r="D14" s="1254"/>
    </row>
    <row r="15" spans="1:7" ht="13.5" customHeight="1" x14ac:dyDescent="0.2">
      <c r="C15" s="1934" t="s">
        <v>1270</v>
      </c>
      <c r="D15" s="2568" t="s">
        <v>1269</v>
      </c>
      <c r="E15" s="2568"/>
      <c r="F15" s="2568"/>
    </row>
    <row r="16" spans="1:7" ht="13.5" customHeight="1" x14ac:dyDescent="0.2">
      <c r="A16" s="1276"/>
      <c r="B16" s="1270" t="s">
        <v>1268</v>
      </c>
      <c r="C16" s="1934" t="s">
        <v>1267</v>
      </c>
      <c r="D16" s="2569" t="s">
        <v>1587</v>
      </c>
      <c r="E16" s="2569"/>
      <c r="F16" s="2569"/>
    </row>
    <row r="17" spans="1:6" ht="20.45" customHeight="1" x14ac:dyDescent="0.2">
      <c r="A17" s="1277"/>
      <c r="B17" s="1278" t="s">
        <v>2161</v>
      </c>
      <c r="C17" s="1279"/>
      <c r="D17" s="2561"/>
      <c r="E17" s="2561"/>
      <c r="F17" s="2561"/>
    </row>
    <row r="18" spans="1:6" ht="20.65" hidden="1" customHeight="1" x14ac:dyDescent="0.2">
      <c r="A18" s="1277"/>
      <c r="B18" s="1278"/>
      <c r="C18" s="1279"/>
      <c r="D18" s="2561"/>
      <c r="E18" s="2561"/>
      <c r="F18" s="2561"/>
    </row>
    <row r="19" spans="1:6" ht="20.65" hidden="1" customHeight="1" x14ac:dyDescent="0.2">
      <c r="A19" s="1277"/>
      <c r="B19" s="1278"/>
      <c r="C19" s="1279"/>
      <c r="D19" s="2561"/>
      <c r="E19" s="2561"/>
      <c r="F19" s="2561"/>
    </row>
    <row r="20" spans="1:6" ht="20.65" hidden="1" customHeight="1" x14ac:dyDescent="0.2">
      <c r="A20" s="1277"/>
      <c r="B20" s="1278"/>
      <c r="C20" s="1279"/>
      <c r="D20" s="2561"/>
      <c r="E20" s="2561"/>
      <c r="F20" s="2561"/>
    </row>
    <row r="21" spans="1:6" ht="20.65" hidden="1" customHeight="1" x14ac:dyDescent="0.2">
      <c r="A21" s="1277"/>
      <c r="B21" s="1278"/>
      <c r="C21" s="1279"/>
      <c r="D21" s="2561"/>
      <c r="E21" s="2561"/>
      <c r="F21" s="2561"/>
    </row>
    <row r="22" spans="1:6" ht="20.65" hidden="1" customHeight="1" x14ac:dyDescent="0.2">
      <c r="A22" s="1277"/>
      <c r="B22" s="1278"/>
      <c r="C22" s="1279"/>
      <c r="D22" s="2561"/>
      <c r="E22" s="2561"/>
      <c r="F22" s="2561"/>
    </row>
    <row r="23" spans="1:6" ht="20.65" hidden="1" customHeight="1" x14ac:dyDescent="0.2">
      <c r="A23" s="1277"/>
      <c r="B23" s="1278"/>
      <c r="C23" s="1279"/>
      <c r="D23" s="2561"/>
      <c r="E23" s="2561"/>
      <c r="F23" s="2561"/>
    </row>
    <row r="24" spans="1:6" ht="20.65" hidden="1" customHeight="1" x14ac:dyDescent="0.2">
      <c r="A24" s="1277"/>
      <c r="B24" s="1278"/>
      <c r="C24" s="1279"/>
      <c r="D24" s="2561"/>
      <c r="E24" s="2561"/>
      <c r="F24" s="2561"/>
    </row>
    <row r="25" spans="1:6" ht="20.65" hidden="1" customHeight="1" x14ac:dyDescent="0.2">
      <c r="A25" s="1277"/>
      <c r="B25" s="1278"/>
      <c r="C25" s="1279"/>
      <c r="D25" s="2561"/>
      <c r="E25" s="2561"/>
      <c r="F25" s="2561"/>
    </row>
    <row r="26" spans="1:6" ht="20.65" hidden="1" customHeight="1" x14ac:dyDescent="0.2">
      <c r="A26" s="1277"/>
      <c r="B26" s="1278"/>
      <c r="C26" s="1279"/>
      <c r="D26" s="2561"/>
      <c r="E26" s="2561"/>
      <c r="F26" s="2561"/>
    </row>
    <row r="27" spans="1:6" ht="20.65" hidden="1" customHeight="1" x14ac:dyDescent="0.2">
      <c r="A27" s="1277"/>
      <c r="B27" s="1278"/>
      <c r="C27" s="1279"/>
      <c r="D27" s="2561"/>
      <c r="E27" s="2561"/>
      <c r="F27" s="2561"/>
    </row>
    <row r="28" spans="1:6" ht="20.65" hidden="1" customHeight="1" x14ac:dyDescent="0.2">
      <c r="A28" s="1277"/>
      <c r="B28" s="1278"/>
      <c r="C28" s="1279"/>
      <c r="D28" s="2561"/>
      <c r="E28" s="2561"/>
      <c r="F28" s="2561"/>
    </row>
    <row r="29" spans="1:6" ht="20.65" hidden="1" customHeight="1" x14ac:dyDescent="0.2">
      <c r="A29" s="1277"/>
      <c r="B29" s="1278"/>
      <c r="C29" s="1279"/>
      <c r="D29" s="2561"/>
      <c r="E29" s="2561"/>
      <c r="F29" s="2561"/>
    </row>
    <row r="30" spans="1:6" ht="12" customHeight="1" x14ac:dyDescent="0.2">
      <c r="A30" s="328"/>
      <c r="B30" s="328"/>
      <c r="C30" s="1459"/>
      <c r="D30" s="1898"/>
      <c r="E30" s="1280"/>
    </row>
    <row r="31" spans="1:6" ht="12" customHeight="1" x14ac:dyDescent="0.2">
      <c r="A31" s="1281" t="s">
        <v>1549</v>
      </c>
      <c r="B31" s="328"/>
      <c r="C31" s="1459"/>
      <c r="D31" s="1898"/>
      <c r="E31" s="1280"/>
    </row>
    <row r="32" spans="1:6" ht="30" customHeight="1" x14ac:dyDescent="0.2">
      <c r="A32" s="2563" t="s">
        <v>2173</v>
      </c>
      <c r="B32" s="2563"/>
      <c r="C32" s="2563"/>
      <c r="D32" s="2563"/>
      <c r="E32" s="2563"/>
      <c r="F32" s="2563"/>
    </row>
    <row r="33" spans="1:6" ht="13.5" customHeight="1" x14ac:dyDescent="0.2">
      <c r="A33" s="328" t="s">
        <v>1434</v>
      </c>
      <c r="B33" s="328"/>
      <c r="C33" s="1282">
        <v>43130</v>
      </c>
      <c r="D33" s="1898"/>
      <c r="E33" s="1280"/>
    </row>
    <row r="34" spans="1:6" ht="13.5" customHeight="1" x14ac:dyDescent="0.2">
      <c r="A34" s="328" t="s">
        <v>1834</v>
      </c>
      <c r="B34" s="328"/>
      <c r="C34" s="1283">
        <v>6498</v>
      </c>
      <c r="D34" s="1898" t="s">
        <v>1588</v>
      </c>
      <c r="E34" s="2564">
        <f>+C33+C34</f>
        <v>49628</v>
      </c>
      <c r="F34" s="2565"/>
    </row>
    <row r="35" spans="1:6" ht="12" customHeight="1" x14ac:dyDescent="0.2">
      <c r="A35" s="328"/>
      <c r="B35" s="328"/>
      <c r="C35" s="1899"/>
      <c r="D35" s="1898"/>
      <c r="E35" s="1284"/>
      <c r="F35" s="1285"/>
    </row>
    <row r="36" spans="1:6" ht="12" customHeight="1" x14ac:dyDescent="0.2">
      <c r="A36" s="1281" t="s">
        <v>2198</v>
      </c>
      <c r="B36" s="328"/>
      <c r="C36" s="1899"/>
      <c r="D36" s="1898"/>
      <c r="E36" s="1284"/>
      <c r="F36" s="1285"/>
    </row>
    <row r="37" spans="1:6" ht="12" customHeight="1" x14ac:dyDescent="0.2">
      <c r="A37" s="328" t="s">
        <v>2172</v>
      </c>
      <c r="B37" s="328"/>
      <c r="C37" s="1899"/>
      <c r="D37" s="1898"/>
      <c r="E37" s="1284"/>
      <c r="F37" s="1285"/>
    </row>
    <row r="38" spans="1:6" ht="12" customHeight="1" x14ac:dyDescent="0.2">
      <c r="A38" s="328" t="s">
        <v>2171</v>
      </c>
      <c r="B38" s="328"/>
      <c r="C38" s="1899"/>
      <c r="D38" s="1898"/>
      <c r="E38" s="1284"/>
      <c r="F38" s="1285"/>
    </row>
    <row r="39" spans="1:6" ht="12" customHeight="1" x14ac:dyDescent="0.2">
      <c r="A39" s="328" t="s">
        <v>2170</v>
      </c>
      <c r="B39" s="328"/>
      <c r="C39" s="1899"/>
      <c r="D39" s="1898"/>
      <c r="E39" s="1284"/>
      <c r="F39" s="1285"/>
    </row>
    <row r="40" spans="1:6" ht="12" customHeight="1" x14ac:dyDescent="0.2">
      <c r="A40" s="328"/>
      <c r="B40" s="328"/>
      <c r="C40" s="1899"/>
      <c r="D40" s="1898"/>
      <c r="E40" s="1284"/>
      <c r="F40" s="1285"/>
    </row>
    <row r="41" spans="1:6" ht="13.5" customHeight="1" x14ac:dyDescent="0.2">
      <c r="A41" s="1281" t="s">
        <v>2169</v>
      </c>
      <c r="B41" s="328"/>
      <c r="C41" s="1459"/>
      <c r="D41" s="1898"/>
      <c r="E41" s="1280"/>
    </row>
    <row r="42" spans="1:6" ht="14.25" customHeight="1" x14ac:dyDescent="0.2">
      <c r="A42" s="328" t="s">
        <v>1484</v>
      </c>
      <c r="B42" s="328"/>
      <c r="C42" s="1900"/>
      <c r="D42" s="1898"/>
      <c r="E42" s="1280"/>
    </row>
    <row r="43" spans="1:6" ht="14.25" customHeight="1" x14ac:dyDescent="0.2">
      <c r="A43" s="328"/>
      <c r="B43" s="328" t="s">
        <v>1435</v>
      </c>
      <c r="C43" s="1286" t="s">
        <v>383</v>
      </c>
      <c r="D43" s="1898"/>
      <c r="E43" s="1280"/>
    </row>
    <row r="44" spans="1:6" ht="14.25" customHeight="1" x14ac:dyDescent="0.2">
      <c r="A44" s="328"/>
      <c r="B44" s="328" t="s">
        <v>1436</v>
      </c>
      <c r="C44" s="1286" t="s">
        <v>383</v>
      </c>
      <c r="D44" s="1898"/>
      <c r="E44" s="1280"/>
    </row>
    <row r="45" spans="1:6" ht="14.25" customHeight="1" x14ac:dyDescent="0.2">
      <c r="A45" s="328"/>
      <c r="B45" s="328" t="s">
        <v>1437</v>
      </c>
      <c r="C45" s="1286" t="s">
        <v>383</v>
      </c>
      <c r="D45" s="1898"/>
      <c r="E45" s="1280"/>
    </row>
    <row r="46" spans="1:6" ht="14.25" customHeight="1" x14ac:dyDescent="0.2">
      <c r="A46" s="328"/>
      <c r="B46" s="328" t="s">
        <v>1438</v>
      </c>
      <c r="C46" s="1286" t="s">
        <v>383</v>
      </c>
      <c r="D46" s="1898"/>
      <c r="E46" s="1280"/>
    </row>
    <row r="47" spans="1:6" ht="14.25" customHeight="1" x14ac:dyDescent="0.2">
      <c r="A47" s="328" t="s">
        <v>1439</v>
      </c>
      <c r="B47" s="328"/>
      <c r="C47" s="1896" t="s">
        <v>383</v>
      </c>
      <c r="D47" s="1898"/>
      <c r="E47" s="1280"/>
    </row>
    <row r="48" spans="1:6" ht="14.25" customHeight="1" x14ac:dyDescent="0.2">
      <c r="A48" s="328" t="s">
        <v>1440</v>
      </c>
      <c r="B48" s="328"/>
      <c r="C48" s="1287" t="s">
        <v>383</v>
      </c>
      <c r="D48" s="1898"/>
      <c r="E48" s="1280"/>
    </row>
    <row r="49" spans="1:6" ht="14.25" customHeight="1" x14ac:dyDescent="0.2">
      <c r="A49" s="328"/>
      <c r="B49" s="328"/>
      <c r="C49" s="1900" t="s">
        <v>1441</v>
      </c>
      <c r="D49" s="1898"/>
      <c r="E49" s="1280"/>
    </row>
    <row r="50" spans="1:6" ht="13.5" customHeight="1" x14ac:dyDescent="0.2">
      <c r="B50" s="322"/>
      <c r="C50" s="1288"/>
      <c r="D50" s="1288"/>
    </row>
    <row r="51" spans="1:6" x14ac:dyDescent="0.2">
      <c r="A51" s="1289" t="s">
        <v>1729</v>
      </c>
      <c r="C51" s="317"/>
      <c r="D51" s="317"/>
    </row>
    <row r="52" spans="1:6" s="322" customFormat="1" ht="11.25" customHeight="1" x14ac:dyDescent="0.2">
      <c r="A52" s="1290"/>
      <c r="B52" s="1291"/>
      <c r="C52" s="1291"/>
      <c r="D52" s="1291"/>
      <c r="E52" s="1291"/>
      <c r="F52" s="1291"/>
    </row>
    <row r="53" spans="1:6" s="322" customFormat="1" ht="6" customHeight="1" x14ac:dyDescent="0.2">
      <c r="A53" s="1292"/>
    </row>
    <row r="54" spans="1:6" s="1294" customFormat="1" ht="23.25" customHeight="1" x14ac:dyDescent="0.2">
      <c r="A54" s="1293">
        <v>5</v>
      </c>
      <c r="B54" s="2566" t="s">
        <v>1589</v>
      </c>
      <c r="C54" s="2566"/>
      <c r="D54" s="2566"/>
      <c r="E54" s="1393"/>
    </row>
    <row r="55" spans="1:6" s="1294" customFormat="1" ht="3.75" customHeight="1" x14ac:dyDescent="0.2">
      <c r="A55" s="1293"/>
      <c r="B55" s="1933"/>
      <c r="C55" s="1933"/>
      <c r="D55" s="1933"/>
      <c r="E55" s="1393"/>
    </row>
    <row r="56" spans="1:6" s="1294" customFormat="1" ht="20.25" customHeight="1" x14ac:dyDescent="0.2">
      <c r="A56" s="1295">
        <v>6</v>
      </c>
      <c r="B56" s="2562" t="s">
        <v>1550</v>
      </c>
      <c r="C56" s="2562"/>
      <c r="D56" s="2562"/>
    </row>
    <row r="57" spans="1:6" ht="14.25" customHeight="1" x14ac:dyDescent="0.2">
      <c r="A57" s="1295"/>
      <c r="B57" s="2562"/>
      <c r="C57" s="2562"/>
      <c r="D57" s="2562"/>
    </row>
  </sheetData>
  <mergeCells count="26">
    <mergeCell ref="A7:F7"/>
    <mergeCell ref="A1:F1"/>
    <mergeCell ref="A2:F2"/>
    <mergeCell ref="A3:F3"/>
    <mergeCell ref="A4:F4"/>
    <mergeCell ref="D20:F20"/>
    <mergeCell ref="D21:F21"/>
    <mergeCell ref="D22:F22"/>
    <mergeCell ref="D23:F23"/>
    <mergeCell ref="A13:F13"/>
    <mergeCell ref="D15:F15"/>
    <mergeCell ref="D16:F16"/>
    <mergeCell ref="D17:F17"/>
    <mergeCell ref="D18:F18"/>
    <mergeCell ref="D19:F19"/>
    <mergeCell ref="D24:F24"/>
    <mergeCell ref="D25:F25"/>
    <mergeCell ref="B56:D56"/>
    <mergeCell ref="B57:D57"/>
    <mergeCell ref="D27:F27"/>
    <mergeCell ref="D28:F28"/>
    <mergeCell ref="D29:F29"/>
    <mergeCell ref="A32:F32"/>
    <mergeCell ref="E34:F34"/>
    <mergeCell ref="B54:D54"/>
    <mergeCell ref="D26:F26"/>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84" t="str">
        <f>'Single Audit Coverzzz'!A7</f>
        <v>Eureka CUD 140</v>
      </c>
      <c r="C1" s="2585"/>
      <c r="D1" s="2585"/>
      <c r="E1" s="2585"/>
      <c r="F1" s="2585"/>
      <c r="G1" s="2585"/>
      <c r="H1" s="2585"/>
      <c r="I1" s="2585"/>
      <c r="J1" s="1403"/>
    </row>
    <row r="2" spans="2:10" s="317" customFormat="1" ht="12.75" customHeight="1" x14ac:dyDescent="0.2">
      <c r="B2" s="2586">
        <f>'Single Audit Coverzzz'!E7</f>
        <v>53102140026</v>
      </c>
      <c r="C2" s="2587"/>
      <c r="D2" s="2587"/>
      <c r="E2" s="2587"/>
      <c r="F2" s="2587"/>
      <c r="G2" s="2587"/>
      <c r="H2" s="2587"/>
      <c r="I2" s="2587"/>
      <c r="J2" s="1403"/>
    </row>
    <row r="3" spans="2:10" s="317" customFormat="1" ht="12.75" customHeight="1" x14ac:dyDescent="0.2">
      <c r="B3" s="2588" t="s">
        <v>1285</v>
      </c>
      <c r="C3" s="2589"/>
      <c r="D3" s="2589"/>
      <c r="E3" s="2589"/>
      <c r="F3" s="2589"/>
      <c r="G3" s="2589"/>
      <c r="H3" s="2589"/>
      <c r="I3" s="2589"/>
      <c r="J3" s="1404"/>
    </row>
    <row r="4" spans="2:10" s="317" customFormat="1" ht="12.75" customHeight="1" x14ac:dyDescent="0.2">
      <c r="B4" s="2588" t="str">
        <f>'Single Audit Coverzzz'!A4</f>
        <v>Year Ending June 30, 2019</v>
      </c>
      <c r="C4" s="2589"/>
      <c r="D4" s="2589"/>
      <c r="E4" s="2589"/>
      <c r="F4" s="2589"/>
      <c r="G4" s="2589"/>
      <c r="H4" s="2589"/>
      <c r="I4" s="2589"/>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588" t="s">
        <v>1284</v>
      </c>
      <c r="C7" s="2589"/>
      <c r="D7" s="2589"/>
      <c r="E7" s="2589"/>
      <c r="F7" s="2589"/>
      <c r="G7" s="2589"/>
      <c r="H7" s="2589"/>
      <c r="I7" s="2589"/>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590" t="s">
        <v>1164</v>
      </c>
      <c r="D11" s="2590"/>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t="s">
        <v>2162</v>
      </c>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t="s">
        <v>2162</v>
      </c>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1590</v>
      </c>
      <c r="C20" s="1418"/>
      <c r="D20" s="1392"/>
      <c r="E20" s="1419"/>
      <c r="F20" s="1294" t="s">
        <v>885</v>
      </c>
      <c r="G20" s="1419" t="s">
        <v>2162</v>
      </c>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t="s">
        <v>2162</v>
      </c>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t="s">
        <v>2162</v>
      </c>
      <c r="H27" s="1294" t="s">
        <v>1276</v>
      </c>
      <c r="I27" s="1294"/>
    </row>
    <row r="28" spans="2:9" s="317" customFormat="1" ht="12.75" customHeight="1" x14ac:dyDescent="0.2">
      <c r="B28" s="1362"/>
      <c r="C28" s="1276"/>
      <c r="E28" s="1252"/>
    </row>
    <row r="29" spans="2:9" s="317" customFormat="1" ht="12.75" customHeight="1" x14ac:dyDescent="0.2">
      <c r="B29" s="1362" t="s">
        <v>1275</v>
      </c>
      <c r="C29" s="1276"/>
      <c r="D29" s="2591" t="s">
        <v>2163</v>
      </c>
      <c r="E29" s="2591"/>
      <c r="F29" s="2591"/>
      <c r="G29" s="2591"/>
      <c r="H29" s="2591"/>
      <c r="I29" s="2591"/>
    </row>
    <row r="30" spans="2:9" s="317" customFormat="1" x14ac:dyDescent="0.2">
      <c r="B30" s="1362"/>
      <c r="C30" s="322"/>
      <c r="D30" s="1414" t="s">
        <v>1744</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1551</v>
      </c>
      <c r="C33" s="1276"/>
      <c r="E33" s="1419"/>
      <c r="F33" s="1294" t="s">
        <v>885</v>
      </c>
      <c r="G33" s="1419" t="s">
        <v>2162</v>
      </c>
      <c r="H33" s="1294" t="s">
        <v>99</v>
      </c>
    </row>
    <row r="35" spans="2:9" x14ac:dyDescent="0.2">
      <c r="B35" s="1422" t="s">
        <v>1745</v>
      </c>
      <c r="C35" s="1423"/>
      <c r="D35" s="1261"/>
    </row>
    <row r="36" spans="2:9" ht="6" customHeight="1" x14ac:dyDescent="0.2">
      <c r="B36" s="1422"/>
      <c r="C36" s="1423"/>
      <c r="D36" s="1261"/>
    </row>
    <row r="37" spans="2:9" ht="17.25" customHeight="1" x14ac:dyDescent="0.2">
      <c r="B37" s="1424" t="s">
        <v>1746</v>
      </c>
      <c r="C37" s="2592" t="s">
        <v>1747</v>
      </c>
      <c r="D37" s="2593"/>
      <c r="E37" s="2593"/>
      <c r="F37" s="2594"/>
      <c r="G37" s="2592" t="s">
        <v>1591</v>
      </c>
      <c r="H37" s="2593"/>
      <c r="I37" s="2594"/>
    </row>
    <row r="38" spans="2:9" ht="16.5" customHeight="1" x14ac:dyDescent="0.2">
      <c r="B38" s="1425">
        <v>84.027000000000001</v>
      </c>
      <c r="C38" s="2580" t="s">
        <v>2164</v>
      </c>
      <c r="D38" s="2581"/>
      <c r="E38" s="2581"/>
      <c r="F38" s="2582"/>
      <c r="G38" s="2595">
        <v>324633</v>
      </c>
      <c r="H38" s="2596"/>
      <c r="I38" s="2597"/>
    </row>
    <row r="39" spans="2:9" ht="16.5" customHeight="1" x14ac:dyDescent="0.2">
      <c r="B39" s="1425"/>
      <c r="C39" s="2580"/>
      <c r="D39" s="2581"/>
      <c r="E39" s="2581"/>
      <c r="F39" s="2582"/>
      <c r="G39" s="2583"/>
      <c r="H39" s="2583"/>
      <c r="I39" s="2583"/>
    </row>
    <row r="40" spans="2:9" ht="16.5" customHeight="1" x14ac:dyDescent="0.2">
      <c r="B40" s="1425"/>
      <c r="C40" s="2580"/>
      <c r="D40" s="2581"/>
      <c r="E40" s="2581"/>
      <c r="F40" s="2582"/>
      <c r="G40" s="2583"/>
      <c r="H40" s="2583"/>
      <c r="I40" s="2583"/>
    </row>
    <row r="41" spans="2:9" ht="16.5" customHeight="1" x14ac:dyDescent="0.2">
      <c r="B41" s="1425"/>
      <c r="C41" s="2580"/>
      <c r="D41" s="2581"/>
      <c r="E41" s="2581"/>
      <c r="F41" s="2582"/>
      <c r="G41" s="2583"/>
      <c r="H41" s="2583"/>
      <c r="I41" s="2583"/>
    </row>
    <row r="42" spans="2:9" ht="16.5" customHeight="1" x14ac:dyDescent="0.2">
      <c r="B42" s="1425"/>
      <c r="C42" s="2580"/>
      <c r="D42" s="2581"/>
      <c r="E42" s="2581"/>
      <c r="F42" s="2582"/>
      <c r="G42" s="2583"/>
      <c r="H42" s="2583"/>
      <c r="I42" s="2583"/>
    </row>
    <row r="43" spans="2:9" ht="16.5" customHeight="1" x14ac:dyDescent="0.2">
      <c r="B43" s="1425"/>
      <c r="C43" s="2573" t="s">
        <v>1592</v>
      </c>
      <c r="D43" s="2574"/>
      <c r="E43" s="2574"/>
      <c r="F43" s="2575"/>
      <c r="G43" s="2576">
        <f>SUM(G38:I42)</f>
        <v>324633</v>
      </c>
      <c r="H43" s="2576"/>
      <c r="I43" s="2576"/>
    </row>
    <row r="44" spans="2:9" ht="12.75" customHeight="1" x14ac:dyDescent="0.2"/>
    <row r="45" spans="2:9" ht="12.75" customHeight="1" x14ac:dyDescent="0.2">
      <c r="B45" s="1416" t="s">
        <v>1837</v>
      </c>
      <c r="D45" s="2577">
        <v>778228</v>
      </c>
      <c r="E45" s="2578"/>
    </row>
    <row r="46" spans="2:9" ht="5.25" customHeight="1" x14ac:dyDescent="0.2">
      <c r="B46" s="1426"/>
      <c r="D46" s="1427"/>
      <c r="E46" s="1428"/>
    </row>
    <row r="47" spans="2:9" ht="12.75" customHeight="1" x14ac:dyDescent="0.2">
      <c r="B47" s="1294" t="s">
        <v>1593</v>
      </c>
      <c r="C47" s="1294"/>
      <c r="D47" s="1429">
        <f>+G43/D45</f>
        <v>0.41714381903503855</v>
      </c>
      <c r="E47" s="1430"/>
      <c r="F47" s="1431"/>
      <c r="I47" s="1432"/>
    </row>
    <row r="48" spans="2:9" ht="9.9499999999999993" customHeight="1" x14ac:dyDescent="0.2"/>
    <row r="49" spans="1:9" x14ac:dyDescent="0.2">
      <c r="B49" s="1362" t="s">
        <v>1273</v>
      </c>
      <c r="C49" s="1276"/>
      <c r="D49" s="1276"/>
      <c r="E49" s="2579">
        <v>750000</v>
      </c>
      <c r="F49" s="2579"/>
      <c r="G49" s="2579"/>
      <c r="H49" s="322"/>
    </row>
    <row r="51" spans="1:9" ht="13.5" customHeight="1" x14ac:dyDescent="0.2">
      <c r="B51" s="1362" t="s">
        <v>1272</v>
      </c>
      <c r="C51" s="1276"/>
      <c r="E51" s="1419"/>
      <c r="F51" s="1294" t="s">
        <v>885</v>
      </c>
      <c r="G51" s="1419" t="s">
        <v>2162</v>
      </c>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1748</v>
      </c>
      <c r="C54" s="1441"/>
      <c r="D54" s="1441"/>
    </row>
    <row r="55" spans="1:9" s="1442" customFormat="1" ht="12.75" customHeight="1" x14ac:dyDescent="0.2">
      <c r="A55" s="1439"/>
      <c r="B55" s="1443" t="s">
        <v>1594</v>
      </c>
      <c r="C55" s="1439"/>
      <c r="D55" s="1439"/>
    </row>
    <row r="56" spans="1:9" s="1442" customFormat="1" ht="12.75" customHeight="1" x14ac:dyDescent="0.2">
      <c r="A56" s="1439"/>
      <c r="B56" s="1443" t="s">
        <v>1595</v>
      </c>
      <c r="C56" s="1439"/>
      <c r="D56" s="1439"/>
    </row>
    <row r="57" spans="1:9" s="1442" customFormat="1" ht="3.95" customHeight="1" x14ac:dyDescent="0.2">
      <c r="A57" s="1439"/>
      <c r="B57" s="1443"/>
      <c r="C57" s="1439"/>
      <c r="D57" s="1439"/>
    </row>
    <row r="58" spans="1:9" s="1442" customFormat="1" ht="13.5" customHeight="1" x14ac:dyDescent="0.2">
      <c r="A58" s="1439"/>
      <c r="B58" s="1444" t="s">
        <v>1749</v>
      </c>
      <c r="C58" s="1445"/>
      <c r="D58" s="1445"/>
    </row>
    <row r="59" spans="1:9" s="1442" customFormat="1" ht="3.95" customHeight="1" x14ac:dyDescent="0.2">
      <c r="A59" s="1439"/>
      <c r="B59" s="1444"/>
      <c r="C59" s="1445"/>
      <c r="D59" s="1445"/>
    </row>
    <row r="60" spans="1:9" s="1442" customFormat="1" ht="13.5" customHeight="1" x14ac:dyDescent="0.2">
      <c r="A60" s="1439"/>
      <c r="B60" s="1444" t="s">
        <v>1750</v>
      </c>
      <c r="C60" s="1445"/>
      <c r="D60" s="1445"/>
    </row>
    <row r="61" spans="1:9" s="1442" customFormat="1" ht="3.95" customHeight="1" x14ac:dyDescent="0.2">
      <c r="A61" s="1439"/>
      <c r="B61" s="1444"/>
      <c r="C61" s="1445"/>
      <c r="D61" s="1445"/>
    </row>
    <row r="62" spans="1:9" s="1442" customFormat="1" ht="12.75" customHeight="1" x14ac:dyDescent="0.2">
      <c r="A62" s="1439"/>
      <c r="B62" s="1444" t="s">
        <v>1751</v>
      </c>
      <c r="C62" s="1445"/>
      <c r="D62" s="1445"/>
    </row>
    <row r="63" spans="1:9" s="1442" customFormat="1" ht="13.5" customHeight="1" x14ac:dyDescent="0.2">
      <c r="A63" s="1439"/>
      <c r="B63" s="1443" t="s">
        <v>1596</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fitToWidth="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84" t="str">
        <f>'Single Audit Coverzzz'!A7</f>
        <v>Eureka CUD 140</v>
      </c>
      <c r="C1" s="2584"/>
      <c r="D1" s="2584"/>
      <c r="E1" s="2584"/>
      <c r="F1" s="2584"/>
      <c r="G1" s="2584"/>
      <c r="H1" s="2584"/>
      <c r="I1" s="2584"/>
      <c r="J1" s="2584"/>
      <c r="K1" s="2584"/>
      <c r="L1" s="1368"/>
      <c r="M1" s="1368"/>
    </row>
    <row r="2" spans="1:13" ht="12" customHeight="1" x14ac:dyDescent="0.2">
      <c r="B2" s="2586">
        <f>'Single Audit Coverzzz'!E7</f>
        <v>53102140026</v>
      </c>
      <c r="C2" s="2586"/>
      <c r="D2" s="2586"/>
      <c r="E2" s="2586"/>
      <c r="F2" s="2586"/>
      <c r="G2" s="2586"/>
      <c r="H2" s="2586"/>
      <c r="I2" s="2586"/>
      <c r="J2" s="2586"/>
      <c r="K2" s="2586"/>
      <c r="L2" s="1369"/>
      <c r="M2" s="1370"/>
    </row>
    <row r="3" spans="1:13" ht="10.35" customHeight="1" x14ac:dyDescent="0.2">
      <c r="B3" s="2600" t="s">
        <v>1285</v>
      </c>
      <c r="C3" s="2600"/>
      <c r="D3" s="2600"/>
      <c r="E3" s="2600"/>
      <c r="F3" s="2600"/>
      <c r="G3" s="2600"/>
      <c r="H3" s="2600"/>
      <c r="I3" s="2600"/>
      <c r="J3" s="2600"/>
      <c r="K3" s="2600"/>
      <c r="L3" s="1371"/>
      <c r="M3" s="1371"/>
    </row>
    <row r="4" spans="1:13" ht="14.25" customHeight="1" x14ac:dyDescent="0.2">
      <c r="B4" s="2601" t="str">
        <f>'Single Audit Coverzzz'!A4</f>
        <v>Year Ending June 30, 2019</v>
      </c>
      <c r="C4" s="2601"/>
      <c r="D4" s="2601"/>
      <c r="E4" s="2601"/>
      <c r="F4" s="2601"/>
      <c r="G4" s="2601"/>
      <c r="H4" s="2601"/>
      <c r="I4" s="2601"/>
      <c r="J4" s="2601"/>
      <c r="K4" s="2601"/>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601" t="s">
        <v>1296</v>
      </c>
      <c r="C7" s="2601"/>
      <c r="D7" s="2602"/>
      <c r="E7" s="2602"/>
      <c r="F7" s="2602"/>
      <c r="G7" s="2602"/>
      <c r="H7" s="2602"/>
      <c r="I7" s="2602"/>
      <c r="J7" s="2602"/>
      <c r="K7" s="2602"/>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1738</v>
      </c>
      <c r="C10" s="1379" t="s">
        <v>1987</v>
      </c>
      <c r="D10" s="1380" t="s">
        <v>2091</v>
      </c>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599"/>
      <c r="C14" s="2599"/>
      <c r="D14" s="2599"/>
      <c r="E14" s="2599"/>
      <c r="F14" s="2599"/>
      <c r="G14" s="2599"/>
      <c r="H14" s="2599"/>
      <c r="I14" s="2599"/>
      <c r="J14" s="2599"/>
      <c r="K14" s="2599"/>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599"/>
      <c r="C17" s="2599"/>
      <c r="D17" s="2599"/>
      <c r="E17" s="2599"/>
      <c r="F17" s="2599"/>
      <c r="G17" s="2599"/>
      <c r="H17" s="2599"/>
      <c r="I17" s="2599"/>
      <c r="J17" s="2599"/>
      <c r="K17" s="2599"/>
      <c r="L17" s="1375"/>
    </row>
    <row r="18" spans="2:12" ht="4.5" customHeight="1" x14ac:dyDescent="0.2">
      <c r="B18" s="1392"/>
      <c r="C18" s="1392"/>
      <c r="L18" s="1375"/>
    </row>
    <row r="19" spans="2:12" s="1276" customFormat="1" ht="13.5" customHeight="1" x14ac:dyDescent="0.2">
      <c r="B19" s="1387" t="s">
        <v>1739</v>
      </c>
      <c r="C19" s="1387"/>
      <c r="D19" s="1388"/>
      <c r="E19" s="1388"/>
      <c r="F19" s="1388"/>
      <c r="G19" s="1389"/>
      <c r="H19" s="1388"/>
      <c r="I19" s="1389"/>
      <c r="J19" s="1388"/>
      <c r="K19" s="1388"/>
      <c r="L19" s="1390"/>
    </row>
    <row r="20" spans="2:12" ht="45.75" customHeight="1" x14ac:dyDescent="0.2">
      <c r="B20" s="2603"/>
      <c r="C20" s="2603"/>
      <c r="D20" s="2599"/>
      <c r="E20" s="2599"/>
      <c r="F20" s="2599"/>
      <c r="G20" s="2599"/>
      <c r="H20" s="2599"/>
      <c r="I20" s="2599"/>
      <c r="J20" s="2599"/>
      <c r="K20" s="2599"/>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599"/>
      <c r="C23" s="2599"/>
      <c r="D23" s="2599"/>
      <c r="E23" s="2599"/>
      <c r="F23" s="2599"/>
      <c r="G23" s="2599"/>
      <c r="H23" s="2599"/>
      <c r="I23" s="2599"/>
      <c r="J23" s="2599"/>
      <c r="K23" s="2599"/>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599"/>
      <c r="C26" s="2599"/>
      <c r="D26" s="2599"/>
      <c r="E26" s="2599"/>
      <c r="F26" s="2599"/>
      <c r="G26" s="2599"/>
      <c r="H26" s="2599"/>
      <c r="I26" s="2599"/>
      <c r="J26" s="2599"/>
      <c r="K26" s="2599"/>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598"/>
      <c r="C29" s="2598"/>
      <c r="D29" s="2599"/>
      <c r="E29" s="2599"/>
      <c r="F29" s="2599"/>
      <c r="G29" s="2599"/>
      <c r="H29" s="2599"/>
      <c r="I29" s="2599"/>
      <c r="J29" s="2599"/>
      <c r="K29" s="2599"/>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1740</v>
      </c>
      <c r="C31" s="1397"/>
      <c r="D31" s="1372"/>
      <c r="E31" s="1373"/>
      <c r="F31" s="1373"/>
      <c r="G31" s="1374"/>
      <c r="H31" s="1373"/>
      <c r="I31" s="1374"/>
      <c r="J31" s="1373"/>
      <c r="K31" s="1373"/>
      <c r="L31" s="1375"/>
    </row>
    <row r="32" spans="2:12" s="322" customFormat="1" ht="44.25" customHeight="1" x14ac:dyDescent="0.2">
      <c r="B32" s="2598"/>
      <c r="C32" s="2598"/>
      <c r="D32" s="2599"/>
      <c r="E32" s="2599"/>
      <c r="F32" s="2599"/>
      <c r="G32" s="2599"/>
      <c r="H32" s="2599"/>
      <c r="I32" s="2599"/>
      <c r="J32" s="2599"/>
      <c r="K32" s="2599"/>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1741</v>
      </c>
      <c r="C35" s="1400"/>
      <c r="D35" s="322"/>
      <c r="E35" s="322"/>
      <c r="F35" s="322"/>
      <c r="L35" s="1375"/>
    </row>
    <row r="36" spans="1:13" ht="9.6" customHeight="1" x14ac:dyDescent="0.2">
      <c r="B36" s="1294" t="s">
        <v>1838</v>
      </c>
      <c r="C36" s="1294"/>
      <c r="L36" s="1375"/>
    </row>
    <row r="37" spans="1:13" ht="9.6" customHeight="1" x14ac:dyDescent="0.2">
      <c r="B37" s="1294" t="s">
        <v>1839</v>
      </c>
      <c r="C37" s="1294"/>
    </row>
    <row r="38" spans="1:13" ht="11.85" customHeight="1" x14ac:dyDescent="0.2">
      <c r="B38" s="1401" t="s">
        <v>1742</v>
      </c>
      <c r="C38" s="1401"/>
    </row>
    <row r="39" spans="1:13" ht="9.6" customHeight="1" x14ac:dyDescent="0.2">
      <c r="B39" s="1294" t="s">
        <v>1286</v>
      </c>
      <c r="C39" s="1294"/>
      <c r="M39" s="1402"/>
    </row>
    <row r="40" spans="1:13" ht="12.6" customHeight="1" x14ac:dyDescent="0.2">
      <c r="B40" s="1401" t="s">
        <v>1743</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07" t="str">
        <f>'Single Audit Coverzzz'!A7</f>
        <v>Eureka CUD 140</v>
      </c>
      <c r="C1" s="2607"/>
      <c r="D1" s="2607"/>
      <c r="E1" s="2607"/>
      <c r="F1" s="2607"/>
      <c r="G1" s="2607"/>
      <c r="H1" s="2607"/>
      <c r="I1" s="2607"/>
      <c r="J1" s="2607"/>
      <c r="K1" s="2607"/>
      <c r="L1" s="1446"/>
    </row>
    <row r="2" spans="1:12" ht="12.75" customHeight="1" x14ac:dyDescent="0.2">
      <c r="B2" s="2608">
        <f>'Single Audit Coverzzz'!E7</f>
        <v>53102140026</v>
      </c>
      <c r="C2" s="2608"/>
      <c r="D2" s="2608"/>
      <c r="E2" s="2608"/>
      <c r="F2" s="2608"/>
      <c r="G2" s="2608"/>
      <c r="H2" s="2608"/>
      <c r="I2" s="2608"/>
      <c r="J2" s="2608"/>
      <c r="K2" s="2608"/>
      <c r="L2" s="1447"/>
    </row>
    <row r="3" spans="1:12" ht="12.75" customHeight="1" x14ac:dyDescent="0.2">
      <c r="B3" s="2600" t="s">
        <v>1285</v>
      </c>
      <c r="C3" s="2600"/>
      <c r="D3" s="2600"/>
      <c r="E3" s="2600"/>
      <c r="F3" s="2600"/>
      <c r="G3" s="2600"/>
      <c r="H3" s="2600"/>
      <c r="I3" s="2600"/>
      <c r="J3" s="2600"/>
      <c r="K3" s="2600"/>
      <c r="L3" s="1371"/>
    </row>
    <row r="4" spans="1:12" ht="12.75" customHeight="1" x14ac:dyDescent="0.2">
      <c r="B4" s="2600" t="str">
        <f>'Single Audit Coverzzz'!A4</f>
        <v>Year Ending June 30, 2019</v>
      </c>
      <c r="C4" s="2600"/>
      <c r="D4" s="2600"/>
      <c r="E4" s="2600"/>
      <c r="F4" s="2600"/>
      <c r="G4" s="2600"/>
      <c r="H4" s="2600"/>
      <c r="I4" s="2600"/>
      <c r="J4" s="2600"/>
      <c r="K4" s="2600"/>
      <c r="L4" s="1371"/>
    </row>
    <row r="5" spans="1:12" ht="5.25" customHeight="1" x14ac:dyDescent="0.2">
      <c r="B5" s="1254" t="s">
        <v>1169</v>
      </c>
      <c r="C5" s="1254"/>
      <c r="L5" s="322"/>
    </row>
    <row r="6" spans="1:12" ht="30.75" customHeight="1" x14ac:dyDescent="0.2">
      <c r="A6" s="322"/>
      <c r="B6" s="2609" t="s">
        <v>1308</v>
      </c>
      <c r="C6" s="2609"/>
      <c r="D6" s="2609"/>
      <c r="E6" s="2609"/>
      <c r="F6" s="2609"/>
      <c r="G6" s="2609"/>
      <c r="H6" s="2609"/>
      <c r="I6" s="2609"/>
      <c r="J6" s="2609"/>
      <c r="K6" s="2609"/>
      <c r="L6" s="322"/>
    </row>
    <row r="7" spans="1:12" ht="4.5" customHeight="1" x14ac:dyDescent="0.2">
      <c r="B7" s="1373"/>
      <c r="C7" s="1373"/>
      <c r="D7" s="1373"/>
      <c r="E7" s="1373"/>
      <c r="F7" s="1373"/>
      <c r="G7" s="1374"/>
      <c r="H7" s="1373"/>
      <c r="I7" s="1374"/>
      <c r="J7" s="1373"/>
      <c r="K7" s="1373"/>
      <c r="L7" s="322"/>
    </row>
    <row r="8" spans="1:12" ht="13.5" customHeight="1" x14ac:dyDescent="0.2">
      <c r="B8" s="1381" t="s">
        <v>1752</v>
      </c>
      <c r="C8" s="1448" t="s">
        <v>1987</v>
      </c>
      <c r="D8" s="1449" t="s">
        <v>2091</v>
      </c>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591"/>
      <c r="G12" s="2591"/>
      <c r="H12" s="2591"/>
      <c r="I12" s="2591"/>
      <c r="J12" s="2591"/>
      <c r="K12" s="2591"/>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604"/>
      <c r="E14" s="2604"/>
      <c r="F14" s="2604"/>
      <c r="H14" s="1456" t="s">
        <v>1303</v>
      </c>
      <c r="I14" s="2605"/>
      <c r="J14" s="2605"/>
      <c r="K14" s="2605"/>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605"/>
      <c r="E16" s="2605"/>
      <c r="F16" s="2605"/>
      <c r="G16" s="2605"/>
      <c r="H16" s="2605"/>
      <c r="I16" s="2605"/>
      <c r="J16" s="2605"/>
      <c r="K16" s="2605"/>
      <c r="L16" s="322"/>
    </row>
    <row r="17" spans="2:12" ht="13.5" customHeight="1" x14ac:dyDescent="0.2">
      <c r="B17" s="1381" t="s">
        <v>1301</v>
      </c>
      <c r="C17" s="1381"/>
      <c r="D17" s="2606"/>
      <c r="E17" s="2606"/>
      <c r="F17" s="2606"/>
      <c r="G17" s="2606"/>
      <c r="H17" s="2606"/>
      <c r="I17" s="2606"/>
      <c r="J17" s="2606"/>
      <c r="K17" s="2606"/>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599"/>
      <c r="C20" s="2599"/>
      <c r="D20" s="2599"/>
      <c r="E20" s="2599"/>
      <c r="F20" s="2599"/>
      <c r="G20" s="2599"/>
      <c r="H20" s="2599"/>
      <c r="I20" s="2599"/>
      <c r="J20" s="2599"/>
      <c r="K20" s="2599"/>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1753</v>
      </c>
      <c r="C22" s="1458"/>
      <c r="D22" s="322"/>
      <c r="E22" s="322"/>
      <c r="F22" s="322"/>
      <c r="G22" s="1377"/>
      <c r="H22" s="322"/>
      <c r="I22" s="1377"/>
      <c r="J22" s="322"/>
      <c r="K22" s="322"/>
      <c r="L22" s="322"/>
    </row>
    <row r="23" spans="2:12" ht="37.5" customHeight="1" x14ac:dyDescent="0.2">
      <c r="B23" s="2599"/>
      <c r="C23" s="2599"/>
      <c r="D23" s="2599"/>
      <c r="E23" s="2599"/>
      <c r="F23" s="2599"/>
      <c r="G23" s="2599"/>
      <c r="H23" s="2599"/>
      <c r="I23" s="2599"/>
      <c r="J23" s="2599"/>
      <c r="K23" s="2599"/>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1754</v>
      </c>
      <c r="C25" s="1458"/>
      <c r="D25" s="322"/>
      <c r="E25" s="322"/>
      <c r="F25" s="322"/>
      <c r="G25" s="1377"/>
      <c r="H25" s="322"/>
      <c r="I25" s="1377"/>
      <c r="J25" s="322"/>
      <c r="K25" s="322"/>
      <c r="L25" s="322"/>
    </row>
    <row r="26" spans="2:12" ht="37.5" customHeight="1" x14ac:dyDescent="0.2">
      <c r="B26" s="2599"/>
      <c r="C26" s="2599"/>
      <c r="D26" s="2599"/>
      <c r="E26" s="2599"/>
      <c r="F26" s="2599"/>
      <c r="G26" s="2599"/>
      <c r="H26" s="2599"/>
      <c r="I26" s="2599"/>
      <c r="J26" s="2599"/>
      <c r="K26" s="2599"/>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1755</v>
      </c>
      <c r="C28" s="1458"/>
      <c r="D28" s="322"/>
      <c r="E28" s="322"/>
      <c r="F28" s="322"/>
      <c r="G28" s="1377"/>
      <c r="H28" s="322"/>
      <c r="I28" s="1377"/>
      <c r="J28" s="322"/>
      <c r="K28" s="322"/>
      <c r="L28" s="322"/>
    </row>
    <row r="29" spans="2:12" ht="37.5" customHeight="1" x14ac:dyDescent="0.2">
      <c r="B29" s="2599"/>
      <c r="C29" s="2599"/>
      <c r="D29" s="2599"/>
      <c r="E29" s="2599"/>
      <c r="F29" s="2599"/>
      <c r="G29" s="2599"/>
      <c r="H29" s="2599"/>
      <c r="I29" s="2599"/>
      <c r="J29" s="2599"/>
      <c r="K29" s="2599"/>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599"/>
      <c r="C32" s="2599"/>
      <c r="D32" s="2599"/>
      <c r="E32" s="2599"/>
      <c r="F32" s="2599"/>
      <c r="G32" s="2599"/>
      <c r="H32" s="2599"/>
      <c r="I32" s="2599"/>
      <c r="J32" s="2599"/>
      <c r="K32" s="2599"/>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599"/>
      <c r="C35" s="2599"/>
      <c r="D35" s="2599"/>
      <c r="E35" s="2599"/>
      <c r="F35" s="2599"/>
      <c r="G35" s="2599"/>
      <c r="H35" s="2599"/>
      <c r="I35" s="2599"/>
      <c r="J35" s="2599"/>
      <c r="K35" s="2599"/>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599"/>
      <c r="C38" s="2599"/>
      <c r="D38" s="2599"/>
      <c r="E38" s="2599"/>
      <c r="F38" s="2599"/>
      <c r="G38" s="2599"/>
      <c r="H38" s="2599"/>
      <c r="I38" s="2599"/>
      <c r="J38" s="2599"/>
      <c r="K38" s="2599"/>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1756</v>
      </c>
      <c r="C40" s="1397"/>
      <c r="D40" s="1372"/>
      <c r="E40" s="1373"/>
      <c r="F40" s="1373"/>
      <c r="G40" s="1374"/>
      <c r="H40" s="1373"/>
      <c r="I40" s="1374"/>
      <c r="J40" s="1373"/>
      <c r="K40" s="1373"/>
    </row>
    <row r="41" spans="2:12" s="322" customFormat="1" ht="33.75" customHeight="1" x14ac:dyDescent="0.2">
      <c r="B41" s="2599"/>
      <c r="C41" s="2599"/>
      <c r="D41" s="2599"/>
      <c r="E41" s="2599"/>
      <c r="F41" s="2599"/>
      <c r="G41" s="2599"/>
      <c r="H41" s="2599"/>
      <c r="I41" s="2599"/>
      <c r="J41" s="2599"/>
      <c r="K41" s="2599"/>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1757</v>
      </c>
      <c r="C44" s="1400"/>
      <c r="D44" s="322"/>
      <c r="E44" s="322"/>
      <c r="F44" s="322"/>
    </row>
    <row r="45" spans="2:12" ht="10.5" customHeight="1" x14ac:dyDescent="0.2">
      <c r="B45" s="1401" t="s">
        <v>1758</v>
      </c>
      <c r="C45" s="1401"/>
      <c r="G45" s="317"/>
      <c r="I45" s="317"/>
    </row>
    <row r="46" spans="2:12" ht="11.1" customHeight="1" x14ac:dyDescent="0.2">
      <c r="B46" s="1401" t="s">
        <v>1759</v>
      </c>
      <c r="C46" s="1401"/>
      <c r="G46" s="317"/>
      <c r="I46" s="317"/>
    </row>
    <row r="47" spans="2:12" ht="11.1" customHeight="1" x14ac:dyDescent="0.2">
      <c r="B47" s="1401" t="s">
        <v>1760</v>
      </c>
      <c r="C47" s="1401"/>
      <c r="G47" s="317"/>
      <c r="I47" s="317"/>
    </row>
    <row r="48" spans="2:12" ht="11.1" customHeight="1" x14ac:dyDescent="0.2">
      <c r="B48" s="1401" t="s">
        <v>1761</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584" t="str">
        <f>'Single Audit Coverzzz'!A7</f>
        <v>Eureka CUD 140</v>
      </c>
      <c r="C1" s="2584"/>
      <c r="D1" s="2584"/>
      <c r="E1" s="1466"/>
    </row>
    <row r="2" spans="2:5" s="1276" customFormat="1" ht="12.75" customHeight="1" x14ac:dyDescent="0.2">
      <c r="B2" s="2586">
        <f>'Single Audit Coverzzz'!E7</f>
        <v>53102140026</v>
      </c>
      <c r="C2" s="2586"/>
      <c r="D2" s="2586"/>
      <c r="E2" s="1467"/>
    </row>
    <row r="3" spans="2:5" ht="12.75" customHeight="1" x14ac:dyDescent="0.2">
      <c r="B3" s="2600" t="s">
        <v>1762</v>
      </c>
      <c r="C3" s="2600"/>
      <c r="D3" s="2600"/>
      <c r="E3" s="1268"/>
    </row>
    <row r="4" spans="2:5" s="1276" customFormat="1" ht="12.75" customHeight="1" x14ac:dyDescent="0.2">
      <c r="B4" s="2610" t="str">
        <f>'Single Audit Coverzzz'!A4</f>
        <v>Year Ending June 30, 2019</v>
      </c>
      <c r="C4" s="2610"/>
      <c r="D4" s="2610"/>
      <c r="E4" s="1468"/>
    </row>
    <row r="5" spans="2:5" s="1276" customFormat="1" ht="40.15" customHeight="1" x14ac:dyDescent="0.2">
      <c r="B5" s="1469" t="s">
        <v>1763</v>
      </c>
      <c r="C5" s="328"/>
      <c r="D5" s="328"/>
      <c r="E5" s="328"/>
    </row>
    <row r="6" spans="2:5" s="1276" customFormat="1" ht="13.5" customHeight="1" x14ac:dyDescent="0.2">
      <c r="B6" s="1470" t="s">
        <v>1315</v>
      </c>
      <c r="C6" s="1470" t="s">
        <v>1314</v>
      </c>
      <c r="D6" s="1470" t="s">
        <v>1764</v>
      </c>
    </row>
    <row r="7" spans="2:5" ht="13.5" customHeight="1" x14ac:dyDescent="0.2">
      <c r="B7" s="1471" t="s">
        <v>2090</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1765</v>
      </c>
    </row>
    <row r="46" spans="2:5" ht="12.2" customHeight="1" x14ac:dyDescent="0.2">
      <c r="B46" s="1480" t="s">
        <v>1766</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7"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03" t="s">
        <v>386</v>
      </c>
      <c r="B1" s="2203"/>
      <c r="C1" s="2203"/>
      <c r="D1" s="2203"/>
      <c r="E1" s="2203"/>
      <c r="F1" s="2203"/>
      <c r="G1" s="2203"/>
      <c r="H1" s="2203"/>
      <c r="I1" s="2203"/>
      <c r="J1" s="2203"/>
      <c r="K1" s="2203"/>
      <c r="L1" s="2203"/>
      <c r="M1" s="220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223334672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3.1E-2</v>
      </c>
      <c r="E10" s="356" t="s">
        <v>1005</v>
      </c>
      <c r="F10" s="355">
        <v>5.2500000000000003E-3</v>
      </c>
      <c r="G10" s="356" t="s">
        <v>1005</v>
      </c>
      <c r="H10" s="355">
        <v>2E-3</v>
      </c>
      <c r="I10" s="356" t="s">
        <v>1006</v>
      </c>
      <c r="J10" s="1729">
        <f>ROUND(D10+F10+H10,5)</f>
        <v>3.8249999999999999E-2</v>
      </c>
      <c r="K10" s="222"/>
      <c r="L10" s="355">
        <v>5.0000000000000001E-4</v>
      </c>
      <c r="M10" s="222"/>
    </row>
    <row r="11" spans="1:14" ht="7.5" customHeight="1" x14ac:dyDescent="0.2">
      <c r="B11" s="222"/>
      <c r="C11" s="222"/>
      <c r="D11" s="2213" t="str">
        <f>IF(SUM(J10)&lt;=0.0999999,"","Enter the Tax Rates by moving the decimal two places to the left.")</f>
        <v/>
      </c>
      <c r="E11" s="2214"/>
      <c r="F11" s="2214"/>
      <c r="G11" s="2214"/>
      <c r="H11" s="2214"/>
      <c r="I11" s="2214"/>
      <c r="J11" s="22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14940005</v>
      </c>
      <c r="E16" s="356"/>
      <c r="F16" s="1730">
        <f>SUM('Acct Summary 7-8'!C17,'Acct Summary 7-8'!D17,'Acct Summary 7-8'!F17)</f>
        <v>14186156</v>
      </c>
      <c r="G16" s="356"/>
      <c r="H16" s="1730">
        <f>SUM(D16-F16)</f>
        <v>753849</v>
      </c>
      <c r="I16" s="222"/>
      <c r="J16" s="1730">
        <f>SUM('Acct Summary 7-8'!C81,'Acct Summary 7-8'!D81,'Acct Summary 7-8'!F81,'Acct Summary 7-8'!I81)</f>
        <v>9348451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1649</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30820184.736000001</v>
      </c>
      <c r="I31" s="368"/>
      <c r="J31" s="222"/>
      <c r="K31" s="222"/>
      <c r="L31" s="222"/>
      <c r="M31" s="222"/>
    </row>
    <row r="32" spans="1:13" ht="13.35" customHeight="1" x14ac:dyDescent="0.2">
      <c r="B32" s="369" t="s">
        <v>2066</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1885152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204"/>
      <c r="C54" s="2205"/>
      <c r="D54" s="2205"/>
      <c r="E54" s="2205"/>
      <c r="F54" s="2205"/>
      <c r="G54" s="2205"/>
      <c r="H54" s="2205"/>
      <c r="I54" s="2205"/>
      <c r="J54" s="2205"/>
      <c r="K54" s="2205"/>
      <c r="L54" s="2206"/>
      <c r="M54" s="380"/>
    </row>
    <row r="55" spans="1:13" ht="12.75" customHeight="1" x14ac:dyDescent="0.2">
      <c r="B55" s="2207"/>
      <c r="C55" s="2208"/>
      <c r="D55" s="2208"/>
      <c r="E55" s="2208"/>
      <c r="F55" s="2208"/>
      <c r="G55" s="2208"/>
      <c r="H55" s="2208"/>
      <c r="I55" s="2208"/>
      <c r="J55" s="2208"/>
      <c r="K55" s="2208"/>
      <c r="L55" s="2209"/>
      <c r="M55" s="380"/>
    </row>
    <row r="56" spans="1:13" ht="12.75" customHeight="1" x14ac:dyDescent="0.2">
      <c r="B56" s="2207"/>
      <c r="C56" s="2208"/>
      <c r="D56" s="2208"/>
      <c r="E56" s="2208"/>
      <c r="F56" s="2208"/>
      <c r="G56" s="2208"/>
      <c r="H56" s="2208"/>
      <c r="I56" s="2208"/>
      <c r="J56" s="2208"/>
      <c r="K56" s="2208"/>
      <c r="L56" s="2209"/>
      <c r="M56" s="222"/>
    </row>
    <row r="57" spans="1:13" ht="12.75" customHeight="1" x14ac:dyDescent="0.2">
      <c r="B57" s="2207"/>
      <c r="C57" s="2208"/>
      <c r="D57" s="2208"/>
      <c r="E57" s="2208"/>
      <c r="F57" s="2208"/>
      <c r="G57" s="2208"/>
      <c r="H57" s="2208"/>
      <c r="I57" s="2208"/>
      <c r="J57" s="2208"/>
      <c r="K57" s="2208"/>
      <c r="L57" s="2209"/>
      <c r="M57" s="222"/>
    </row>
    <row r="58" spans="1:13" x14ac:dyDescent="0.2">
      <c r="B58" s="2210"/>
      <c r="C58" s="2211"/>
      <c r="D58" s="2211"/>
      <c r="E58" s="2211"/>
      <c r="F58" s="2211"/>
      <c r="G58" s="2211"/>
      <c r="H58" s="2211"/>
      <c r="I58" s="2211"/>
      <c r="J58" s="2211"/>
      <c r="K58" s="2211"/>
      <c r="L58" s="22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15"/>
      <c r="D61" s="22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18"/>
      <c r="B1" s="2219"/>
      <c r="C1" s="2219"/>
      <c r="D1" s="384"/>
      <c r="E1" s="384"/>
      <c r="F1" s="384"/>
      <c r="G1" s="384"/>
      <c r="H1" s="384"/>
      <c r="I1" s="384"/>
      <c r="J1" s="384"/>
      <c r="K1" s="384"/>
      <c r="L1" s="384"/>
      <c r="M1" s="384"/>
      <c r="N1" s="384"/>
      <c r="O1" s="2218"/>
      <c r="P1" s="2219"/>
      <c r="Q1" s="2219"/>
    </row>
    <row r="2" spans="1:18" ht="15" x14ac:dyDescent="0.2">
      <c r="A2" s="2222" t="s">
        <v>556</v>
      </c>
      <c r="B2" s="2222"/>
      <c r="C2" s="2222"/>
      <c r="D2" s="2222"/>
      <c r="E2" s="2222"/>
      <c r="F2" s="2222"/>
      <c r="G2" s="2222"/>
      <c r="H2" s="2222"/>
      <c r="I2" s="2222"/>
      <c r="J2" s="2222"/>
      <c r="K2" s="2222"/>
      <c r="L2" s="2222"/>
      <c r="M2" s="2222"/>
      <c r="N2" s="2222"/>
      <c r="O2" s="2222"/>
      <c r="P2" s="2222"/>
      <c r="Q2" s="2222"/>
      <c r="R2" s="2222"/>
    </row>
    <row r="3" spans="1:18" ht="12.75" x14ac:dyDescent="0.2">
      <c r="A3" s="2223" t="s">
        <v>1413</v>
      </c>
      <c r="B3" s="2223"/>
      <c r="C3" s="2223"/>
      <c r="D3" s="2223"/>
      <c r="E3" s="2223"/>
      <c r="F3" s="2223"/>
      <c r="G3" s="2223"/>
      <c r="H3" s="2223"/>
      <c r="I3" s="2223"/>
      <c r="J3" s="2223"/>
      <c r="K3" s="2223"/>
      <c r="L3" s="2223"/>
      <c r="M3" s="2223"/>
      <c r="N3" s="2223"/>
      <c r="O3" s="2223"/>
      <c r="P3" s="2223"/>
      <c r="Q3" s="2223"/>
      <c r="R3" s="2223"/>
    </row>
    <row r="4" spans="1:18" x14ac:dyDescent="0.2">
      <c r="A4" s="2224" t="s">
        <v>1553</v>
      </c>
      <c r="B4" s="2224"/>
      <c r="C4" s="2224"/>
      <c r="D4" s="2224"/>
      <c r="E4" s="2224"/>
      <c r="F4" s="2224"/>
      <c r="G4" s="2224"/>
      <c r="H4" s="2224"/>
      <c r="I4" s="2224"/>
      <c r="J4" s="2224"/>
      <c r="K4" s="2224"/>
      <c r="L4" s="2224"/>
      <c r="M4" s="2224"/>
      <c r="N4" s="2224"/>
      <c r="O4" s="2224"/>
      <c r="P4" s="2224"/>
      <c r="Q4" s="2224"/>
      <c r="R4" s="22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Eureka CUD 140</v>
      </c>
      <c r="E7" s="391"/>
      <c r="G7" s="252"/>
      <c r="H7" s="387"/>
      <c r="I7" s="387"/>
      <c r="J7" s="387"/>
      <c r="K7" s="387"/>
      <c r="L7" s="329"/>
      <c r="M7" s="329"/>
      <c r="N7" s="329"/>
      <c r="O7" s="329"/>
      <c r="P7" s="329"/>
    </row>
    <row r="8" spans="1:18" ht="12.75" x14ac:dyDescent="0.2">
      <c r="A8" s="329"/>
      <c r="B8" s="329"/>
      <c r="C8" s="389" t="s">
        <v>1125</v>
      </c>
      <c r="D8" s="392">
        <f>COVER!A13</f>
        <v>53102140026</v>
      </c>
      <c r="E8" s="393"/>
      <c r="G8" s="329"/>
      <c r="H8" s="329"/>
      <c r="I8" s="329"/>
      <c r="J8" s="329"/>
      <c r="K8" s="329"/>
      <c r="L8" s="329"/>
      <c r="M8" s="329"/>
      <c r="N8" s="329"/>
      <c r="O8" s="329"/>
      <c r="P8" s="329"/>
    </row>
    <row r="9" spans="1:18" ht="12.75" x14ac:dyDescent="0.2">
      <c r="A9" s="329"/>
      <c r="B9" s="329"/>
      <c r="C9" s="389" t="s">
        <v>713</v>
      </c>
      <c r="D9" s="394" t="str">
        <f>COVER!A15</f>
        <v>Woodford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9348451</v>
      </c>
      <c r="I12" s="404"/>
      <c r="J12" s="404"/>
      <c r="K12" s="405">
        <f>TRUNC((H12/H13*100000),5)/100000</f>
        <v>0.62979666249999999</v>
      </c>
      <c r="L12" s="406"/>
      <c r="M12" s="360" t="s">
        <v>1144</v>
      </c>
      <c r="N12" s="360"/>
      <c r="O12" s="407">
        <v>0.35</v>
      </c>
      <c r="P12" s="218"/>
      <c r="Q12" s="218"/>
    </row>
    <row r="13" spans="1:18" s="408" customFormat="1" ht="12.75" x14ac:dyDescent="0.2">
      <c r="A13" s="218"/>
      <c r="B13" s="401"/>
      <c r="C13" s="2220" t="s">
        <v>1324</v>
      </c>
      <c r="D13" s="2221"/>
      <c r="E13" s="218"/>
      <c r="F13" s="409" t="s">
        <v>793</v>
      </c>
      <c r="G13" s="402"/>
      <c r="H13" s="403">
        <f>SUM('Acct Summary 7-8'!C8+'Acct Summary 7-8'!D8+'Acct Summary 7-8'!F8+'Acct Summary 7-8'!I8)+H14</f>
        <v>14843602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-96403</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14186156</v>
      </c>
      <c r="I17" s="404"/>
      <c r="J17" s="416"/>
      <c r="K17" s="405">
        <f>TRUNC((H17/H18*100000),5)/100000</f>
        <v>0.95570845940000004</v>
      </c>
      <c r="L17" s="406"/>
      <c r="M17" s="417" t="s">
        <v>1171</v>
      </c>
      <c r="O17" s="418" t="str">
        <f>IF(AND(O16="2", J20 &gt; 2),"1",IF(AND(O16 = "1", J20 &gt; 2),"2",IF(AND(O16="1", J20 &gt;1),"1","0")))</f>
        <v>0</v>
      </c>
      <c r="P17" s="218"/>
    </row>
    <row r="18" spans="1:18" s="408" customFormat="1" ht="11.25" x14ac:dyDescent="0.2">
      <c r="A18" s="218"/>
      <c r="B18" s="401"/>
      <c r="C18" s="2220" t="s">
        <v>1317</v>
      </c>
      <c r="D18" s="2221"/>
      <c r="E18" s="218"/>
      <c r="F18" s="419" t="s">
        <v>794</v>
      </c>
      <c r="G18" s="402"/>
      <c r="H18" s="403">
        <f>SUM('Acct Summary 7-8'!C8+'Acct Summary 7-8'!D8+'Acct Summary 7-8'!F8+'Acct Summary 7-8'!I8)+H19</f>
        <v>14843602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-96403</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217" t="s">
        <v>1412</v>
      </c>
      <c r="D24" s="2217"/>
      <c r="E24" s="218"/>
      <c r="F24" s="218" t="s">
        <v>445</v>
      </c>
      <c r="G24" s="402"/>
      <c r="H24" s="403">
        <f>SUM('Assets-Liab 5-6'!C4+'Assets-Liab 5-6'!D4+'Assets-Liab 5-6'!F4+'Assets-Liab 5-6'!I4+'Assets-Liab 5-6'!C5+'Assets-Liab 5-6'!D5+'Assets-Liab 5-6'!F5+'Assets-Liab 5-6'!I5)</f>
        <v>9348451</v>
      </c>
      <c r="I24" s="422"/>
      <c r="J24" s="422"/>
      <c r="K24" s="423">
        <f>TRUNC(((H24/H25*100000)/100000),2)</f>
        <v>237.23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39405.988890000001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7261168.5234000003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1885152</v>
      </c>
      <c r="I32" s="420"/>
      <c r="J32" s="420"/>
      <c r="K32" s="423">
        <f>TRUNC(100-((((H32/H33*100))*100)/100),2)</f>
        <v>93.88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30820184.736000001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F17" sqref="F17"/>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22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22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227" t="s">
        <v>973</v>
      </c>
      <c r="B3" s="2228"/>
      <c r="C3" s="1556"/>
      <c r="D3" s="1557"/>
      <c r="E3" s="1557"/>
      <c r="F3" s="1557"/>
      <c r="G3" s="1557"/>
      <c r="H3" s="1557"/>
      <c r="I3" s="1557"/>
      <c r="J3" s="1557"/>
      <c r="K3" s="1557"/>
      <c r="L3" s="1557"/>
      <c r="M3" s="1558"/>
      <c r="N3" s="1559"/>
    </row>
    <row r="4" spans="1:14" ht="13.5" customHeight="1" x14ac:dyDescent="0.2">
      <c r="A4" s="463" t="s">
        <v>1650</v>
      </c>
      <c r="B4" s="464"/>
      <c r="C4" s="465">
        <v>1915842</v>
      </c>
      <c r="D4" s="465">
        <v>3227671</v>
      </c>
      <c r="E4" s="465">
        <v>55752</v>
      </c>
      <c r="F4" s="465">
        <v>1333401</v>
      </c>
      <c r="G4" s="465">
        <v>514118</v>
      </c>
      <c r="H4" s="465">
        <v>311897</v>
      </c>
      <c r="I4" s="465">
        <v>2208837</v>
      </c>
      <c r="J4" s="465">
        <v>531672</v>
      </c>
      <c r="K4" s="465">
        <v>287718</v>
      </c>
      <c r="L4" s="465">
        <v>1119716</v>
      </c>
      <c r="M4" s="468"/>
      <c r="N4" s="469"/>
    </row>
    <row r="5" spans="1:14" x14ac:dyDescent="0.2">
      <c r="A5" s="463" t="s">
        <v>992</v>
      </c>
      <c r="B5" s="470">
        <v>120</v>
      </c>
      <c r="C5" s="465">
        <v>0</v>
      </c>
      <c r="D5" s="465">
        <v>0</v>
      </c>
      <c r="E5" s="465">
        <v>0</v>
      </c>
      <c r="F5" s="465">
        <v>0</v>
      </c>
      <c r="G5" s="465">
        <v>0</v>
      </c>
      <c r="H5" s="465">
        <v>0</v>
      </c>
      <c r="I5" s="465">
        <v>662700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1915842</v>
      </c>
      <c r="D13" s="1734">
        <f t="shared" ref="D13:L13" si="0">SUM(D4:D12)</f>
        <v>3227671</v>
      </c>
      <c r="E13" s="1734">
        <f t="shared" si="0"/>
        <v>55752</v>
      </c>
      <c r="F13" s="1734">
        <f t="shared" si="0"/>
        <v>1333401</v>
      </c>
      <c r="G13" s="1734">
        <f t="shared" si="0"/>
        <v>514118</v>
      </c>
      <c r="H13" s="1734">
        <f t="shared" si="0"/>
        <v>311897</v>
      </c>
      <c r="I13" s="1734">
        <f t="shared" si="0"/>
        <v>2871537</v>
      </c>
      <c r="J13" s="1734">
        <f t="shared" si="0"/>
        <v>531672</v>
      </c>
      <c r="K13" s="1734">
        <f t="shared" si="0"/>
        <v>287718</v>
      </c>
      <c r="L13" s="1734">
        <f t="shared" si="0"/>
        <v>1119716</v>
      </c>
      <c r="M13" s="468"/>
      <c r="N13" s="469"/>
    </row>
    <row r="14" spans="1:14" ht="18" customHeight="1" thickTop="1" x14ac:dyDescent="0.2">
      <c r="A14" s="2229" t="s">
        <v>147</v>
      </c>
      <c r="B14" s="2230"/>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486404</v>
      </c>
      <c r="N16" s="482"/>
    </row>
    <row r="17" spans="1:14" s="483" customFormat="1" ht="12.75" customHeight="1" x14ac:dyDescent="0.2">
      <c r="A17" s="480" t="s">
        <v>1403</v>
      </c>
      <c r="B17" s="481">
        <v>230</v>
      </c>
      <c r="C17" s="475"/>
      <c r="D17" s="475"/>
      <c r="E17" s="475"/>
      <c r="F17" s="475"/>
      <c r="G17" s="475"/>
      <c r="H17" s="475"/>
      <c r="I17" s="475"/>
      <c r="J17" s="475"/>
      <c r="K17" s="475"/>
      <c r="L17" s="475"/>
      <c r="M17" s="465">
        <v>18502530</v>
      </c>
      <c r="N17" s="482"/>
    </row>
    <row r="18" spans="1:14" s="483" customFormat="1" ht="12.75" customHeight="1" x14ac:dyDescent="0.2">
      <c r="A18" s="480" t="s">
        <v>1404</v>
      </c>
      <c r="B18" s="481">
        <v>240</v>
      </c>
      <c r="C18" s="475"/>
      <c r="D18" s="475"/>
      <c r="E18" s="475"/>
      <c r="F18" s="475"/>
      <c r="G18" s="475"/>
      <c r="H18" s="475"/>
      <c r="I18" s="475"/>
      <c r="J18" s="475"/>
      <c r="K18" s="475"/>
      <c r="L18" s="475"/>
      <c r="M18" s="465">
        <v>4316069</v>
      </c>
      <c r="N18" s="482"/>
    </row>
    <row r="19" spans="1:14" s="483" customFormat="1" ht="12.75" customHeight="1" x14ac:dyDescent="0.2">
      <c r="A19" s="480" t="s">
        <v>1405</v>
      </c>
      <c r="B19" s="481">
        <v>250</v>
      </c>
      <c r="C19" s="475"/>
      <c r="D19" s="475"/>
      <c r="E19" s="475"/>
      <c r="F19" s="475"/>
      <c r="G19" s="475"/>
      <c r="H19" s="475"/>
      <c r="I19" s="475"/>
      <c r="J19" s="475"/>
      <c r="K19" s="475"/>
      <c r="L19" s="475"/>
      <c r="M19" s="465">
        <v>4376800</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55752</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1829400</v>
      </c>
    </row>
    <row r="23" spans="1:14" ht="13.5" customHeight="1" thickBot="1" x14ac:dyDescent="0.25">
      <c r="A23" s="1733" t="s">
        <v>643</v>
      </c>
      <c r="B23" s="1738"/>
      <c r="C23" s="468"/>
      <c r="D23" s="468"/>
      <c r="E23" s="468"/>
      <c r="F23" s="468"/>
      <c r="G23" s="468"/>
      <c r="H23" s="468"/>
      <c r="I23" s="468"/>
      <c r="J23" s="468"/>
      <c r="K23" s="468"/>
      <c r="L23" s="468"/>
      <c r="M23" s="1685">
        <f>SUM(M15:M22)</f>
        <v>27681803</v>
      </c>
      <c r="N23" s="1685">
        <f>SUM(N21:N22)</f>
        <v>1885152</v>
      </c>
    </row>
    <row r="24" spans="1:14" ht="18" customHeight="1" thickTop="1" x14ac:dyDescent="0.2">
      <c r="A24" s="2231" t="s">
        <v>598</v>
      </c>
      <c r="B24" s="2232"/>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262495</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262495</v>
      </c>
      <c r="M34" s="468"/>
      <c r="N34" s="478"/>
    </row>
    <row r="35" spans="1:14" ht="18" customHeight="1" thickTop="1" x14ac:dyDescent="0.2">
      <c r="A35" s="2233" t="s">
        <v>529</v>
      </c>
      <c r="B35" s="2234"/>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1885152</v>
      </c>
    </row>
    <row r="37" spans="1:14" ht="13.5" thickBot="1" x14ac:dyDescent="0.25">
      <c r="A37" s="1733" t="s">
        <v>653</v>
      </c>
      <c r="B37" s="1738"/>
      <c r="C37" s="475"/>
      <c r="D37" s="475"/>
      <c r="E37" s="475"/>
      <c r="F37" s="475"/>
      <c r="G37" s="475"/>
      <c r="H37" s="475"/>
      <c r="I37" s="475"/>
      <c r="J37" s="475"/>
      <c r="K37" s="475"/>
      <c r="L37" s="478"/>
      <c r="M37" s="468"/>
      <c r="N37" s="1685">
        <f>SUM(N36:N36)</f>
        <v>1885152</v>
      </c>
    </row>
    <row r="38" spans="1:14" s="329" customFormat="1" ht="13.5" customHeight="1" thickTop="1" x14ac:dyDescent="0.2">
      <c r="A38" s="493" t="s">
        <v>420</v>
      </c>
      <c r="B38" s="481">
        <v>714</v>
      </c>
      <c r="C38" s="465">
        <v>0</v>
      </c>
      <c r="D38" s="465">
        <v>0</v>
      </c>
      <c r="E38" s="465">
        <v>0</v>
      </c>
      <c r="F38" s="465">
        <v>0</v>
      </c>
      <c r="G38" s="465">
        <v>267017</v>
      </c>
      <c r="H38" s="465">
        <v>311897</v>
      </c>
      <c r="I38" s="465">
        <v>0</v>
      </c>
      <c r="J38" s="465">
        <v>0</v>
      </c>
      <c r="K38" s="465">
        <v>0</v>
      </c>
      <c r="L38" s="465">
        <v>857221</v>
      </c>
      <c r="M38" s="494"/>
      <c r="N38" s="494"/>
    </row>
    <row r="39" spans="1:14" s="329" customFormat="1" ht="13.5" customHeight="1" x14ac:dyDescent="0.2">
      <c r="A39" s="493" t="s">
        <v>342</v>
      </c>
      <c r="B39" s="481">
        <v>730</v>
      </c>
      <c r="C39" s="465">
        <v>1915842</v>
      </c>
      <c r="D39" s="465">
        <v>3227671</v>
      </c>
      <c r="E39" s="465">
        <v>55752</v>
      </c>
      <c r="F39" s="465">
        <v>1333401</v>
      </c>
      <c r="G39" s="465">
        <v>247101</v>
      </c>
      <c r="H39" s="465">
        <v>0</v>
      </c>
      <c r="I39" s="465">
        <v>2871537</v>
      </c>
      <c r="J39" s="465">
        <v>531672</v>
      </c>
      <c r="K39" s="465">
        <v>287718</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27681803</v>
      </c>
      <c r="N40" s="494"/>
    </row>
    <row r="41" spans="1:14" ht="13.5" customHeight="1" thickBot="1" x14ac:dyDescent="0.25">
      <c r="A41" s="1733" t="s">
        <v>655</v>
      </c>
      <c r="B41" s="1703"/>
      <c r="C41" s="1685">
        <f>(SUM(C34,C37,C38,C39))</f>
        <v>1915842</v>
      </c>
      <c r="D41" s="1685">
        <f t="shared" ref="D41:L41" si="2">SUM(D34,D37,D38:D39)</f>
        <v>3227671</v>
      </c>
      <c r="E41" s="1685">
        <f t="shared" si="2"/>
        <v>55752</v>
      </c>
      <c r="F41" s="1685">
        <f t="shared" si="2"/>
        <v>1333401</v>
      </c>
      <c r="G41" s="1685">
        <f t="shared" si="2"/>
        <v>514118</v>
      </c>
      <c r="H41" s="1685">
        <f t="shared" si="2"/>
        <v>311897</v>
      </c>
      <c r="I41" s="1685">
        <f t="shared" si="2"/>
        <v>2871537</v>
      </c>
      <c r="J41" s="1685">
        <f t="shared" si="2"/>
        <v>531672</v>
      </c>
      <c r="K41" s="1685">
        <f t="shared" si="2"/>
        <v>287718</v>
      </c>
      <c r="L41" s="1685">
        <f t="shared" si="2"/>
        <v>1119716</v>
      </c>
      <c r="M41" s="1685">
        <f>SUM(M40)</f>
        <v>27681803</v>
      </c>
      <c r="N41" s="1685">
        <f>SUM(N37)</f>
        <v>1885152</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activeCell="F17" sqref="F17"/>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243" t="s">
        <v>1651</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244"/>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255" t="s">
        <v>1175</v>
      </c>
      <c r="B3" s="2256"/>
      <c r="C3" s="1570"/>
      <c r="D3" s="1571"/>
      <c r="E3" s="1571"/>
      <c r="F3" s="1571"/>
      <c r="G3" s="1571"/>
      <c r="H3" s="1571"/>
      <c r="I3" s="1571"/>
      <c r="J3" s="1571"/>
      <c r="K3" s="1572"/>
      <c r="L3" s="503"/>
    </row>
    <row r="4" spans="1:13" ht="15.75" customHeight="1" x14ac:dyDescent="0.2">
      <c r="A4" s="1923" t="s">
        <v>1499</v>
      </c>
      <c r="B4" s="1924">
        <v>1000</v>
      </c>
      <c r="C4" s="1739">
        <f>'Revenues 9-14'!C109</f>
        <v>8114657</v>
      </c>
      <c r="D4" s="1739">
        <f>'Revenues 9-14'!D109</f>
        <v>1215416</v>
      </c>
      <c r="E4" s="1739">
        <f>'Revenues 9-14'!E109</f>
        <v>902934</v>
      </c>
      <c r="F4" s="1739">
        <f>'Revenues 9-14'!F109</f>
        <v>457138</v>
      </c>
      <c r="G4" s="1739">
        <f>'Revenues 9-14'!G109</f>
        <v>557126</v>
      </c>
      <c r="H4" s="1739">
        <f>'Revenues 9-14'!H109</f>
        <v>321062</v>
      </c>
      <c r="I4" s="1739">
        <f>'Revenues 9-14'!I109</f>
        <v>201707</v>
      </c>
      <c r="J4" s="1739">
        <f>'Revenues 9-14'!J109</f>
        <v>617675</v>
      </c>
      <c r="K4" s="1739">
        <f>'Revenues 9-14'!K109</f>
        <v>113576</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3852504</v>
      </c>
      <c r="D6" s="1740">
        <f>'Revenues 9-14'!D170</f>
        <v>0</v>
      </c>
      <c r="E6" s="1740">
        <f>'Revenues 9-14'!E170</f>
        <v>0</v>
      </c>
      <c r="F6" s="1740">
        <f>'Revenues 9-14'!F170</f>
        <v>308913</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788558</v>
      </c>
      <c r="D7" s="1740">
        <f>'Revenues 9-14'!D267</f>
        <v>1112</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12755719</v>
      </c>
      <c r="D8" s="1685">
        <f t="shared" ref="D8:K8" si="0">SUM(D4:D7)</f>
        <v>1216528</v>
      </c>
      <c r="E8" s="1685">
        <f t="shared" si="0"/>
        <v>902934</v>
      </c>
      <c r="F8" s="1685">
        <f t="shared" si="0"/>
        <v>766051</v>
      </c>
      <c r="G8" s="1685">
        <f t="shared" si="0"/>
        <v>557126</v>
      </c>
      <c r="H8" s="1685">
        <f t="shared" si="0"/>
        <v>321062</v>
      </c>
      <c r="I8" s="1685">
        <f t="shared" si="0"/>
        <v>201707</v>
      </c>
      <c r="J8" s="1685">
        <f t="shared" si="0"/>
        <v>617675</v>
      </c>
      <c r="K8" s="1685">
        <f t="shared" si="0"/>
        <v>113576</v>
      </c>
      <c r="L8" s="347"/>
    </row>
    <row r="9" spans="1:13" ht="15.75" thickTop="1" x14ac:dyDescent="0.2">
      <c r="A9" s="511" t="s">
        <v>1652</v>
      </c>
      <c r="B9" s="512">
        <v>3998</v>
      </c>
      <c r="C9" s="465">
        <v>5323983</v>
      </c>
      <c r="D9" s="513"/>
      <c r="E9" s="479"/>
      <c r="F9" s="479"/>
      <c r="G9" s="514"/>
      <c r="H9" s="479"/>
      <c r="I9" s="506" t="s">
        <v>1169</v>
      </c>
      <c r="J9" s="476"/>
      <c r="K9" s="479"/>
      <c r="L9" s="347"/>
    </row>
    <row r="10" spans="1:13" s="516" customFormat="1" ht="13.5" thickBot="1" x14ac:dyDescent="0.25">
      <c r="A10" s="1733" t="s">
        <v>1173</v>
      </c>
      <c r="B10" s="1706"/>
      <c r="C10" s="1685">
        <f>SUM(C8:C9)</f>
        <v>18079702</v>
      </c>
      <c r="D10" s="1685">
        <f t="shared" ref="D10:K10" si="1">SUM(D8:D9)</f>
        <v>1216528</v>
      </c>
      <c r="E10" s="1685">
        <f t="shared" si="1"/>
        <v>902934</v>
      </c>
      <c r="F10" s="1685">
        <f t="shared" si="1"/>
        <v>766051</v>
      </c>
      <c r="G10" s="1685">
        <f t="shared" si="1"/>
        <v>557126</v>
      </c>
      <c r="H10" s="1685">
        <f t="shared" si="1"/>
        <v>321062</v>
      </c>
      <c r="I10" s="1685">
        <f t="shared" si="1"/>
        <v>201707</v>
      </c>
      <c r="J10" s="1685">
        <f t="shared" si="1"/>
        <v>617675</v>
      </c>
      <c r="K10" s="1685">
        <f t="shared" si="1"/>
        <v>113576</v>
      </c>
      <c r="L10" s="515"/>
    </row>
    <row r="11" spans="1:13" s="516" customFormat="1" ht="16.7" customHeight="1" thickTop="1" x14ac:dyDescent="0.2">
      <c r="A11" s="2229" t="s">
        <v>1176</v>
      </c>
      <c r="B11" s="2230"/>
      <c r="C11" s="1567"/>
      <c r="D11" s="1568"/>
      <c r="E11" s="1568"/>
      <c r="F11" s="1568"/>
      <c r="G11" s="1568"/>
      <c r="H11" s="1568"/>
      <c r="I11" s="1568"/>
      <c r="J11" s="1568"/>
      <c r="K11" s="1569"/>
      <c r="L11" s="515"/>
    </row>
    <row r="12" spans="1:13" ht="15.75" customHeight="1" x14ac:dyDescent="0.2">
      <c r="A12" s="1573" t="s">
        <v>456</v>
      </c>
      <c r="B12" s="1575">
        <v>1000</v>
      </c>
      <c r="C12" s="1739">
        <f>'Expenditures 15-22'!K33</f>
        <v>8559621</v>
      </c>
      <c r="D12" s="517" t="s">
        <v>1169</v>
      </c>
      <c r="E12" s="468" t="s">
        <v>1169</v>
      </c>
      <c r="F12" s="468" t="s">
        <v>1169</v>
      </c>
      <c r="G12" s="1739">
        <f>'Expenditures 15-22'!K229</f>
        <v>171638</v>
      </c>
      <c r="H12" s="518"/>
      <c r="I12" s="468" t="s">
        <v>1169</v>
      </c>
      <c r="J12" s="468" t="s">
        <v>1169</v>
      </c>
      <c r="K12" s="518" t="s">
        <v>1169</v>
      </c>
      <c r="L12" s="347"/>
    </row>
    <row r="13" spans="1:13" ht="15.75" customHeight="1" x14ac:dyDescent="0.2">
      <c r="A13" s="1573" t="s">
        <v>457</v>
      </c>
      <c r="B13" s="1575">
        <v>2000</v>
      </c>
      <c r="C13" s="1740">
        <f>'Expenditures 15-22'!K74</f>
        <v>3333147</v>
      </c>
      <c r="D13" s="1740">
        <f>'Expenditures 15-22'!K129</f>
        <v>795469</v>
      </c>
      <c r="E13" s="469" t="s">
        <v>1169</v>
      </c>
      <c r="F13" s="1740">
        <f>'Expenditures 15-22'!K184</f>
        <v>636439</v>
      </c>
      <c r="G13" s="1740">
        <f>'Expenditures 15-22'!K279</f>
        <v>276876</v>
      </c>
      <c r="H13" s="1740">
        <f>'Expenditures 15-22'!K303</f>
        <v>9165</v>
      </c>
      <c r="I13" s="468" t="s">
        <v>1169</v>
      </c>
      <c r="J13" s="1740">
        <f>'Expenditures 15-22'!K330</f>
        <v>466534</v>
      </c>
      <c r="K13" s="1744">
        <f>'Expenditures 15-22'!K352</f>
        <v>113445</v>
      </c>
      <c r="L13" s="347"/>
    </row>
    <row r="14" spans="1:13" ht="15.75" customHeight="1" x14ac:dyDescent="0.2">
      <c r="A14" s="1573" t="s">
        <v>449</v>
      </c>
      <c r="B14" s="1575">
        <v>3000</v>
      </c>
      <c r="C14" s="1740">
        <f>'Expenditures 15-22'!K75</f>
        <v>564</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847860</v>
      </c>
      <c r="D15" s="1740">
        <f>'Expenditures 15-22'!K139</f>
        <v>13056</v>
      </c>
      <c r="E15" s="1740">
        <f>'Expenditures 15-22'!K160</f>
        <v>0</v>
      </c>
      <c r="F15" s="1740">
        <f>'Expenditures 15-22'!K196</f>
        <v>0</v>
      </c>
      <c r="G15" s="1740">
        <f>'Expenditures 15-22'!K285</f>
        <v>1065</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1182187</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12741192</v>
      </c>
      <c r="D17" s="1685">
        <f t="shared" si="2"/>
        <v>808525</v>
      </c>
      <c r="E17" s="1685">
        <f t="shared" si="2"/>
        <v>1182187</v>
      </c>
      <c r="F17" s="1685">
        <f t="shared" si="2"/>
        <v>636439</v>
      </c>
      <c r="G17" s="1685">
        <f t="shared" si="2"/>
        <v>449579</v>
      </c>
      <c r="H17" s="1685">
        <f t="shared" si="2"/>
        <v>9165</v>
      </c>
      <c r="I17" s="468"/>
      <c r="J17" s="1685">
        <f>SUM(J12:J16)</f>
        <v>466534</v>
      </c>
      <c r="K17" s="1685">
        <f>SUM(K12:K16)</f>
        <v>113445</v>
      </c>
      <c r="L17" s="347"/>
    </row>
    <row r="18" spans="1:12" ht="15" customHeight="1" thickTop="1" x14ac:dyDescent="0.2">
      <c r="A18" s="1741" t="s">
        <v>1653</v>
      </c>
      <c r="B18" s="1742">
        <v>4180</v>
      </c>
      <c r="C18" s="1739">
        <f t="shared" ref="C18:H18" si="3">C9</f>
        <v>5323983</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18065175</v>
      </c>
      <c r="D19" s="1685">
        <f t="shared" si="4"/>
        <v>808525</v>
      </c>
      <c r="E19" s="1685">
        <f t="shared" si="4"/>
        <v>1182187</v>
      </c>
      <c r="F19" s="1685">
        <f t="shared" si="4"/>
        <v>636439</v>
      </c>
      <c r="G19" s="1685">
        <f t="shared" si="4"/>
        <v>449579</v>
      </c>
      <c r="H19" s="1685">
        <f t="shared" si="4"/>
        <v>9165</v>
      </c>
      <c r="I19" s="468"/>
      <c r="J19" s="1685">
        <f>SUM(J17:J18)</f>
        <v>466534</v>
      </c>
      <c r="K19" s="1685">
        <f>SUM(K17:K18)</f>
        <v>113445</v>
      </c>
      <c r="L19" s="347"/>
    </row>
    <row r="20" spans="1:12" ht="16.5" thickTop="1" thickBot="1" x14ac:dyDescent="0.25">
      <c r="A20" s="2245" t="s">
        <v>1654</v>
      </c>
      <c r="B20" s="2246"/>
      <c r="C20" s="1743">
        <f>C8-C17</f>
        <v>14527</v>
      </c>
      <c r="D20" s="1743">
        <f t="shared" ref="D20:K20" si="5">D8-D17</f>
        <v>408003</v>
      </c>
      <c r="E20" s="1743">
        <f t="shared" si="5"/>
        <v>-279253</v>
      </c>
      <c r="F20" s="1743">
        <f t="shared" si="5"/>
        <v>129612</v>
      </c>
      <c r="G20" s="1743">
        <f t="shared" si="5"/>
        <v>107547</v>
      </c>
      <c r="H20" s="1743">
        <f t="shared" si="5"/>
        <v>311897</v>
      </c>
      <c r="I20" s="1743">
        <f t="shared" si="5"/>
        <v>201707</v>
      </c>
      <c r="J20" s="1743">
        <f t="shared" si="5"/>
        <v>151141</v>
      </c>
      <c r="K20" s="1743">
        <f t="shared" si="5"/>
        <v>131</v>
      </c>
      <c r="L20" s="347"/>
    </row>
    <row r="21" spans="1:12" ht="16.7" customHeight="1" thickTop="1" x14ac:dyDescent="0.2">
      <c r="A21" s="2257" t="s">
        <v>595</v>
      </c>
      <c r="B21" s="2258"/>
      <c r="C21" s="1567"/>
      <c r="D21" s="1568"/>
      <c r="E21" s="1568"/>
      <c r="F21" s="1568"/>
      <c r="G21" s="1568"/>
      <c r="H21" s="1568"/>
      <c r="I21" s="1568"/>
      <c r="J21" s="1568"/>
      <c r="K21" s="1569"/>
      <c r="L21" s="521"/>
    </row>
    <row r="22" spans="1:12" ht="15.75" customHeight="1" collapsed="1" x14ac:dyDescent="0.2">
      <c r="A22" s="2253" t="s">
        <v>596</v>
      </c>
      <c r="B22" s="2254"/>
      <c r="C22" s="475"/>
      <c r="D22" s="475"/>
      <c r="E22" s="475"/>
      <c r="F22" s="475"/>
      <c r="G22" s="475"/>
      <c r="H22" s="475"/>
      <c r="I22" s="475"/>
      <c r="J22" s="475"/>
      <c r="K22" s="475"/>
      <c r="L22" s="347"/>
    </row>
    <row r="23" spans="1:12" s="483" customFormat="1" ht="15.75" customHeight="1" x14ac:dyDescent="0.2">
      <c r="A23" s="2249" t="s">
        <v>293</v>
      </c>
      <c r="B23" s="2250"/>
      <c r="C23" s="478"/>
      <c r="D23" s="475"/>
      <c r="E23" s="475"/>
      <c r="F23" s="475"/>
      <c r="G23" s="475"/>
      <c r="H23" s="475"/>
      <c r="I23" s="475"/>
      <c r="J23" s="475"/>
      <c r="K23" s="475"/>
      <c r="L23" s="521"/>
    </row>
    <row r="24" spans="1:12" s="483" customFormat="1" ht="13.5" customHeight="1" x14ac:dyDescent="0.2">
      <c r="A24" s="1486" t="s">
        <v>1655</v>
      </c>
      <c r="B24" s="522">
        <v>7110</v>
      </c>
      <c r="C24" s="465">
        <v>0</v>
      </c>
      <c r="D24" s="475"/>
      <c r="E24" s="475"/>
      <c r="F24" s="475"/>
      <c r="G24" s="475"/>
      <c r="H24" s="475"/>
      <c r="I24" s="475"/>
      <c r="J24" s="475"/>
      <c r="K24" s="475"/>
      <c r="L24" s="521"/>
    </row>
    <row r="25" spans="1:12" s="483" customFormat="1" ht="13.5" customHeight="1" x14ac:dyDescent="0.2">
      <c r="A25" s="1486" t="s">
        <v>1656</v>
      </c>
      <c r="B25" s="522">
        <v>7110</v>
      </c>
      <c r="C25" s="465">
        <v>400000</v>
      </c>
      <c r="D25" s="465">
        <v>600000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1790</v>
      </c>
      <c r="B30" s="524">
        <v>7160</v>
      </c>
      <c r="C30" s="475"/>
      <c r="D30" s="467">
        <v>0</v>
      </c>
      <c r="E30" s="475"/>
      <c r="F30" s="475"/>
      <c r="G30" s="475"/>
      <c r="H30" s="475"/>
      <c r="I30" s="475"/>
      <c r="J30" s="475"/>
      <c r="K30" s="475"/>
      <c r="L30" s="521"/>
    </row>
    <row r="31" spans="1:12" s="483" customFormat="1" ht="26.25" x14ac:dyDescent="0.2">
      <c r="A31" s="1486" t="s">
        <v>1794</v>
      </c>
      <c r="B31" s="524">
        <v>7170</v>
      </c>
      <c r="C31" s="475"/>
      <c r="D31" s="475"/>
      <c r="E31" s="473">
        <v>0</v>
      </c>
      <c r="F31" s="475"/>
      <c r="G31" s="475"/>
      <c r="H31" s="475"/>
      <c r="I31" s="475"/>
      <c r="J31" s="475"/>
      <c r="K31" s="475"/>
      <c r="L31" s="521"/>
    </row>
    <row r="32" spans="1:12" s="483" customFormat="1" ht="15.75" customHeight="1" x14ac:dyDescent="0.2">
      <c r="A32" s="2251" t="s">
        <v>981</v>
      </c>
      <c r="B32" s="2252"/>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1657</v>
      </c>
      <c r="B36" s="522">
        <v>7300</v>
      </c>
      <c r="C36" s="465">
        <v>0</v>
      </c>
      <c r="D36" s="467">
        <v>4384</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113105</v>
      </c>
      <c r="F37" s="474"/>
      <c r="G37" s="474"/>
      <c r="H37" s="474"/>
      <c r="I37" s="475"/>
      <c r="J37" s="474"/>
      <c r="K37" s="474"/>
      <c r="L37" s="521"/>
    </row>
    <row r="38" spans="1:12" s="483" customFormat="1" x14ac:dyDescent="0.2">
      <c r="A38" s="1486" t="s">
        <v>442</v>
      </c>
      <c r="B38" s="522">
        <v>7500</v>
      </c>
      <c r="C38" s="475"/>
      <c r="D38" s="475"/>
      <c r="E38" s="1740">
        <f>SUM(C58:D61,H58:H61)</f>
        <v>5776</v>
      </c>
      <c r="F38" s="475"/>
      <c r="G38" s="475"/>
      <c r="H38" s="475"/>
      <c r="I38" s="475"/>
      <c r="J38" s="475"/>
      <c r="K38" s="475"/>
      <c r="L38" s="521"/>
    </row>
    <row r="39" spans="1:12" s="483" customFormat="1" x14ac:dyDescent="0.2">
      <c r="A39" s="1486" t="s">
        <v>443</v>
      </c>
      <c r="B39" s="522">
        <v>7600</v>
      </c>
      <c r="C39" s="475"/>
      <c r="D39" s="475"/>
      <c r="E39" s="1740">
        <f>SUM(C62:D65)</f>
        <v>168800</v>
      </c>
      <c r="F39" s="475"/>
      <c r="G39" s="475"/>
      <c r="H39" s="475"/>
      <c r="I39" s="475"/>
      <c r="J39" s="475"/>
      <c r="K39" s="475"/>
      <c r="L39" s="521"/>
    </row>
    <row r="40" spans="1:12" s="483" customFormat="1" ht="13.5" customHeight="1" x14ac:dyDescent="0.2">
      <c r="A40" s="1486" t="s">
        <v>642</v>
      </c>
      <c r="B40" s="481">
        <v>7700</v>
      </c>
      <c r="C40" s="475"/>
      <c r="D40" s="475"/>
      <c r="E40" s="1740">
        <f>SUM(C66:D69)</f>
        <v>1756</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149970</v>
      </c>
      <c r="D43" s="467">
        <v>0</v>
      </c>
      <c r="E43" s="467">
        <v>0</v>
      </c>
      <c r="F43" s="467">
        <v>0</v>
      </c>
      <c r="G43" s="467">
        <v>0</v>
      </c>
      <c r="H43" s="467">
        <v>0</v>
      </c>
      <c r="I43" s="467">
        <v>0</v>
      </c>
      <c r="J43" s="467">
        <v>0</v>
      </c>
      <c r="K43" s="467">
        <v>0</v>
      </c>
      <c r="L43" s="521"/>
    </row>
    <row r="44" spans="1:12" s="483" customFormat="1" ht="13.5" customHeight="1" thickBot="1" x14ac:dyDescent="0.25">
      <c r="A44" s="2259" t="s">
        <v>374</v>
      </c>
      <c r="B44" s="2260"/>
      <c r="C44" s="1700">
        <f>SUM(C24:C43)</f>
        <v>549970</v>
      </c>
      <c r="D44" s="1700">
        <f t="shared" ref="D44:K44" si="6">SUM(D24:D43)</f>
        <v>604384</v>
      </c>
      <c r="E44" s="1700">
        <f t="shared" si="6"/>
        <v>289437</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253" t="s">
        <v>108</v>
      </c>
      <c r="B45" s="2254"/>
      <c r="C45" s="525"/>
      <c r="D45" s="525"/>
      <c r="E45" s="525"/>
      <c r="F45" s="525"/>
      <c r="G45" s="525"/>
      <c r="H45" s="525"/>
      <c r="I45" s="525"/>
      <c r="J45" s="525"/>
      <c r="K45" s="525"/>
      <c r="L45" s="347"/>
    </row>
    <row r="46" spans="1:12" s="483" customFormat="1" ht="15.75" customHeight="1" x14ac:dyDescent="0.2">
      <c r="A46" s="2261" t="s">
        <v>109</v>
      </c>
      <c r="B46" s="2262"/>
      <c r="C46" s="475"/>
      <c r="D46" s="475"/>
      <c r="E46" s="475"/>
      <c r="F46" s="475"/>
      <c r="G46" s="475"/>
      <c r="H46" s="475"/>
      <c r="I46" s="478"/>
      <c r="J46" s="475"/>
      <c r="K46" s="475"/>
      <c r="L46" s="526"/>
    </row>
    <row r="47" spans="1:12" s="483" customFormat="1" ht="15" x14ac:dyDescent="0.2">
      <c r="A47" s="1487" t="s">
        <v>1658</v>
      </c>
      <c r="B47" s="481">
        <v>8110</v>
      </c>
      <c r="C47" s="475"/>
      <c r="D47" s="475"/>
      <c r="E47" s="475"/>
      <c r="F47" s="475"/>
      <c r="G47" s="475"/>
      <c r="H47" s="475"/>
      <c r="I47" s="1740">
        <f>SUM(C24,C25:H25,J25:K25)</f>
        <v>1000000</v>
      </c>
      <c r="J47" s="475"/>
      <c r="K47" s="475"/>
      <c r="L47" s="526"/>
    </row>
    <row r="48" spans="1:12" s="483" customFormat="1" ht="15" x14ac:dyDescent="0.2">
      <c r="A48" s="1487" t="s">
        <v>1659</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1793</v>
      </c>
      <c r="B52" s="481">
        <v>8160</v>
      </c>
      <c r="C52" s="475"/>
      <c r="D52" s="475"/>
      <c r="E52" s="475"/>
      <c r="F52" s="475"/>
      <c r="G52" s="475"/>
      <c r="H52" s="475"/>
      <c r="I52" s="475"/>
      <c r="J52" s="475"/>
      <c r="K52" s="1740">
        <f>D30</f>
        <v>0</v>
      </c>
      <c r="L52" s="521"/>
    </row>
    <row r="53" spans="1:12" s="483" customFormat="1" ht="26.25" x14ac:dyDescent="0.2">
      <c r="A53" s="1487" t="s">
        <v>1792</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92274</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20831</v>
      </c>
      <c r="D57" s="528">
        <v>0</v>
      </c>
      <c r="E57" s="475"/>
      <c r="F57" s="475"/>
      <c r="G57" s="475"/>
      <c r="H57" s="527">
        <v>0</v>
      </c>
      <c r="I57" s="475"/>
      <c r="J57" s="475"/>
      <c r="K57" s="475"/>
      <c r="L57" s="521"/>
    </row>
    <row r="58" spans="1:12" s="483" customFormat="1" ht="14.25" thickTop="1" thickBot="1" x14ac:dyDescent="0.25">
      <c r="A58" s="1487" t="s">
        <v>579</v>
      </c>
      <c r="B58" s="481">
        <v>8510</v>
      </c>
      <c r="C58" s="528">
        <v>4129</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1647</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168800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1756</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235" t="s">
        <v>440</v>
      </c>
      <c r="B76" s="2236"/>
      <c r="C76" s="1700">
        <f t="shared" ref="C76:K76" si="7">SUM(C47:C75)</f>
        <v>118881</v>
      </c>
      <c r="D76" s="1700">
        <f t="shared" si="7"/>
        <v>170556</v>
      </c>
      <c r="E76" s="1700">
        <f t="shared" si="7"/>
        <v>0</v>
      </c>
      <c r="F76" s="1700">
        <f t="shared" si="7"/>
        <v>0</v>
      </c>
      <c r="G76" s="1700">
        <f t="shared" si="7"/>
        <v>0</v>
      </c>
      <c r="H76" s="1700">
        <f t="shared" si="7"/>
        <v>0</v>
      </c>
      <c r="I76" s="1700">
        <f t="shared" si="7"/>
        <v>1000000</v>
      </c>
      <c r="J76" s="1700">
        <f t="shared" si="7"/>
        <v>0</v>
      </c>
      <c r="K76" s="1700">
        <f t="shared" si="7"/>
        <v>0</v>
      </c>
      <c r="L76" s="521"/>
    </row>
    <row r="77" spans="1:12" ht="14.25" thickTop="1" thickBot="1" x14ac:dyDescent="0.25">
      <c r="A77" s="2237" t="s">
        <v>1177</v>
      </c>
      <c r="B77" s="2238"/>
      <c r="C77" s="1700">
        <f t="shared" ref="C77:K77" si="8">C44-C76</f>
        <v>431089</v>
      </c>
      <c r="D77" s="1700">
        <f t="shared" si="8"/>
        <v>433828</v>
      </c>
      <c r="E77" s="1700">
        <f t="shared" si="8"/>
        <v>289437</v>
      </c>
      <c r="F77" s="1700">
        <f t="shared" si="8"/>
        <v>0</v>
      </c>
      <c r="G77" s="1700">
        <f t="shared" si="8"/>
        <v>0</v>
      </c>
      <c r="H77" s="1700">
        <f t="shared" si="8"/>
        <v>0</v>
      </c>
      <c r="I77" s="1700">
        <f t="shared" si="8"/>
        <v>-1000000</v>
      </c>
      <c r="J77" s="1700">
        <f t="shared" si="8"/>
        <v>0</v>
      </c>
      <c r="K77" s="1700">
        <f t="shared" si="8"/>
        <v>0</v>
      </c>
      <c r="L77" s="347"/>
    </row>
    <row r="78" spans="1:12" ht="21.75" customHeight="1" thickTop="1" thickBot="1" x14ac:dyDescent="0.25">
      <c r="A78" s="2241" t="s">
        <v>597</v>
      </c>
      <c r="B78" s="2242"/>
      <c r="C78" s="1699">
        <f t="shared" ref="C78:K78" si="9">C20+C77</f>
        <v>445616</v>
      </c>
      <c r="D78" s="1699">
        <f t="shared" si="9"/>
        <v>841831</v>
      </c>
      <c r="E78" s="1699">
        <f t="shared" si="9"/>
        <v>10184</v>
      </c>
      <c r="F78" s="1699">
        <f t="shared" si="9"/>
        <v>129612</v>
      </c>
      <c r="G78" s="1699">
        <f t="shared" si="9"/>
        <v>107547</v>
      </c>
      <c r="H78" s="1699">
        <f t="shared" si="9"/>
        <v>311897</v>
      </c>
      <c r="I78" s="1699">
        <f t="shared" si="9"/>
        <v>-798293</v>
      </c>
      <c r="J78" s="1699">
        <f t="shared" si="9"/>
        <v>151141</v>
      </c>
      <c r="K78" s="1699">
        <f t="shared" si="9"/>
        <v>131</v>
      </c>
      <c r="L78" s="530"/>
    </row>
    <row r="79" spans="1:12" ht="13.5" thickTop="1" x14ac:dyDescent="0.2">
      <c r="A79" s="1491" t="s">
        <v>1945</v>
      </c>
      <c r="B79" s="531"/>
      <c r="C79" s="476">
        <v>1470226</v>
      </c>
      <c r="D79" s="476">
        <v>2385840</v>
      </c>
      <c r="E79" s="476">
        <v>45568</v>
      </c>
      <c r="F79" s="476">
        <v>1203789</v>
      </c>
      <c r="G79" s="476">
        <v>406571</v>
      </c>
      <c r="H79" s="476">
        <v>0</v>
      </c>
      <c r="I79" s="476">
        <v>3669830</v>
      </c>
      <c r="J79" s="476">
        <v>380531</v>
      </c>
      <c r="K79" s="476">
        <v>287587</v>
      </c>
      <c r="L79" s="347"/>
    </row>
    <row r="80" spans="1:12" x14ac:dyDescent="0.2">
      <c r="A80" s="2247" t="s">
        <v>1791</v>
      </c>
      <c r="B80" s="2248"/>
      <c r="C80" s="467">
        <v>0</v>
      </c>
      <c r="D80" s="467">
        <v>0</v>
      </c>
      <c r="E80" s="467">
        <v>0</v>
      </c>
      <c r="F80" s="467">
        <v>0</v>
      </c>
      <c r="G80" s="467">
        <v>0</v>
      </c>
      <c r="H80" s="467">
        <v>0</v>
      </c>
      <c r="I80" s="467">
        <v>0</v>
      </c>
      <c r="J80" s="467">
        <v>0</v>
      </c>
      <c r="K80" s="467">
        <v>0</v>
      </c>
      <c r="L80" s="347"/>
    </row>
    <row r="81" spans="1:12" ht="13.5" thickBot="1" x14ac:dyDescent="0.25">
      <c r="A81" s="2239" t="s">
        <v>1946</v>
      </c>
      <c r="B81" s="2240"/>
      <c r="C81" s="1685">
        <f>(SUM(C78:C80))</f>
        <v>1915842</v>
      </c>
      <c r="D81" s="1685">
        <f>SUM(D78:D80)</f>
        <v>3227671</v>
      </c>
      <c r="E81" s="1685">
        <f t="shared" ref="E81:K81" si="10">SUM(E78:E80)</f>
        <v>55752</v>
      </c>
      <c r="F81" s="1685">
        <f t="shared" si="10"/>
        <v>1333401</v>
      </c>
      <c r="G81" s="1685">
        <f t="shared" si="10"/>
        <v>514118</v>
      </c>
      <c r="H81" s="1685">
        <f t="shared" si="10"/>
        <v>311897</v>
      </c>
      <c r="I81" s="1685">
        <f t="shared" si="10"/>
        <v>2871537</v>
      </c>
      <c r="J81" s="1685">
        <f t="shared" si="10"/>
        <v>531672</v>
      </c>
      <c r="K81" s="1685">
        <f t="shared" si="10"/>
        <v>287718</v>
      </c>
      <c r="L81" s="347"/>
    </row>
    <row r="82" spans="1:12" ht="0.75" customHeight="1" thickTop="1" thickBot="1" x14ac:dyDescent="0.25">
      <c r="A82" s="533" t="s">
        <v>343</v>
      </c>
      <c r="B82" s="534"/>
      <c r="C82" s="535">
        <f>(C81-C79)</f>
        <v>445616</v>
      </c>
      <c r="D82" s="535">
        <f t="shared" ref="D82:K82" si="11">(D81-D79)</f>
        <v>841831</v>
      </c>
      <c r="E82" s="535">
        <f t="shared" si="11"/>
        <v>10184</v>
      </c>
      <c r="F82" s="535">
        <f t="shared" si="11"/>
        <v>129612</v>
      </c>
      <c r="G82" s="535">
        <f t="shared" si="11"/>
        <v>107547</v>
      </c>
      <c r="H82" s="535">
        <f t="shared" si="11"/>
        <v>311897</v>
      </c>
      <c r="I82" s="535">
        <f t="shared" si="11"/>
        <v>-798293</v>
      </c>
      <c r="J82" s="535">
        <f t="shared" si="11"/>
        <v>151141</v>
      </c>
      <c r="K82" s="535">
        <f t="shared" si="11"/>
        <v>131</v>
      </c>
    </row>
    <row r="83" spans="1:12" ht="14.25" hidden="1" thickTop="1" thickBot="1" x14ac:dyDescent="0.25">
      <c r="A83" s="536" t="s">
        <v>344</v>
      </c>
      <c r="B83" s="464"/>
      <c r="C83" s="537">
        <f>C82/C81</f>
        <v>0.23259538103872868</v>
      </c>
      <c r="D83" s="537">
        <f t="shared" ref="D83:K83" si="12">D82/D81</f>
        <v>0.26081685524949721</v>
      </c>
      <c r="E83" s="537">
        <f t="shared" si="12"/>
        <v>0.18266609269622613</v>
      </c>
      <c r="F83" s="537">
        <f t="shared" si="12"/>
        <v>9.7204066893605154E-2</v>
      </c>
      <c r="G83" s="537">
        <f t="shared" si="12"/>
        <v>0.20918738499721853</v>
      </c>
      <c r="H83" s="537">
        <f t="shared" si="12"/>
        <v>1</v>
      </c>
      <c r="I83" s="537">
        <f t="shared" si="12"/>
        <v>-0.27800198987510871</v>
      </c>
      <c r="J83" s="537">
        <f t="shared" si="12"/>
        <v>0.28427489128635702</v>
      </c>
      <c r="K83" s="537">
        <f t="shared" si="12"/>
        <v>4.5530693248250023E-4</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activeCell="F17" sqref="F17"/>
      <selection pane="bottomLeft" activeCell="E14" sqref="E14"/>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243" t="s">
        <v>1798</v>
      </c>
      <c r="B1" s="452"/>
      <c r="C1" s="453" t="s">
        <v>425</v>
      </c>
      <c r="D1" s="453" t="s">
        <v>426</v>
      </c>
      <c r="E1" s="453" t="s">
        <v>427</v>
      </c>
      <c r="F1" s="453" t="s">
        <v>428</v>
      </c>
      <c r="G1" s="453" t="s">
        <v>429</v>
      </c>
      <c r="H1" s="453" t="s">
        <v>430</v>
      </c>
      <c r="I1" s="453" t="s">
        <v>431</v>
      </c>
      <c r="J1" s="453" t="s">
        <v>432</v>
      </c>
      <c r="K1" s="453" t="s">
        <v>756</v>
      </c>
    </row>
    <row r="2" spans="1:12" ht="36" x14ac:dyDescent="0.2">
      <c r="A2" s="2244"/>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1660</v>
      </c>
      <c r="B5" s="544"/>
      <c r="C5" s="479">
        <v>6728389</v>
      </c>
      <c r="D5" s="479">
        <v>1139485</v>
      </c>
      <c r="E5" s="466">
        <v>891401</v>
      </c>
      <c r="F5" s="545">
        <v>434090</v>
      </c>
      <c r="G5" s="466">
        <v>234624</v>
      </c>
      <c r="H5" s="466">
        <v>0</v>
      </c>
      <c r="I5" s="466">
        <v>108522</v>
      </c>
      <c r="J5" s="467">
        <v>589058</v>
      </c>
      <c r="K5" s="466">
        <v>108522</v>
      </c>
    </row>
    <row r="6" spans="1:12" ht="15" x14ac:dyDescent="0.2">
      <c r="A6" s="463" t="s">
        <v>1661</v>
      </c>
      <c r="B6" s="470">
        <v>1130</v>
      </c>
      <c r="C6" s="466">
        <v>108522</v>
      </c>
      <c r="D6" s="466">
        <v>0</v>
      </c>
      <c r="E6" s="474"/>
      <c r="F6" s="474"/>
      <c r="G6" s="468"/>
      <c r="H6" s="468"/>
      <c r="I6" s="468"/>
      <c r="J6" s="468"/>
      <c r="K6" s="468"/>
    </row>
    <row r="7" spans="1:12" x14ac:dyDescent="0.2">
      <c r="A7" s="463" t="s">
        <v>110</v>
      </c>
      <c r="B7" s="546">
        <v>1140</v>
      </c>
      <c r="C7" s="466">
        <v>86818</v>
      </c>
      <c r="D7" s="466">
        <v>0</v>
      </c>
      <c r="E7" s="468"/>
      <c r="F7" s="467">
        <v>0</v>
      </c>
      <c r="G7" s="467">
        <v>0</v>
      </c>
      <c r="H7" s="467">
        <v>0</v>
      </c>
      <c r="I7" s="468"/>
      <c r="J7" s="468"/>
      <c r="K7" s="468"/>
    </row>
    <row r="8" spans="1:12" x14ac:dyDescent="0.2">
      <c r="A8" s="463" t="s">
        <v>413</v>
      </c>
      <c r="B8" s="470">
        <v>1150</v>
      </c>
      <c r="C8" s="474"/>
      <c r="D8" s="474"/>
      <c r="E8" s="475"/>
      <c r="F8" s="475"/>
      <c r="G8" s="479">
        <v>279553</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6923729</v>
      </c>
      <c r="D12" s="1704">
        <f t="shared" si="0"/>
        <v>1139485</v>
      </c>
      <c r="E12" s="1704">
        <f t="shared" si="0"/>
        <v>891401</v>
      </c>
      <c r="F12" s="1704">
        <f t="shared" si="0"/>
        <v>434090</v>
      </c>
      <c r="G12" s="1704">
        <f t="shared" si="0"/>
        <v>514177</v>
      </c>
      <c r="H12" s="1704">
        <f t="shared" si="0"/>
        <v>0</v>
      </c>
      <c r="I12" s="1704">
        <f t="shared" si="0"/>
        <v>108522</v>
      </c>
      <c r="J12" s="1704">
        <f t="shared" si="0"/>
        <v>589058</v>
      </c>
      <c r="K12" s="1685">
        <f t="shared" si="0"/>
        <v>108522</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1552</v>
      </c>
      <c r="D14" s="466">
        <v>793</v>
      </c>
      <c r="E14" s="466">
        <v>2434</v>
      </c>
      <c r="F14" s="466">
        <v>300</v>
      </c>
      <c r="G14" s="466">
        <v>1148</v>
      </c>
      <c r="H14" s="466">
        <v>0</v>
      </c>
      <c r="I14" s="466">
        <v>78</v>
      </c>
      <c r="J14" s="467">
        <v>1311</v>
      </c>
      <c r="K14" s="466">
        <v>78</v>
      </c>
    </row>
    <row r="15" spans="1:12" ht="12.75" customHeight="1" x14ac:dyDescent="0.2">
      <c r="A15" s="463" t="s">
        <v>95</v>
      </c>
      <c r="B15" s="470">
        <v>1220</v>
      </c>
      <c r="C15" s="548">
        <v>1159</v>
      </c>
      <c r="D15" s="466">
        <v>191</v>
      </c>
      <c r="E15" s="466">
        <v>149</v>
      </c>
      <c r="F15" s="466">
        <v>73</v>
      </c>
      <c r="G15" s="466">
        <v>86</v>
      </c>
      <c r="H15" s="466">
        <v>0</v>
      </c>
      <c r="I15" s="466">
        <v>18</v>
      </c>
      <c r="J15" s="467">
        <v>99</v>
      </c>
      <c r="K15" s="466">
        <v>18</v>
      </c>
    </row>
    <row r="16" spans="1:12" ht="15" customHeight="1" x14ac:dyDescent="0.2">
      <c r="A16" s="463" t="s">
        <v>1662</v>
      </c>
      <c r="B16" s="546">
        <v>1230</v>
      </c>
      <c r="C16" s="548">
        <v>486418</v>
      </c>
      <c r="D16" s="466">
        <v>0</v>
      </c>
      <c r="E16" s="466">
        <v>0</v>
      </c>
      <c r="F16" s="466">
        <v>0</v>
      </c>
      <c r="G16" s="466">
        <v>30000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489129</v>
      </c>
      <c r="D18" s="1707">
        <f t="shared" ref="D18:K18" si="1">SUM(D14:D17)</f>
        <v>984</v>
      </c>
      <c r="E18" s="1707">
        <f t="shared" si="1"/>
        <v>2583</v>
      </c>
      <c r="F18" s="1707">
        <f t="shared" si="1"/>
        <v>373</v>
      </c>
      <c r="G18" s="1707">
        <f t="shared" si="1"/>
        <v>31234</v>
      </c>
      <c r="H18" s="1707">
        <f t="shared" si="1"/>
        <v>0</v>
      </c>
      <c r="I18" s="1707">
        <f t="shared" si="1"/>
        <v>96</v>
      </c>
      <c r="J18" s="1707">
        <f t="shared" si="1"/>
        <v>1410</v>
      </c>
      <c r="K18" s="1708">
        <f t="shared" si="1"/>
        <v>96</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6355</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6355</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264</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264</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66021</v>
      </c>
      <c r="D65" s="466">
        <v>38987</v>
      </c>
      <c r="E65" s="466">
        <v>4652</v>
      </c>
      <c r="F65" s="467">
        <v>19383</v>
      </c>
      <c r="G65" s="466">
        <v>8943</v>
      </c>
      <c r="H65" s="466">
        <v>0</v>
      </c>
      <c r="I65" s="466">
        <v>92581</v>
      </c>
      <c r="J65" s="467">
        <v>9444</v>
      </c>
      <c r="K65" s="466">
        <v>4450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66021</v>
      </c>
      <c r="D67" s="1685">
        <f t="shared" ref="D67:K67" si="2">SUM(D65:D66)</f>
        <v>38987</v>
      </c>
      <c r="E67" s="1685">
        <f t="shared" si="2"/>
        <v>4652</v>
      </c>
      <c r="F67" s="1685">
        <f t="shared" si="2"/>
        <v>19383</v>
      </c>
      <c r="G67" s="1685">
        <f t="shared" si="2"/>
        <v>8943</v>
      </c>
      <c r="H67" s="1685">
        <f t="shared" si="2"/>
        <v>0</v>
      </c>
      <c r="I67" s="1685">
        <f t="shared" si="2"/>
        <v>92581</v>
      </c>
      <c r="J67" s="1685">
        <f t="shared" si="2"/>
        <v>9444</v>
      </c>
      <c r="K67" s="1685">
        <f t="shared" si="2"/>
        <v>4450</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240891</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68625</v>
      </c>
      <c r="D71" s="468"/>
      <c r="E71" s="468"/>
      <c r="F71" s="468"/>
      <c r="G71" s="468"/>
      <c r="H71" s="468"/>
      <c r="I71" s="468"/>
      <c r="J71" s="468"/>
      <c r="K71" s="468"/>
    </row>
    <row r="72" spans="1:11" ht="12.75" customHeight="1" x14ac:dyDescent="0.2">
      <c r="A72" s="463" t="s">
        <v>24</v>
      </c>
      <c r="B72" s="470">
        <v>1614</v>
      </c>
      <c r="C72" s="548">
        <v>1221</v>
      </c>
      <c r="D72" s="468"/>
      <c r="E72" s="468"/>
      <c r="F72" s="468"/>
      <c r="G72" s="468"/>
      <c r="H72" s="468"/>
      <c r="I72" s="468"/>
      <c r="J72" s="468"/>
      <c r="K72" s="468"/>
    </row>
    <row r="73" spans="1:11" ht="12.75" customHeight="1" x14ac:dyDescent="0.2">
      <c r="A73" s="463" t="s">
        <v>998</v>
      </c>
      <c r="B73" s="470">
        <v>1620</v>
      </c>
      <c r="C73" s="548">
        <v>6493</v>
      </c>
      <c r="D73" s="468"/>
      <c r="E73" s="468"/>
      <c r="F73" s="468"/>
      <c r="G73" s="468"/>
      <c r="H73" s="468"/>
      <c r="I73" s="468"/>
      <c r="J73" s="468"/>
      <c r="K73" s="468"/>
    </row>
    <row r="74" spans="1:11" ht="12.75" customHeight="1" x14ac:dyDescent="0.2">
      <c r="A74" s="463" t="s">
        <v>25</v>
      </c>
      <c r="B74" s="470">
        <v>1690</v>
      </c>
      <c r="C74" s="548">
        <v>3401</v>
      </c>
      <c r="D74" s="468"/>
      <c r="E74" s="468"/>
      <c r="F74" s="468"/>
      <c r="G74" s="468"/>
      <c r="H74" s="468"/>
      <c r="I74" s="468"/>
      <c r="J74" s="468"/>
      <c r="K74" s="468"/>
    </row>
    <row r="75" spans="1:11" ht="12.75" customHeight="1" thickBot="1" x14ac:dyDescent="0.25">
      <c r="A75" s="1705" t="s">
        <v>548</v>
      </c>
      <c r="B75" s="1706"/>
      <c r="C75" s="1685">
        <f>SUM(C69:C74)</f>
        <v>320631</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30072</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20830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695</v>
      </c>
      <c r="D81" s="466">
        <v>0</v>
      </c>
      <c r="E81" s="468"/>
      <c r="F81" s="468"/>
      <c r="G81" s="468"/>
      <c r="H81" s="468"/>
      <c r="I81" s="468"/>
      <c r="J81" s="468"/>
      <c r="K81" s="468"/>
    </row>
    <row r="82" spans="1:11" ht="12.75" customHeight="1" thickBot="1" x14ac:dyDescent="0.25">
      <c r="A82" s="1705" t="s">
        <v>241</v>
      </c>
      <c r="B82" s="1706"/>
      <c r="C82" s="1704">
        <f>SUM(C77:C81)</f>
        <v>51597</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117995</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117995</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14075</v>
      </c>
      <c r="E95" s="518"/>
      <c r="F95" s="518"/>
      <c r="G95" s="518"/>
      <c r="H95" s="518"/>
      <c r="I95" s="518"/>
      <c r="J95" s="518"/>
      <c r="K95" s="518"/>
    </row>
    <row r="96" spans="1:11" ht="12.75" customHeight="1" x14ac:dyDescent="0.2">
      <c r="A96" s="463" t="s">
        <v>391</v>
      </c>
      <c r="B96" s="470">
        <v>1920</v>
      </c>
      <c r="C96" s="548">
        <v>500</v>
      </c>
      <c r="D96" s="548">
        <v>10000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14668</v>
      </c>
      <c r="D99" s="466">
        <v>0</v>
      </c>
      <c r="E99" s="466">
        <v>0</v>
      </c>
      <c r="F99" s="466">
        <v>2280</v>
      </c>
      <c r="G99" s="466">
        <v>0</v>
      </c>
      <c r="H99" s="466">
        <v>0</v>
      </c>
      <c r="I99" s="468"/>
      <c r="J99" s="467">
        <v>14755</v>
      </c>
      <c r="K99" s="466">
        <v>0</v>
      </c>
    </row>
    <row r="100" spans="1:12" ht="12.75" customHeight="1" x14ac:dyDescent="0.2">
      <c r="A100" s="463" t="s">
        <v>245</v>
      </c>
      <c r="B100" s="470">
        <v>1960</v>
      </c>
      <c r="C100" s="486">
        <v>32340</v>
      </c>
      <c r="D100" s="486">
        <v>5325</v>
      </c>
      <c r="E100" s="486">
        <v>4298</v>
      </c>
      <c r="F100" s="486">
        <v>0</v>
      </c>
      <c r="G100" s="486">
        <v>2481</v>
      </c>
      <c r="H100" s="486">
        <v>0</v>
      </c>
      <c r="I100" s="467">
        <v>508</v>
      </c>
      <c r="J100" s="486">
        <v>2838</v>
      </c>
      <c r="K100" s="467">
        <v>508</v>
      </c>
    </row>
    <row r="101" spans="1:12" ht="12.75" customHeight="1" x14ac:dyDescent="0.2">
      <c r="A101" s="463" t="s">
        <v>246</v>
      </c>
      <c r="B101" s="470">
        <v>1970</v>
      </c>
      <c r="C101" s="486">
        <v>18945</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321062</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21679</v>
      </c>
      <c r="D106" s="486">
        <v>0</v>
      </c>
      <c r="E106" s="467">
        <v>0</v>
      </c>
      <c r="F106" s="467">
        <v>0</v>
      </c>
      <c r="G106" s="467">
        <v>0</v>
      </c>
      <c r="H106" s="467">
        <v>0</v>
      </c>
      <c r="I106" s="518"/>
      <c r="J106" s="467">
        <v>0</v>
      </c>
      <c r="K106" s="467">
        <v>0</v>
      </c>
    </row>
    <row r="107" spans="1:12" ht="12.75" customHeight="1" x14ac:dyDescent="0.2">
      <c r="A107" s="463" t="s">
        <v>78</v>
      </c>
      <c r="B107" s="470">
        <v>1999</v>
      </c>
      <c r="C107" s="548">
        <v>51068</v>
      </c>
      <c r="D107" s="466">
        <v>6560</v>
      </c>
      <c r="E107" s="466">
        <v>0</v>
      </c>
      <c r="F107" s="466">
        <v>748</v>
      </c>
      <c r="G107" s="466">
        <v>291</v>
      </c>
      <c r="H107" s="466">
        <v>0</v>
      </c>
      <c r="I107" s="466">
        <v>0</v>
      </c>
      <c r="J107" s="467">
        <v>170</v>
      </c>
      <c r="K107" s="466">
        <v>0</v>
      </c>
    </row>
    <row r="108" spans="1:12" ht="12.75" customHeight="1" thickBot="1" x14ac:dyDescent="0.25">
      <c r="A108" s="1705" t="s">
        <v>487</v>
      </c>
      <c r="B108" s="1709"/>
      <c r="C108" s="1704">
        <f>SUM(C95:C107)</f>
        <v>139200</v>
      </c>
      <c r="D108" s="1704">
        <f t="shared" ref="D108:K108" si="3">SUM(D95:D107)</f>
        <v>35960</v>
      </c>
      <c r="E108" s="1704">
        <f t="shared" si="3"/>
        <v>4298</v>
      </c>
      <c r="F108" s="1704">
        <f t="shared" si="3"/>
        <v>3028</v>
      </c>
      <c r="G108" s="1704">
        <f t="shared" si="3"/>
        <v>2772</v>
      </c>
      <c r="H108" s="1704">
        <f t="shared" si="3"/>
        <v>321062</v>
      </c>
      <c r="I108" s="1704">
        <f t="shared" si="3"/>
        <v>508</v>
      </c>
      <c r="J108" s="1704">
        <f t="shared" si="3"/>
        <v>17763</v>
      </c>
      <c r="K108" s="1685">
        <f t="shared" si="3"/>
        <v>508</v>
      </c>
    </row>
    <row r="109" spans="1:12" ht="14.25" thickTop="1" thickBot="1" x14ac:dyDescent="0.25">
      <c r="A109" s="1710" t="s">
        <v>248</v>
      </c>
      <c r="B109" s="1711" t="s">
        <v>570</v>
      </c>
      <c r="C109" s="1712">
        <f t="shared" ref="C109:K109" si="4">SUM(C12,C18,C40,C63,C67,C75,C82,C93,C108,)</f>
        <v>8114657</v>
      </c>
      <c r="D109" s="1712">
        <f t="shared" si="4"/>
        <v>1215416</v>
      </c>
      <c r="E109" s="1712">
        <f t="shared" si="4"/>
        <v>902934</v>
      </c>
      <c r="F109" s="1712">
        <f t="shared" si="4"/>
        <v>457138</v>
      </c>
      <c r="G109" s="1712">
        <f t="shared" si="4"/>
        <v>557126</v>
      </c>
      <c r="H109" s="1712">
        <f t="shared" si="4"/>
        <v>321062</v>
      </c>
      <c r="I109" s="1712">
        <f t="shared" si="4"/>
        <v>201707</v>
      </c>
      <c r="J109" s="1712">
        <f t="shared" si="4"/>
        <v>617675</v>
      </c>
      <c r="K109" s="1699">
        <f t="shared" si="4"/>
        <v>113576</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1666</v>
      </c>
      <c r="B117" s="559">
        <v>3001</v>
      </c>
      <c r="C117" s="513">
        <v>3755652</v>
      </c>
      <c r="D117" s="479">
        <v>0</v>
      </c>
      <c r="E117" s="466">
        <v>0</v>
      </c>
      <c r="F117" s="479">
        <v>0</v>
      </c>
      <c r="G117" s="479">
        <v>0</v>
      </c>
      <c r="H117" s="466">
        <v>0</v>
      </c>
      <c r="I117" s="468"/>
      <c r="J117" s="467">
        <v>0</v>
      </c>
      <c r="K117" s="466">
        <v>0</v>
      </c>
    </row>
    <row r="118" spans="1:11" ht="12.75" customHeight="1" x14ac:dyDescent="0.2">
      <c r="A118" s="463" t="s">
        <v>1795</v>
      </c>
      <c r="B118" s="559">
        <v>3002</v>
      </c>
      <c r="C118" s="548"/>
      <c r="D118" s="466"/>
      <c r="E118" s="466"/>
      <c r="F118" s="466"/>
      <c r="G118" s="466"/>
      <c r="H118" s="466"/>
      <c r="I118" s="468"/>
      <c r="J118" s="467"/>
      <c r="K118" s="466"/>
    </row>
    <row r="119" spans="1:11" ht="12.75" customHeight="1" x14ac:dyDescent="0.2">
      <c r="A119" s="463" t="s">
        <v>1796</v>
      </c>
      <c r="B119" s="559">
        <v>3005</v>
      </c>
      <c r="C119" s="548">
        <v>0</v>
      </c>
      <c r="D119" s="466">
        <v>0</v>
      </c>
      <c r="E119" s="466">
        <v>0</v>
      </c>
      <c r="F119" s="466">
        <v>0</v>
      </c>
      <c r="G119" s="479">
        <v>0</v>
      </c>
      <c r="H119" s="466">
        <v>0</v>
      </c>
      <c r="I119" s="468"/>
      <c r="J119" s="467">
        <v>0</v>
      </c>
      <c r="K119" s="466">
        <v>0</v>
      </c>
    </row>
    <row r="120" spans="1:11" ht="12.75" customHeight="1" x14ac:dyDescent="0.2">
      <c r="A120" s="1925" t="s">
        <v>1932</v>
      </c>
      <c r="B120" s="559">
        <v>3030</v>
      </c>
      <c r="C120" s="548">
        <v>0</v>
      </c>
      <c r="D120" s="466">
        <v>0</v>
      </c>
      <c r="E120" s="466">
        <v>0</v>
      </c>
      <c r="F120" s="466">
        <v>0</v>
      </c>
      <c r="G120" s="466">
        <v>0</v>
      </c>
      <c r="H120" s="466">
        <v>0</v>
      </c>
      <c r="I120" s="468"/>
      <c r="J120" s="467">
        <v>0</v>
      </c>
      <c r="K120" s="466">
        <v>0</v>
      </c>
    </row>
    <row r="121" spans="1:11" x14ac:dyDescent="0.2">
      <c r="A121" s="1493" t="s">
        <v>1797</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3755652</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1405</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16300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17705</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875</v>
      </c>
      <c r="D134" s="466">
        <v>0</v>
      </c>
      <c r="E134" s="558"/>
      <c r="F134" s="468"/>
      <c r="G134" s="466">
        <v>0</v>
      </c>
      <c r="H134" s="468"/>
      <c r="I134" s="468"/>
      <c r="J134" s="468"/>
      <c r="K134" s="468"/>
    </row>
    <row r="135" spans="1:11" ht="12.75" customHeight="1" x14ac:dyDescent="0.2">
      <c r="A135" s="463" t="s">
        <v>669</v>
      </c>
      <c r="B135" s="559">
        <v>3220</v>
      </c>
      <c r="C135" s="548">
        <v>29978</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20570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51423</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2926</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21662</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135911</v>
      </c>
      <c r="G152" s="467">
        <v>0</v>
      </c>
      <c r="H152" s="468"/>
      <c r="I152" s="468"/>
      <c r="J152" s="468"/>
      <c r="K152" s="468"/>
    </row>
    <row r="153" spans="1:11" ht="12.75" customHeight="1" x14ac:dyDescent="0.2">
      <c r="A153" s="463" t="s">
        <v>1057</v>
      </c>
      <c r="B153" s="559">
        <v>3510</v>
      </c>
      <c r="C153" s="548">
        <v>0</v>
      </c>
      <c r="D153" s="466">
        <v>0</v>
      </c>
      <c r="E153" s="558"/>
      <c r="F153" s="466">
        <v>173002</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308913</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3136</v>
      </c>
      <c r="D168" s="577">
        <v>0</v>
      </c>
      <c r="E168" s="577">
        <v>0</v>
      </c>
      <c r="F168" s="577">
        <v>0</v>
      </c>
      <c r="G168" s="578">
        <v>0</v>
      </c>
      <c r="H168" s="579">
        <v>0</v>
      </c>
      <c r="I168" s="578">
        <v>0</v>
      </c>
      <c r="J168" s="578">
        <v>0</v>
      </c>
      <c r="K168" s="579">
        <v>0</v>
      </c>
    </row>
    <row r="169" spans="1:11" ht="12.75" customHeight="1" thickTop="1" thickBot="1" x14ac:dyDescent="0.25">
      <c r="A169" s="2263" t="s">
        <v>398</v>
      </c>
      <c r="B169" s="2264"/>
      <c r="C169" s="1719">
        <f t="shared" ref="C169:K169" si="6">SUM(C132,C141,C145,C146:C150,C155,C156:C167,C168)</f>
        <v>96852</v>
      </c>
      <c r="D169" s="1719">
        <f t="shared" si="6"/>
        <v>0</v>
      </c>
      <c r="E169" s="1719">
        <f t="shared" si="6"/>
        <v>0</v>
      </c>
      <c r="F169" s="1719">
        <f t="shared" si="6"/>
        <v>308913</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3852504</v>
      </c>
      <c r="D170" s="1712">
        <f t="shared" si="7"/>
        <v>0</v>
      </c>
      <c r="E170" s="1712">
        <f t="shared" si="7"/>
        <v>0</v>
      </c>
      <c r="F170" s="1712">
        <f t="shared" si="7"/>
        <v>308913</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265" t="s">
        <v>1492</v>
      </c>
      <c r="B172" s="2266"/>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269" t="s">
        <v>1664</v>
      </c>
      <c r="B175" s="2270"/>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273" t="s">
        <v>1663</v>
      </c>
      <c r="B176" s="2274"/>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271" t="s">
        <v>785</v>
      </c>
      <c r="B181" s="2272"/>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267" t="s">
        <v>1799</v>
      </c>
      <c r="B182" s="2268"/>
      <c r="C182" s="581"/>
      <c r="D182" s="563"/>
      <c r="E182" s="506"/>
      <c r="F182" s="563"/>
      <c r="G182" s="563"/>
      <c r="H182" s="468"/>
      <c r="I182" s="468"/>
      <c r="J182" s="468"/>
      <c r="K182" s="468"/>
    </row>
    <row r="183" spans="1:11" ht="15.75" customHeight="1" x14ac:dyDescent="0.2">
      <c r="A183" s="1600" t="s">
        <v>1601</v>
      </c>
      <c r="B183" s="1601"/>
      <c r="C183" s="519"/>
      <c r="D183" s="518"/>
      <c r="E183" s="506"/>
      <c r="F183" s="518"/>
      <c r="G183" s="518"/>
      <c r="H183" s="468"/>
      <c r="I183" s="468"/>
      <c r="J183" s="468"/>
      <c r="K183" s="468"/>
    </row>
    <row r="184" spans="1:11" ht="12.75" customHeight="1" x14ac:dyDescent="0.2">
      <c r="A184" s="463" t="s">
        <v>1602</v>
      </c>
      <c r="B184" s="470">
        <v>4100</v>
      </c>
      <c r="C184" s="513">
        <v>0</v>
      </c>
      <c r="D184" s="479">
        <v>0</v>
      </c>
      <c r="E184" s="558"/>
      <c r="F184" s="479">
        <v>0</v>
      </c>
      <c r="G184" s="479">
        <v>0</v>
      </c>
      <c r="H184" s="468"/>
      <c r="I184" s="468"/>
      <c r="J184" s="468"/>
      <c r="K184" s="468"/>
    </row>
    <row r="185" spans="1:11" ht="12.75" customHeight="1" x14ac:dyDescent="0.2">
      <c r="A185" s="463" t="s">
        <v>1603</v>
      </c>
      <c r="B185" s="470">
        <v>4105</v>
      </c>
      <c r="C185" s="548">
        <v>0</v>
      </c>
      <c r="D185" s="466">
        <v>0</v>
      </c>
      <c r="E185" s="558"/>
      <c r="F185" s="466">
        <v>0</v>
      </c>
      <c r="G185" s="466">
        <v>0</v>
      </c>
      <c r="H185" s="468"/>
      <c r="I185" s="468"/>
      <c r="J185" s="468"/>
      <c r="K185" s="468"/>
    </row>
    <row r="186" spans="1:11" ht="12.75" customHeight="1" x14ac:dyDescent="0.2">
      <c r="A186" s="463" t="s">
        <v>1605</v>
      </c>
      <c r="B186" s="470">
        <v>4107</v>
      </c>
      <c r="C186" s="548">
        <v>0</v>
      </c>
      <c r="D186" s="466">
        <v>0</v>
      </c>
      <c r="E186" s="558"/>
      <c r="F186" s="466">
        <v>0</v>
      </c>
      <c r="G186" s="466">
        <v>0</v>
      </c>
      <c r="H186" s="468"/>
      <c r="I186" s="468"/>
      <c r="J186" s="468"/>
      <c r="K186" s="468"/>
    </row>
    <row r="187" spans="1:11" ht="12.75" customHeight="1" x14ac:dyDescent="0.2">
      <c r="A187" s="463" t="s">
        <v>1604</v>
      </c>
      <c r="B187" s="470">
        <v>4199</v>
      </c>
      <c r="C187" s="548">
        <v>0</v>
      </c>
      <c r="D187" s="466">
        <v>0</v>
      </c>
      <c r="E187" s="558"/>
      <c r="F187" s="466">
        <v>0</v>
      </c>
      <c r="G187" s="466">
        <v>0</v>
      </c>
      <c r="H187" s="468"/>
      <c r="I187" s="468"/>
      <c r="J187" s="468"/>
      <c r="K187" s="468"/>
    </row>
    <row r="188" spans="1:11" ht="12.75" customHeight="1" thickBot="1" x14ac:dyDescent="0.25">
      <c r="A188" s="1705" t="s">
        <v>1606</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189665</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32396</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222061</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140179</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140179</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319248</v>
      </c>
      <c r="D213" s="466">
        <v>1112</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319248</v>
      </c>
      <c r="D217" s="1704">
        <f>SUM(D211:D216)</f>
        <v>1112</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43866</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5" t="s">
        <v>1933</v>
      </c>
      <c r="B261" s="470">
        <v>4981</v>
      </c>
      <c r="C261" s="572">
        <v>0</v>
      </c>
      <c r="D261" s="573">
        <v>0</v>
      </c>
      <c r="E261" s="468"/>
      <c r="F261" s="573">
        <v>0</v>
      </c>
      <c r="G261" s="573">
        <v>0</v>
      </c>
      <c r="H261" s="468"/>
      <c r="I261" s="468"/>
      <c r="J261" s="468"/>
      <c r="K261" s="468"/>
    </row>
    <row r="262" spans="1:11" ht="12.75" customHeight="1" thickTop="1" thickBot="1" x14ac:dyDescent="0.25">
      <c r="A262" s="1926" t="s">
        <v>1934</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17318</v>
      </c>
      <c r="D263" s="573">
        <v>0</v>
      </c>
      <c r="E263" s="468"/>
      <c r="F263" s="573">
        <v>0</v>
      </c>
      <c r="G263" s="573">
        <v>0</v>
      </c>
      <c r="H263" s="468"/>
      <c r="I263" s="468"/>
      <c r="J263" s="468"/>
      <c r="K263" s="468"/>
    </row>
    <row r="264" spans="1:11" ht="12.75" customHeight="1" thickTop="1" thickBot="1" x14ac:dyDescent="0.25">
      <c r="A264" s="463" t="s">
        <v>377</v>
      </c>
      <c r="B264" s="470">
        <v>4992</v>
      </c>
      <c r="C264" s="572">
        <v>45886</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1665</v>
      </c>
      <c r="B266" s="1724"/>
      <c r="C266" s="1712">
        <f t="shared" ref="C266:H266" si="10">SUM(C188,C198,C204,C209,C217,C221,C222,C252:C265)</f>
        <v>788558</v>
      </c>
      <c r="D266" s="1712">
        <f t="shared" si="10"/>
        <v>1112</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788558</v>
      </c>
      <c r="D267" s="1712">
        <f>SUM(D175,D181,D266)</f>
        <v>1112</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12755719</v>
      </c>
      <c r="D268" s="1712">
        <f t="shared" si="12"/>
        <v>1216528</v>
      </c>
      <c r="E268" s="1712">
        <f t="shared" si="12"/>
        <v>902934</v>
      </c>
      <c r="F268" s="1712">
        <f t="shared" si="12"/>
        <v>766051</v>
      </c>
      <c r="G268" s="1712">
        <f t="shared" si="12"/>
        <v>557126</v>
      </c>
      <c r="H268" s="1712">
        <f t="shared" si="12"/>
        <v>321062</v>
      </c>
      <c r="I268" s="1712">
        <f t="shared" si="12"/>
        <v>201707</v>
      </c>
      <c r="J268" s="1712">
        <f t="shared" si="12"/>
        <v>617675</v>
      </c>
      <c r="K268" s="1699">
        <f t="shared" si="12"/>
        <v>113576</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25" header="0.28000000000000003" footer="0.1"/>
  <pageSetup scale="72"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F17" sqref="F17"/>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243" t="s">
        <v>1798</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275"/>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81" t="s">
        <v>297</v>
      </c>
      <c r="B3" s="2282"/>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5076831</v>
      </c>
      <c r="D5" s="466">
        <v>787866</v>
      </c>
      <c r="E5" s="466">
        <v>27470</v>
      </c>
      <c r="F5" s="466">
        <v>86700</v>
      </c>
      <c r="G5" s="466">
        <v>166071</v>
      </c>
      <c r="H5" s="466">
        <v>0</v>
      </c>
      <c r="I5" s="467">
        <v>0</v>
      </c>
      <c r="J5" s="467">
        <v>0</v>
      </c>
      <c r="K5" s="1668">
        <f>SUM(C5:J5)</f>
        <v>6144938</v>
      </c>
      <c r="L5" s="471">
        <v>4461955</v>
      </c>
    </row>
    <row r="6" spans="1:14" x14ac:dyDescent="0.2">
      <c r="A6" s="1501" t="s">
        <v>1433</v>
      </c>
      <c r="B6" s="611" t="s">
        <v>1431</v>
      </c>
      <c r="C6" s="475"/>
      <c r="D6" s="475"/>
      <c r="E6" s="466">
        <v>0</v>
      </c>
      <c r="F6" s="475"/>
      <c r="G6" s="475"/>
      <c r="H6" s="475"/>
      <c r="I6" s="475"/>
      <c r="J6" s="475"/>
      <c r="K6" s="1668">
        <f>SUM(C6,E6)</f>
        <v>0</v>
      </c>
      <c r="L6" s="471">
        <v>3000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1602190</v>
      </c>
    </row>
    <row r="8" spans="1:14" x14ac:dyDescent="0.2">
      <c r="A8" s="1501" t="s">
        <v>164</v>
      </c>
      <c r="B8" s="611">
        <v>1200</v>
      </c>
      <c r="C8" s="466">
        <v>905048</v>
      </c>
      <c r="D8" s="466">
        <v>162190</v>
      </c>
      <c r="E8" s="466">
        <v>678</v>
      </c>
      <c r="F8" s="466">
        <v>3986</v>
      </c>
      <c r="G8" s="466">
        <v>0</v>
      </c>
      <c r="H8" s="466">
        <v>2997</v>
      </c>
      <c r="I8" s="467">
        <v>0</v>
      </c>
      <c r="J8" s="467">
        <v>0</v>
      </c>
      <c r="K8" s="1668">
        <f t="shared" si="0"/>
        <v>1074899</v>
      </c>
      <c r="L8" s="471">
        <v>1118655</v>
      </c>
    </row>
    <row r="9" spans="1:14" x14ac:dyDescent="0.2">
      <c r="A9" s="1501" t="s">
        <v>721</v>
      </c>
      <c r="B9" s="611" t="s">
        <v>968</v>
      </c>
      <c r="C9" s="467">
        <v>100264</v>
      </c>
      <c r="D9" s="467">
        <v>24728</v>
      </c>
      <c r="E9" s="467">
        <v>0</v>
      </c>
      <c r="F9" s="467">
        <v>565</v>
      </c>
      <c r="G9" s="467">
        <v>0</v>
      </c>
      <c r="H9" s="467">
        <v>0</v>
      </c>
      <c r="I9" s="467">
        <v>0</v>
      </c>
      <c r="J9" s="467">
        <v>0</v>
      </c>
      <c r="K9" s="1668">
        <f t="shared" si="0"/>
        <v>125557</v>
      </c>
      <c r="L9" s="471">
        <v>128538</v>
      </c>
    </row>
    <row r="10" spans="1:14" x14ac:dyDescent="0.2">
      <c r="A10" s="1501" t="s">
        <v>722</v>
      </c>
      <c r="B10" s="611">
        <v>1250</v>
      </c>
      <c r="C10" s="466">
        <v>153601</v>
      </c>
      <c r="D10" s="466">
        <v>40583</v>
      </c>
      <c r="E10" s="466">
        <v>0</v>
      </c>
      <c r="F10" s="466">
        <v>80</v>
      </c>
      <c r="G10" s="466">
        <v>0</v>
      </c>
      <c r="H10" s="466">
        <v>0</v>
      </c>
      <c r="I10" s="467">
        <v>0</v>
      </c>
      <c r="J10" s="467">
        <v>0</v>
      </c>
      <c r="K10" s="1668">
        <f t="shared" si="0"/>
        <v>194264</v>
      </c>
      <c r="L10" s="471">
        <v>183150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182645</v>
      </c>
      <c r="D13" s="466">
        <v>24098</v>
      </c>
      <c r="E13" s="466">
        <v>0</v>
      </c>
      <c r="F13" s="466">
        <v>24523</v>
      </c>
      <c r="G13" s="466">
        <v>2060</v>
      </c>
      <c r="H13" s="466">
        <v>280</v>
      </c>
      <c r="I13" s="467">
        <v>0</v>
      </c>
      <c r="J13" s="467">
        <v>0</v>
      </c>
      <c r="K13" s="1668">
        <f t="shared" si="0"/>
        <v>233606</v>
      </c>
      <c r="L13" s="471">
        <v>232584</v>
      </c>
    </row>
    <row r="14" spans="1:14" x14ac:dyDescent="0.2">
      <c r="A14" s="1501" t="s">
        <v>963</v>
      </c>
      <c r="B14" s="611">
        <v>1500</v>
      </c>
      <c r="C14" s="466">
        <v>509832</v>
      </c>
      <c r="D14" s="466">
        <v>26859</v>
      </c>
      <c r="E14" s="466">
        <v>56356</v>
      </c>
      <c r="F14" s="466">
        <v>63965</v>
      </c>
      <c r="G14" s="466">
        <v>11699</v>
      </c>
      <c r="H14" s="466">
        <v>20359</v>
      </c>
      <c r="I14" s="467">
        <v>0</v>
      </c>
      <c r="J14" s="467">
        <v>0</v>
      </c>
      <c r="K14" s="1668">
        <f t="shared" si="0"/>
        <v>689070</v>
      </c>
      <c r="L14" s="471">
        <v>731244</v>
      </c>
    </row>
    <row r="15" spans="1:14" x14ac:dyDescent="0.2">
      <c r="A15" s="1501" t="s">
        <v>964</v>
      </c>
      <c r="B15" s="611">
        <v>1600</v>
      </c>
      <c r="C15" s="467">
        <v>1250</v>
      </c>
      <c r="D15" s="466">
        <v>18</v>
      </c>
      <c r="E15" s="466">
        <v>0</v>
      </c>
      <c r="F15" s="466">
        <v>0</v>
      </c>
      <c r="G15" s="466">
        <v>0</v>
      </c>
      <c r="H15" s="466">
        <v>0</v>
      </c>
      <c r="I15" s="467">
        <v>0</v>
      </c>
      <c r="J15" s="467">
        <v>0</v>
      </c>
      <c r="K15" s="1668">
        <f t="shared" si="0"/>
        <v>1268</v>
      </c>
      <c r="L15" s="471">
        <v>1500</v>
      </c>
    </row>
    <row r="16" spans="1:14" x14ac:dyDescent="0.2">
      <c r="A16" s="1501" t="s">
        <v>987</v>
      </c>
      <c r="B16" s="611" t="s">
        <v>424</v>
      </c>
      <c r="C16" s="467">
        <v>460</v>
      </c>
      <c r="D16" s="466">
        <v>15</v>
      </c>
      <c r="E16" s="466">
        <v>0</v>
      </c>
      <c r="F16" s="466">
        <v>0</v>
      </c>
      <c r="G16" s="466">
        <v>0</v>
      </c>
      <c r="H16" s="466">
        <v>0</v>
      </c>
      <c r="I16" s="467">
        <v>0</v>
      </c>
      <c r="J16" s="467">
        <v>0</v>
      </c>
      <c r="K16" s="1668">
        <f t="shared" si="0"/>
        <v>475</v>
      </c>
      <c r="L16" s="471">
        <v>1500</v>
      </c>
    </row>
    <row r="17" spans="1:12" x14ac:dyDescent="0.2">
      <c r="A17" s="1501" t="s">
        <v>724</v>
      </c>
      <c r="B17" s="611" t="s">
        <v>162</v>
      </c>
      <c r="C17" s="467">
        <v>50455</v>
      </c>
      <c r="D17" s="467">
        <v>964</v>
      </c>
      <c r="E17" s="467">
        <v>1530</v>
      </c>
      <c r="F17" s="467">
        <v>1086</v>
      </c>
      <c r="G17" s="467">
        <v>16220</v>
      </c>
      <c r="H17" s="467">
        <v>0</v>
      </c>
      <c r="I17" s="467">
        <v>0</v>
      </c>
      <c r="J17" s="467">
        <v>0</v>
      </c>
      <c r="K17" s="1668">
        <f t="shared" si="0"/>
        <v>70255</v>
      </c>
      <c r="L17" s="471">
        <v>53883</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25289</v>
      </c>
      <c r="I22" s="613"/>
      <c r="J22" s="475"/>
      <c r="K22" s="1668">
        <f t="shared" si="0"/>
        <v>25289</v>
      </c>
      <c r="L22" s="471">
        <v>20000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1667</v>
      </c>
      <c r="B33" s="1666" t="s">
        <v>570</v>
      </c>
      <c r="C33" s="1667">
        <f>SUM(C5:C32)</f>
        <v>6980386</v>
      </c>
      <c r="D33" s="1667">
        <f t="shared" ref="D33:L33" si="1">SUM(D5:D32)</f>
        <v>1067321</v>
      </c>
      <c r="E33" s="1667">
        <f t="shared" si="1"/>
        <v>86034</v>
      </c>
      <c r="F33" s="1667">
        <f t="shared" si="1"/>
        <v>180905</v>
      </c>
      <c r="G33" s="1667">
        <f t="shared" si="1"/>
        <v>196050</v>
      </c>
      <c r="H33" s="1667">
        <f t="shared" si="1"/>
        <v>48925</v>
      </c>
      <c r="I33" s="1667">
        <f t="shared" si="1"/>
        <v>0</v>
      </c>
      <c r="J33" s="1667">
        <f t="shared" si="1"/>
        <v>0</v>
      </c>
      <c r="K33" s="1667">
        <f t="shared" si="1"/>
        <v>8559621</v>
      </c>
      <c r="L33" s="1667">
        <f t="shared" si="1"/>
        <v>8538199</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68751</v>
      </c>
      <c r="D36" s="479">
        <v>1886</v>
      </c>
      <c r="E36" s="479">
        <v>709</v>
      </c>
      <c r="F36" s="479">
        <v>0</v>
      </c>
      <c r="G36" s="479">
        <v>0</v>
      </c>
      <c r="H36" s="479">
        <v>0</v>
      </c>
      <c r="I36" s="467">
        <v>0</v>
      </c>
      <c r="J36" s="467">
        <v>0</v>
      </c>
      <c r="K36" s="1668">
        <f t="shared" ref="K36:K41" si="2">SUM(C36:J36)</f>
        <v>71346</v>
      </c>
      <c r="L36" s="466">
        <v>71722</v>
      </c>
    </row>
    <row r="37" spans="1:14" x14ac:dyDescent="0.2">
      <c r="A37" s="1501" t="s">
        <v>1090</v>
      </c>
      <c r="B37" s="611">
        <v>2120</v>
      </c>
      <c r="C37" s="466">
        <v>145450</v>
      </c>
      <c r="D37" s="466">
        <v>26833</v>
      </c>
      <c r="E37" s="466">
        <v>0</v>
      </c>
      <c r="F37" s="466">
        <v>331</v>
      </c>
      <c r="G37" s="466">
        <v>0</v>
      </c>
      <c r="H37" s="466">
        <v>0</v>
      </c>
      <c r="I37" s="467">
        <v>0</v>
      </c>
      <c r="J37" s="467">
        <v>0</v>
      </c>
      <c r="K37" s="1668">
        <f t="shared" si="2"/>
        <v>172614</v>
      </c>
      <c r="L37" s="466">
        <v>179446</v>
      </c>
    </row>
    <row r="38" spans="1:14" x14ac:dyDescent="0.2">
      <c r="A38" s="1501" t="s">
        <v>198</v>
      </c>
      <c r="B38" s="611">
        <v>2130</v>
      </c>
      <c r="C38" s="466">
        <v>0</v>
      </c>
      <c r="D38" s="466">
        <v>0</v>
      </c>
      <c r="E38" s="466">
        <v>0</v>
      </c>
      <c r="F38" s="466">
        <v>2547</v>
      </c>
      <c r="G38" s="466">
        <v>0</v>
      </c>
      <c r="H38" s="466">
        <v>0</v>
      </c>
      <c r="I38" s="467">
        <v>0</v>
      </c>
      <c r="J38" s="467">
        <v>0</v>
      </c>
      <c r="K38" s="1668">
        <f t="shared" si="2"/>
        <v>2547</v>
      </c>
      <c r="L38" s="466">
        <v>6000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42311</v>
      </c>
      <c r="D40" s="466">
        <v>8788</v>
      </c>
      <c r="E40" s="466">
        <v>145</v>
      </c>
      <c r="F40" s="466">
        <v>468</v>
      </c>
      <c r="G40" s="466">
        <v>0</v>
      </c>
      <c r="H40" s="466">
        <v>0</v>
      </c>
      <c r="I40" s="467">
        <v>0</v>
      </c>
      <c r="J40" s="467">
        <v>0</v>
      </c>
      <c r="K40" s="1668">
        <f t="shared" si="2"/>
        <v>51712</v>
      </c>
      <c r="L40" s="466">
        <v>50132</v>
      </c>
    </row>
    <row r="41" spans="1:14" x14ac:dyDescent="0.2">
      <c r="A41" s="1501" t="s">
        <v>1668</v>
      </c>
      <c r="B41" s="611">
        <v>2190</v>
      </c>
      <c r="C41" s="466">
        <v>0</v>
      </c>
      <c r="D41" s="466">
        <v>0</v>
      </c>
      <c r="E41" s="466">
        <v>345</v>
      </c>
      <c r="F41" s="466">
        <v>5997</v>
      </c>
      <c r="G41" s="466">
        <v>0</v>
      </c>
      <c r="H41" s="466">
        <v>2825</v>
      </c>
      <c r="I41" s="467">
        <v>0</v>
      </c>
      <c r="J41" s="467">
        <v>0</v>
      </c>
      <c r="K41" s="1668">
        <f t="shared" si="2"/>
        <v>9167</v>
      </c>
      <c r="L41" s="466">
        <v>12500</v>
      </c>
    </row>
    <row r="42" spans="1:14" ht="12.75" customHeight="1" thickBot="1" x14ac:dyDescent="0.25">
      <c r="A42" s="1665" t="s">
        <v>560</v>
      </c>
      <c r="B42" s="1666" t="s">
        <v>716</v>
      </c>
      <c r="C42" s="1667">
        <f>SUM(C36:C41)</f>
        <v>256512</v>
      </c>
      <c r="D42" s="1667">
        <f t="shared" ref="D42:L42" si="3">SUM(D36:D41)</f>
        <v>37507</v>
      </c>
      <c r="E42" s="1667">
        <f t="shared" si="3"/>
        <v>1199</v>
      </c>
      <c r="F42" s="1667">
        <f t="shared" si="3"/>
        <v>9343</v>
      </c>
      <c r="G42" s="1667">
        <f t="shared" si="3"/>
        <v>0</v>
      </c>
      <c r="H42" s="1667">
        <f t="shared" si="3"/>
        <v>2825</v>
      </c>
      <c r="I42" s="1667">
        <f t="shared" si="3"/>
        <v>0</v>
      </c>
      <c r="J42" s="1667">
        <f t="shared" si="3"/>
        <v>0</v>
      </c>
      <c r="K42" s="1667">
        <f t="shared" si="3"/>
        <v>307386</v>
      </c>
      <c r="L42" s="1667">
        <f t="shared" si="3"/>
        <v>319800</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46528</v>
      </c>
      <c r="D44" s="479">
        <v>7880</v>
      </c>
      <c r="E44" s="479">
        <v>21467</v>
      </c>
      <c r="F44" s="479">
        <v>3</v>
      </c>
      <c r="G44" s="479">
        <v>0</v>
      </c>
      <c r="H44" s="479">
        <v>0</v>
      </c>
      <c r="I44" s="467">
        <v>0</v>
      </c>
      <c r="J44" s="467">
        <v>0</v>
      </c>
      <c r="K44" s="1669">
        <f>SUM(C44:J44)</f>
        <v>75878</v>
      </c>
      <c r="L44" s="479">
        <v>124734</v>
      </c>
    </row>
    <row r="45" spans="1:14" x14ac:dyDescent="0.2">
      <c r="A45" s="1501" t="s">
        <v>815</v>
      </c>
      <c r="B45" s="611">
        <v>2220</v>
      </c>
      <c r="C45" s="466">
        <v>243095</v>
      </c>
      <c r="D45" s="466">
        <v>44031</v>
      </c>
      <c r="E45" s="466">
        <v>1678</v>
      </c>
      <c r="F45" s="466">
        <v>117708</v>
      </c>
      <c r="G45" s="466">
        <v>61874</v>
      </c>
      <c r="H45" s="466">
        <v>2834</v>
      </c>
      <c r="I45" s="467">
        <v>0</v>
      </c>
      <c r="J45" s="467">
        <v>0</v>
      </c>
      <c r="K45" s="1669">
        <f>SUM(C45:J45)</f>
        <v>471220</v>
      </c>
      <c r="L45" s="466">
        <v>481168</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289623</v>
      </c>
      <c r="D47" s="1667">
        <f t="shared" ref="D47:K47" si="4">SUM(D44:D46)</f>
        <v>51911</v>
      </c>
      <c r="E47" s="1667">
        <f t="shared" si="4"/>
        <v>23145</v>
      </c>
      <c r="F47" s="1667">
        <f t="shared" si="4"/>
        <v>117711</v>
      </c>
      <c r="G47" s="1667">
        <f t="shared" si="4"/>
        <v>61874</v>
      </c>
      <c r="H47" s="1667">
        <f t="shared" si="4"/>
        <v>2834</v>
      </c>
      <c r="I47" s="1667">
        <f t="shared" si="4"/>
        <v>0</v>
      </c>
      <c r="J47" s="1667">
        <f t="shared" si="4"/>
        <v>0</v>
      </c>
      <c r="K47" s="1667">
        <f t="shared" si="4"/>
        <v>547098</v>
      </c>
      <c r="L47" s="1667">
        <f>SUM(L44:L46)</f>
        <v>605902</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52454</v>
      </c>
      <c r="D49" s="479">
        <v>18460</v>
      </c>
      <c r="E49" s="479">
        <v>55176</v>
      </c>
      <c r="F49" s="479">
        <v>8863</v>
      </c>
      <c r="G49" s="479">
        <v>0</v>
      </c>
      <c r="H49" s="479">
        <v>4434</v>
      </c>
      <c r="I49" s="467">
        <v>0</v>
      </c>
      <c r="J49" s="467">
        <v>0</v>
      </c>
      <c r="K49" s="1669">
        <f>SUM(C49:J49)</f>
        <v>139387</v>
      </c>
      <c r="L49" s="479">
        <v>160928</v>
      </c>
    </row>
    <row r="50" spans="1:14" x14ac:dyDescent="0.2">
      <c r="A50" s="1501" t="s">
        <v>818</v>
      </c>
      <c r="B50" s="611">
        <v>2320</v>
      </c>
      <c r="C50" s="467">
        <v>128975</v>
      </c>
      <c r="D50" s="466">
        <v>25599</v>
      </c>
      <c r="E50" s="466">
        <v>115</v>
      </c>
      <c r="F50" s="466">
        <v>3465</v>
      </c>
      <c r="G50" s="466">
        <v>0</v>
      </c>
      <c r="H50" s="466">
        <v>1855</v>
      </c>
      <c r="I50" s="467">
        <v>0</v>
      </c>
      <c r="J50" s="467">
        <v>0</v>
      </c>
      <c r="K50" s="1669">
        <f>SUM(C50:J50)</f>
        <v>160009</v>
      </c>
      <c r="L50" s="466">
        <v>164535</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1881</v>
      </c>
    </row>
    <row r="53" spans="1:14" ht="12.75" customHeight="1" thickBot="1" x14ac:dyDescent="0.25">
      <c r="A53" s="1665" t="s">
        <v>717</v>
      </c>
      <c r="B53" s="1666" t="s">
        <v>33</v>
      </c>
      <c r="C53" s="1667">
        <f>SUM(C49:C52)</f>
        <v>181429</v>
      </c>
      <c r="D53" s="1667">
        <f t="shared" ref="D53:L53" si="5">SUM(D49:D52)</f>
        <v>44059</v>
      </c>
      <c r="E53" s="1667">
        <f t="shared" si="5"/>
        <v>55291</v>
      </c>
      <c r="F53" s="1667">
        <f t="shared" si="5"/>
        <v>12328</v>
      </c>
      <c r="G53" s="1667">
        <f t="shared" si="5"/>
        <v>0</v>
      </c>
      <c r="H53" s="1667">
        <f t="shared" si="5"/>
        <v>6289</v>
      </c>
      <c r="I53" s="1667">
        <f t="shared" si="5"/>
        <v>0</v>
      </c>
      <c r="J53" s="1667">
        <f t="shared" si="5"/>
        <v>0</v>
      </c>
      <c r="K53" s="1667">
        <f t="shared" si="5"/>
        <v>299396</v>
      </c>
      <c r="L53" s="1667">
        <f t="shared" si="5"/>
        <v>327344</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726051</v>
      </c>
      <c r="D55" s="479">
        <v>155459</v>
      </c>
      <c r="E55" s="479">
        <v>22290</v>
      </c>
      <c r="F55" s="479">
        <v>22009</v>
      </c>
      <c r="G55" s="479">
        <v>0</v>
      </c>
      <c r="H55" s="479">
        <v>2636</v>
      </c>
      <c r="I55" s="467">
        <v>0</v>
      </c>
      <c r="J55" s="467">
        <v>0</v>
      </c>
      <c r="K55" s="1669">
        <f>SUM(C55:J55)</f>
        <v>928445</v>
      </c>
      <c r="L55" s="479">
        <v>937985</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726051</v>
      </c>
      <c r="D57" s="1671">
        <f t="shared" ref="D57:K57" si="6">SUM(D55:D56)</f>
        <v>155459</v>
      </c>
      <c r="E57" s="1671">
        <f t="shared" si="6"/>
        <v>22290</v>
      </c>
      <c r="F57" s="1671">
        <f t="shared" si="6"/>
        <v>22009</v>
      </c>
      <c r="G57" s="1671">
        <f t="shared" si="6"/>
        <v>0</v>
      </c>
      <c r="H57" s="1671">
        <f t="shared" si="6"/>
        <v>2636</v>
      </c>
      <c r="I57" s="1671">
        <f t="shared" si="6"/>
        <v>0</v>
      </c>
      <c r="J57" s="1671">
        <f t="shared" si="6"/>
        <v>0</v>
      </c>
      <c r="K57" s="1671">
        <f t="shared" si="6"/>
        <v>928445</v>
      </c>
      <c r="L57" s="1667">
        <f>SUM(L55:L56)</f>
        <v>937985</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65976</v>
      </c>
      <c r="D60" s="466">
        <v>6258</v>
      </c>
      <c r="E60" s="466">
        <v>0</v>
      </c>
      <c r="F60" s="466">
        <v>0</v>
      </c>
      <c r="G60" s="466">
        <v>0</v>
      </c>
      <c r="H60" s="466">
        <v>0</v>
      </c>
      <c r="I60" s="467">
        <v>0</v>
      </c>
      <c r="J60" s="467">
        <v>0</v>
      </c>
      <c r="K60" s="1669">
        <f t="shared" si="7"/>
        <v>72234</v>
      </c>
      <c r="L60" s="466">
        <v>77642</v>
      </c>
      <c r="M60" s="606"/>
      <c r="N60" s="606"/>
    </row>
    <row r="61" spans="1:14" s="343" customFormat="1" x14ac:dyDescent="0.2">
      <c r="A61" s="1501" t="s">
        <v>197</v>
      </c>
      <c r="B61" s="611">
        <v>2540</v>
      </c>
      <c r="C61" s="466">
        <v>522820</v>
      </c>
      <c r="D61" s="466">
        <v>86579</v>
      </c>
      <c r="E61" s="466">
        <v>0</v>
      </c>
      <c r="F61" s="466">
        <v>0</v>
      </c>
      <c r="G61" s="466">
        <v>0</v>
      </c>
      <c r="H61" s="466">
        <v>0</v>
      </c>
      <c r="I61" s="467">
        <v>0</v>
      </c>
      <c r="J61" s="467">
        <v>0</v>
      </c>
      <c r="K61" s="1669">
        <f t="shared" si="7"/>
        <v>609399</v>
      </c>
      <c r="L61" s="466">
        <v>592392</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214050</v>
      </c>
      <c r="D63" s="466">
        <v>67357</v>
      </c>
      <c r="E63" s="466">
        <v>14991</v>
      </c>
      <c r="F63" s="466">
        <v>271501</v>
      </c>
      <c r="G63" s="466">
        <v>1290</v>
      </c>
      <c r="H63" s="466">
        <v>0</v>
      </c>
      <c r="I63" s="467">
        <v>0</v>
      </c>
      <c r="J63" s="467">
        <v>0</v>
      </c>
      <c r="K63" s="1669">
        <f t="shared" si="7"/>
        <v>569189</v>
      </c>
      <c r="L63" s="466">
        <v>657395</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802846</v>
      </c>
      <c r="D65" s="1667">
        <f t="shared" ref="D65:L65" si="8">SUM(D59:D64)</f>
        <v>160194</v>
      </c>
      <c r="E65" s="1667">
        <f t="shared" si="8"/>
        <v>14991</v>
      </c>
      <c r="F65" s="1667">
        <f t="shared" si="8"/>
        <v>271501</v>
      </c>
      <c r="G65" s="1667">
        <f t="shared" si="8"/>
        <v>1290</v>
      </c>
      <c r="H65" s="1667">
        <f t="shared" si="8"/>
        <v>0</v>
      </c>
      <c r="I65" s="1667">
        <f t="shared" si="8"/>
        <v>0</v>
      </c>
      <c r="J65" s="1667">
        <f t="shared" si="8"/>
        <v>0</v>
      </c>
      <c r="K65" s="1667">
        <f t="shared" si="8"/>
        <v>1250822</v>
      </c>
      <c r="L65" s="1667">
        <f t="shared" si="8"/>
        <v>1327429</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2256461</v>
      </c>
      <c r="D74" s="1674">
        <f t="shared" ref="D74:K74" si="10">SUM(D42,D47,D53,D57,D65,D72,D73)</f>
        <v>449130</v>
      </c>
      <c r="E74" s="1674">
        <f t="shared" si="10"/>
        <v>116916</v>
      </c>
      <c r="F74" s="1674">
        <f t="shared" si="10"/>
        <v>432892</v>
      </c>
      <c r="G74" s="1674">
        <f t="shared" si="10"/>
        <v>63164</v>
      </c>
      <c r="H74" s="1674">
        <f t="shared" si="10"/>
        <v>14584</v>
      </c>
      <c r="I74" s="1674">
        <f t="shared" si="10"/>
        <v>0</v>
      </c>
      <c r="J74" s="1674">
        <f t="shared" si="10"/>
        <v>0</v>
      </c>
      <c r="K74" s="1674">
        <f t="shared" si="10"/>
        <v>3333147</v>
      </c>
      <c r="L74" s="1674">
        <f>SUM(L42,L47,L53,L57,L65,L72,L73)</f>
        <v>3518460</v>
      </c>
    </row>
    <row r="75" spans="1:14" s="259" customFormat="1" ht="15.75" customHeight="1" thickTop="1" thickBot="1" x14ac:dyDescent="0.25">
      <c r="A75" s="1607" t="s">
        <v>47</v>
      </c>
      <c r="B75" s="1608" t="s">
        <v>575</v>
      </c>
      <c r="C75" s="467">
        <v>0</v>
      </c>
      <c r="D75" s="467">
        <v>0</v>
      </c>
      <c r="E75" s="467">
        <v>0</v>
      </c>
      <c r="F75" s="467">
        <v>564</v>
      </c>
      <c r="G75" s="467">
        <v>0</v>
      </c>
      <c r="H75" s="467">
        <v>0</v>
      </c>
      <c r="I75" s="467">
        <v>0</v>
      </c>
      <c r="J75" s="467">
        <v>0</v>
      </c>
      <c r="K75" s="1667">
        <f>SUM(C75:J75)</f>
        <v>564</v>
      </c>
      <c r="L75" s="573">
        <v>750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404543</v>
      </c>
      <c r="F79" s="613"/>
      <c r="G79" s="613"/>
      <c r="H79" s="466">
        <v>0</v>
      </c>
      <c r="I79" s="475"/>
      <c r="J79" s="475"/>
      <c r="K79" s="1668">
        <f t="shared" si="11"/>
        <v>404543</v>
      </c>
      <c r="L79" s="466">
        <v>417000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11099</v>
      </c>
      <c r="F81" s="613"/>
      <c r="G81" s="613"/>
      <c r="H81" s="466">
        <v>0</v>
      </c>
      <c r="I81" s="475"/>
      <c r="J81" s="475"/>
      <c r="K81" s="1668">
        <f t="shared" si="11"/>
        <v>11099</v>
      </c>
      <c r="L81" s="466">
        <v>11099</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1000</v>
      </c>
      <c r="F83" s="613"/>
      <c r="G83" s="613"/>
      <c r="H83" s="466">
        <v>0</v>
      </c>
      <c r="I83" s="475"/>
      <c r="J83" s="475"/>
      <c r="K83" s="1668">
        <f t="shared" si="11"/>
        <v>1000</v>
      </c>
      <c r="L83" s="466">
        <v>1000</v>
      </c>
    </row>
    <row r="84" spans="1:12" ht="13.5" thickBot="1" x14ac:dyDescent="0.25">
      <c r="A84" s="1665" t="s">
        <v>1485</v>
      </c>
      <c r="B84" s="1675">
        <v>4100</v>
      </c>
      <c r="C84" s="613"/>
      <c r="D84" s="613"/>
      <c r="E84" s="1667">
        <f>SUM(E78:E83)</f>
        <v>416642</v>
      </c>
      <c r="F84" s="613"/>
      <c r="G84" s="613"/>
      <c r="H84" s="1667">
        <f>SUM(H78:H83)</f>
        <v>0</v>
      </c>
      <c r="I84" s="475"/>
      <c r="J84" s="475"/>
      <c r="K84" s="1667">
        <f>SUM(K78:K83)</f>
        <v>416642</v>
      </c>
      <c r="L84" s="1667">
        <f>SUM(L78:L83)</f>
        <v>429099</v>
      </c>
    </row>
    <row r="85" spans="1:12" ht="12.75" customHeight="1" thickTop="1" thickBot="1" x14ac:dyDescent="0.25">
      <c r="A85" s="1508" t="s">
        <v>255</v>
      </c>
      <c r="B85" s="632">
        <v>4210</v>
      </c>
      <c r="C85" s="613"/>
      <c r="D85" s="613"/>
      <c r="E85" s="633"/>
      <c r="F85" s="613"/>
      <c r="G85" s="613"/>
      <c r="H85" s="532">
        <v>6009</v>
      </c>
      <c r="I85" s="475"/>
      <c r="J85" s="475"/>
      <c r="K85" s="1674">
        <f>H85</f>
        <v>6009</v>
      </c>
      <c r="L85" s="527">
        <v>2500</v>
      </c>
    </row>
    <row r="86" spans="1:12" ht="12.75" customHeight="1" thickTop="1" thickBot="1" x14ac:dyDescent="0.25">
      <c r="A86" s="1509" t="s">
        <v>699</v>
      </c>
      <c r="B86" s="634">
        <v>4220</v>
      </c>
      <c r="C86" s="613"/>
      <c r="D86" s="613"/>
      <c r="E86" s="635"/>
      <c r="F86" s="613"/>
      <c r="G86" s="613"/>
      <c r="H86" s="467">
        <v>425209</v>
      </c>
      <c r="I86" s="475"/>
      <c r="J86" s="475"/>
      <c r="K86" s="1674">
        <f t="shared" ref="K86:K98" si="12">H86</f>
        <v>425209</v>
      </c>
      <c r="L86" s="527">
        <v>415000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1559</v>
      </c>
      <c r="B92" s="1675">
        <v>4200</v>
      </c>
      <c r="C92" s="613"/>
      <c r="D92" s="613"/>
      <c r="E92" s="635"/>
      <c r="F92" s="613"/>
      <c r="G92" s="613"/>
      <c r="H92" s="1667">
        <f>SUM(H85:H91)</f>
        <v>431218</v>
      </c>
      <c r="I92" s="475"/>
      <c r="J92" s="475"/>
      <c r="K92" s="1674">
        <f t="shared" si="12"/>
        <v>431218</v>
      </c>
      <c r="L92" s="1667">
        <f>SUM(L85:L91)</f>
        <v>417500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416642</v>
      </c>
      <c r="F102" s="613"/>
      <c r="G102" s="613"/>
      <c r="H102" s="1674">
        <f>SUM(H84,H92,H100,H101)</f>
        <v>431218</v>
      </c>
      <c r="I102" s="475"/>
      <c r="J102" s="475"/>
      <c r="K102" s="1674">
        <f>SUM(K84,K92,K100,K101)</f>
        <v>847860</v>
      </c>
      <c r="L102" s="1674">
        <f>SUM(L84,L92,L100,L101)</f>
        <v>846599</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9236847</v>
      </c>
      <c r="D114" s="1667">
        <f t="shared" ref="D114:K114" si="13">SUM(D33,D74,D75,D102,D112,D113)</f>
        <v>1516451</v>
      </c>
      <c r="E114" s="1667">
        <f t="shared" si="13"/>
        <v>619592</v>
      </c>
      <c r="F114" s="1667">
        <f t="shared" si="13"/>
        <v>614361</v>
      </c>
      <c r="G114" s="1667">
        <f t="shared" si="13"/>
        <v>259214</v>
      </c>
      <c r="H114" s="1667">
        <f>SUM(H33,H74,H75,H102,H112,H113)</f>
        <v>494727</v>
      </c>
      <c r="I114" s="1667">
        <f t="shared" si="13"/>
        <v>0</v>
      </c>
      <c r="J114" s="1667">
        <f t="shared" si="13"/>
        <v>0</v>
      </c>
      <c r="K114" s="1667">
        <f t="shared" si="13"/>
        <v>12741192</v>
      </c>
      <c r="L114" s="1667">
        <f>SUM(L33,L74,L75,L102,L112,L113)</f>
        <v>12904008</v>
      </c>
    </row>
    <row r="115" spans="1:14" ht="13.5" thickTop="1" x14ac:dyDescent="0.2">
      <c r="A115" s="2300" t="s">
        <v>996</v>
      </c>
      <c r="B115" s="2301"/>
      <c r="C115" s="615"/>
      <c r="D115" s="615"/>
      <c r="E115" s="615"/>
      <c r="F115" s="615"/>
      <c r="G115" s="615"/>
      <c r="H115" s="615"/>
      <c r="I115" s="615"/>
      <c r="J115" s="615"/>
      <c r="K115" s="1681">
        <f>'Revenues 9-14'!C268-'Expenditures 15-22'!K114</f>
        <v>14527</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78" t="s">
        <v>296</v>
      </c>
      <c r="B117" s="2279"/>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2056</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0</v>
      </c>
      <c r="D124" s="466">
        <v>0</v>
      </c>
      <c r="E124" s="466">
        <v>343804</v>
      </c>
      <c r="F124" s="466">
        <v>371418</v>
      </c>
      <c r="G124" s="466">
        <v>80247</v>
      </c>
      <c r="H124" s="466">
        <v>0</v>
      </c>
      <c r="I124" s="467">
        <v>0</v>
      </c>
      <c r="J124" s="467">
        <v>0</v>
      </c>
      <c r="K124" s="1667">
        <f>SUM(C124:J124)</f>
        <v>795469</v>
      </c>
      <c r="L124" s="466">
        <v>953589</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0</v>
      </c>
      <c r="D127" s="1667">
        <f t="shared" ref="D127:L127" si="14">SUM(D122:D126)</f>
        <v>0</v>
      </c>
      <c r="E127" s="1667">
        <f t="shared" si="14"/>
        <v>343804</v>
      </c>
      <c r="F127" s="1667">
        <f t="shared" si="14"/>
        <v>371418</v>
      </c>
      <c r="G127" s="1667">
        <f t="shared" si="14"/>
        <v>80247</v>
      </c>
      <c r="H127" s="1667">
        <f t="shared" si="14"/>
        <v>0</v>
      </c>
      <c r="I127" s="1667">
        <f t="shared" si="14"/>
        <v>0</v>
      </c>
      <c r="J127" s="1667">
        <f t="shared" si="14"/>
        <v>0</v>
      </c>
      <c r="K127" s="1667">
        <f t="shared" si="14"/>
        <v>795469</v>
      </c>
      <c r="L127" s="1667">
        <f t="shared" si="14"/>
        <v>953589</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0</v>
      </c>
      <c r="D129" s="1674">
        <f t="shared" ref="D129:L129" si="15">SUM(D120,D127,D128)</f>
        <v>0</v>
      </c>
      <c r="E129" s="1674">
        <f t="shared" si="15"/>
        <v>343804</v>
      </c>
      <c r="F129" s="1674">
        <f t="shared" si="15"/>
        <v>371418</v>
      </c>
      <c r="G129" s="1674">
        <f t="shared" si="15"/>
        <v>80247</v>
      </c>
      <c r="H129" s="1674">
        <f t="shared" si="15"/>
        <v>0</v>
      </c>
      <c r="I129" s="1674">
        <f t="shared" si="15"/>
        <v>0</v>
      </c>
      <c r="J129" s="1674">
        <f t="shared" si="15"/>
        <v>0</v>
      </c>
      <c r="K129" s="1674">
        <f t="shared" si="15"/>
        <v>795469</v>
      </c>
      <c r="L129" s="1674">
        <f t="shared" si="15"/>
        <v>953589</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1841</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13056</v>
      </c>
      <c r="F136" s="613"/>
      <c r="G136" s="613"/>
      <c r="H136" s="466">
        <v>0</v>
      </c>
      <c r="I136" s="475"/>
      <c r="J136" s="613"/>
      <c r="K136" s="1669">
        <f>SUM(E136,H136)</f>
        <v>13056</v>
      </c>
      <c r="L136" s="466">
        <v>20000</v>
      </c>
    </row>
    <row r="137" spans="1:14" ht="12.75" customHeight="1" thickBot="1" x14ac:dyDescent="0.25">
      <c r="A137" s="1665" t="s">
        <v>480</v>
      </c>
      <c r="B137" s="1675">
        <v>4100</v>
      </c>
      <c r="C137" s="613"/>
      <c r="D137" s="613"/>
      <c r="E137" s="1667">
        <f>SUM(E133:E136)</f>
        <v>13056</v>
      </c>
      <c r="F137" s="613"/>
      <c r="G137" s="613"/>
      <c r="H137" s="1667">
        <f>SUM(H133:H136)</f>
        <v>0</v>
      </c>
      <c r="I137" s="475"/>
      <c r="J137" s="613"/>
      <c r="K137" s="1667">
        <f>SUM(K133:K136)</f>
        <v>13056</v>
      </c>
      <c r="L137" s="1667">
        <f>SUM(L133:L136)</f>
        <v>20000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13056</v>
      </c>
      <c r="F139" s="613"/>
      <c r="G139" s="613"/>
      <c r="H139" s="1676">
        <f>SUM(H137:H138)</f>
        <v>0</v>
      </c>
      <c r="I139" s="475"/>
      <c r="J139" s="613"/>
      <c r="K139" s="1669">
        <f>SUM(K137,K138)</f>
        <v>13056</v>
      </c>
      <c r="L139" s="1676">
        <f>SUM(L137,L138)</f>
        <v>20000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15000</v>
      </c>
    </row>
    <row r="151" spans="1:14" ht="12.75" customHeight="1" thickTop="1" thickBot="1" x14ac:dyDescent="0.25">
      <c r="A151" s="2290" t="s">
        <v>620</v>
      </c>
      <c r="B151" s="2272"/>
      <c r="C151" s="1667">
        <f>SUM(C129,C130,C139,C149,C150)</f>
        <v>0</v>
      </c>
      <c r="D151" s="1667">
        <f t="shared" ref="D151:K151" si="16">SUM(D129,D130,D139,D149,D150)</f>
        <v>0</v>
      </c>
      <c r="E151" s="1667">
        <f t="shared" si="16"/>
        <v>356860</v>
      </c>
      <c r="F151" s="1667">
        <f t="shared" si="16"/>
        <v>371418</v>
      </c>
      <c r="G151" s="1667">
        <f t="shared" si="16"/>
        <v>80247</v>
      </c>
      <c r="H151" s="1667">
        <f t="shared" si="16"/>
        <v>0</v>
      </c>
      <c r="I151" s="1667">
        <f t="shared" si="16"/>
        <v>0</v>
      </c>
      <c r="J151" s="1667">
        <f t="shared" si="16"/>
        <v>0</v>
      </c>
      <c r="K151" s="1667">
        <f t="shared" si="16"/>
        <v>808525</v>
      </c>
      <c r="L151" s="1667">
        <f>SUM(L129,L130,L139,L149,L150)</f>
        <v>988589</v>
      </c>
    </row>
    <row r="152" spans="1:14" ht="12.75" customHeight="1" thickTop="1" x14ac:dyDescent="0.2">
      <c r="A152" s="2293" t="s">
        <v>1178</v>
      </c>
      <c r="B152" s="2294"/>
      <c r="C152" s="615"/>
      <c r="D152" s="615"/>
      <c r="E152" s="615"/>
      <c r="F152" s="615"/>
      <c r="G152" s="615"/>
      <c r="H152" s="615"/>
      <c r="I152" s="615"/>
      <c r="J152" s="613"/>
      <c r="K152" s="1681">
        <f>'Revenues 9-14'!D268-'Expenditures 15-22'!K151</f>
        <v>408003</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78" t="s">
        <v>621</v>
      </c>
      <c r="B154" s="2280"/>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1842</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1841</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1843</v>
      </c>
      <c r="C158" s="613"/>
      <c r="D158" s="613"/>
      <c r="E158" s="613"/>
      <c r="F158" s="613"/>
      <c r="G158" s="613"/>
      <c r="H158" s="467">
        <v>0</v>
      </c>
      <c r="I158" s="613"/>
      <c r="J158" s="613"/>
      <c r="K158" s="1668">
        <f>H158</f>
        <v>0</v>
      </c>
      <c r="L158" s="467">
        <v>0</v>
      </c>
      <c r="M158" s="616"/>
      <c r="N158" s="616"/>
    </row>
    <row r="159" spans="1:14" s="617" customFormat="1" ht="12" x14ac:dyDescent="0.2">
      <c r="A159" s="1823" t="s">
        <v>1844</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1845</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76882</v>
      </c>
      <c r="I169" s="613"/>
      <c r="J169" s="613"/>
      <c r="K169" s="1668">
        <f>SUM(C169:H169)</f>
        <v>76882</v>
      </c>
      <c r="L169" s="653">
        <v>76882</v>
      </c>
    </row>
    <row r="170" spans="1:14" ht="33.75" customHeight="1" x14ac:dyDescent="0.2">
      <c r="A170" s="666" t="s">
        <v>1669</v>
      </c>
      <c r="B170" s="668" t="s">
        <v>31</v>
      </c>
      <c r="C170" s="613"/>
      <c r="D170" s="613"/>
      <c r="E170" s="613"/>
      <c r="F170" s="613"/>
      <c r="G170" s="613"/>
      <c r="H170" s="566">
        <v>1105305</v>
      </c>
      <c r="I170" s="613"/>
      <c r="J170" s="613"/>
      <c r="K170" s="1668">
        <f>SUM(C170:J170)</f>
        <v>1105305</v>
      </c>
      <c r="L170" s="566">
        <v>1105306</v>
      </c>
    </row>
    <row r="171" spans="1:14" ht="15.75" customHeight="1" x14ac:dyDescent="0.2">
      <c r="A171" s="618" t="s">
        <v>766</v>
      </c>
      <c r="B171" s="669" t="s">
        <v>84</v>
      </c>
      <c r="C171" s="613"/>
      <c r="D171" s="613"/>
      <c r="E171" s="466">
        <v>0</v>
      </c>
      <c r="F171" s="613"/>
      <c r="G171" s="613"/>
      <c r="H171" s="566">
        <v>0</v>
      </c>
      <c r="I171" s="475"/>
      <c r="J171" s="613"/>
      <c r="K171" s="1668">
        <f>SUM(C171:J171)</f>
        <v>0</v>
      </c>
      <c r="L171" s="566">
        <v>0</v>
      </c>
    </row>
    <row r="172" spans="1:14" ht="12.75" customHeight="1" thickBot="1" x14ac:dyDescent="0.25">
      <c r="A172" s="1665" t="s">
        <v>638</v>
      </c>
      <c r="B172" s="1666" t="s">
        <v>492</v>
      </c>
      <c r="C172" s="613"/>
      <c r="D172" s="613"/>
      <c r="E172" s="1674">
        <f>SUM(E168,E169,E170,E171)</f>
        <v>0</v>
      </c>
      <c r="F172" s="613"/>
      <c r="G172" s="613"/>
      <c r="H172" s="1674">
        <f>SUM(H168,H169,H170,H171)</f>
        <v>1182187</v>
      </c>
      <c r="I172" s="635"/>
      <c r="J172" s="613"/>
      <c r="K172" s="1674">
        <f>SUM(K168,K169,K170,K171)</f>
        <v>1182187</v>
      </c>
      <c r="L172" s="1674">
        <f>SUM(L168,L169,L170,L171)</f>
        <v>1182188</v>
      </c>
    </row>
    <row r="173" spans="1:14" ht="15.75" customHeight="1" thickTop="1" thickBot="1" x14ac:dyDescent="0.25">
      <c r="A173" s="1616" t="s">
        <v>85</v>
      </c>
      <c r="B173" s="1608" t="s">
        <v>861</v>
      </c>
      <c r="C173" s="613"/>
      <c r="D173" s="613"/>
      <c r="E173" s="620"/>
      <c r="F173" s="613"/>
      <c r="G173" s="613"/>
      <c r="H173" s="623"/>
      <c r="I173" s="635"/>
      <c r="J173" s="613"/>
      <c r="K173" s="620"/>
      <c r="L173" s="573">
        <v>10000</v>
      </c>
    </row>
    <row r="174" spans="1:14" ht="12.75" customHeight="1" thickTop="1" thickBot="1" x14ac:dyDescent="0.25">
      <c r="A174" s="1686" t="s">
        <v>90</v>
      </c>
      <c r="B174" s="1687"/>
      <c r="C174" s="613"/>
      <c r="D174" s="613"/>
      <c r="E174" s="1674">
        <f>SUM(E172,E173)</f>
        <v>0</v>
      </c>
      <c r="F174" s="613"/>
      <c r="G174" s="613"/>
      <c r="H174" s="1674">
        <f>SUM(H160,H172,H173)</f>
        <v>1182187</v>
      </c>
      <c r="I174" s="635"/>
      <c r="J174" s="613"/>
      <c r="K174" s="1674">
        <f>SUM(K160,K172,K173)</f>
        <v>1182187</v>
      </c>
      <c r="L174" s="1674">
        <f>SUM(L160,L172,L173)</f>
        <v>1192188</v>
      </c>
    </row>
    <row r="175" spans="1:14" ht="13.5" thickTop="1" x14ac:dyDescent="0.2">
      <c r="A175" s="2300" t="s">
        <v>996</v>
      </c>
      <c r="B175" s="2301"/>
      <c r="C175" s="613"/>
      <c r="D175" s="613"/>
      <c r="E175" s="613"/>
      <c r="F175" s="613"/>
      <c r="G175" s="613"/>
      <c r="H175" s="615"/>
      <c r="I175" s="613"/>
      <c r="J175" s="613"/>
      <c r="K175" s="1681">
        <f>'Revenues 9-14'!E268-'Expenditures 15-22'!K174</f>
        <v>-279253</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2056</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327860</v>
      </c>
      <c r="D182" s="466">
        <v>16551</v>
      </c>
      <c r="E182" s="466">
        <v>33864</v>
      </c>
      <c r="F182" s="466">
        <v>127664</v>
      </c>
      <c r="G182" s="466">
        <v>130500</v>
      </c>
      <c r="H182" s="466">
        <v>0</v>
      </c>
      <c r="I182" s="467">
        <v>0</v>
      </c>
      <c r="J182" s="467">
        <v>0</v>
      </c>
      <c r="K182" s="1668">
        <f>SUM(C182:J182)</f>
        <v>636439</v>
      </c>
      <c r="L182" s="466">
        <v>725662</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327860</v>
      </c>
      <c r="D184" s="1674">
        <f t="shared" ref="D184:J184" si="17">SUM(D180,D182,D183)</f>
        <v>16551</v>
      </c>
      <c r="E184" s="1674">
        <f t="shared" si="17"/>
        <v>33864</v>
      </c>
      <c r="F184" s="1674">
        <f t="shared" si="17"/>
        <v>127664</v>
      </c>
      <c r="G184" s="1674">
        <f t="shared" si="17"/>
        <v>130500</v>
      </c>
      <c r="H184" s="1674">
        <f t="shared" si="17"/>
        <v>0</v>
      </c>
      <c r="I184" s="1674">
        <f t="shared" si="17"/>
        <v>0</v>
      </c>
      <c r="J184" s="1674">
        <f t="shared" si="17"/>
        <v>0</v>
      </c>
      <c r="K184" s="1674">
        <f>SUM(K180,K182,K183)</f>
        <v>636439</v>
      </c>
      <c r="L184" s="1674">
        <f>SUM(L180, L182:L183)</f>
        <v>725662</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1670</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20000</v>
      </c>
    </row>
    <row r="210" spans="1:14" ht="12.75" customHeight="1" thickTop="1" thickBot="1" x14ac:dyDescent="0.25">
      <c r="A210" s="1689" t="s">
        <v>277</v>
      </c>
      <c r="B210" s="1690"/>
      <c r="C210" s="1667">
        <f>SUM(C184,C185)</f>
        <v>327860</v>
      </c>
      <c r="D210" s="1667">
        <f>SUM(D184,D185)</f>
        <v>16551</v>
      </c>
      <c r="E210" s="1667">
        <f>SUM(E184,E185,E196)</f>
        <v>33864</v>
      </c>
      <c r="F210" s="1667">
        <f>SUM(F184,F185)</f>
        <v>127664</v>
      </c>
      <c r="G210" s="1667">
        <f>SUM(G184,G185)</f>
        <v>130500</v>
      </c>
      <c r="H210" s="1667">
        <f>SUM(H184,H185,H196,H208,H209)</f>
        <v>0</v>
      </c>
      <c r="I210" s="1667">
        <f>SUM(I184,I185)</f>
        <v>0</v>
      </c>
      <c r="J210" s="1667">
        <f>SUM(J184,J185)</f>
        <v>0</v>
      </c>
      <c r="K210" s="1668">
        <f>SUM(K184,K185,K196,K208,K209)</f>
        <v>636439</v>
      </c>
      <c r="L210" s="1667">
        <f>SUM(L184,L185,L196,L208,L209)</f>
        <v>745662</v>
      </c>
    </row>
    <row r="211" spans="1:14" ht="13.5" thickTop="1" x14ac:dyDescent="0.2">
      <c r="A211" s="2300" t="s">
        <v>996</v>
      </c>
      <c r="B211" s="2301"/>
      <c r="C211" s="615"/>
      <c r="D211" s="615"/>
      <c r="E211" s="615"/>
      <c r="F211" s="615"/>
      <c r="G211" s="615"/>
      <c r="H211" s="615"/>
      <c r="I211" s="613"/>
      <c r="J211" s="613"/>
      <c r="K211" s="1681">
        <f>'Revenues 9-14'!F268-'Expenditures 15-22'!K210</f>
        <v>129612</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95" t="s">
        <v>965</v>
      </c>
      <c r="B213" s="2296"/>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79326</v>
      </c>
      <c r="E215" s="613"/>
      <c r="F215" s="613"/>
      <c r="G215" s="613"/>
      <c r="H215" s="613"/>
      <c r="I215" s="613"/>
      <c r="J215" s="613"/>
      <c r="K215" s="1668">
        <f>D215</f>
        <v>79326</v>
      </c>
      <c r="L215" s="466">
        <v>58516</v>
      </c>
    </row>
    <row r="216" spans="1:14" x14ac:dyDescent="0.2">
      <c r="A216" s="1501" t="s">
        <v>163</v>
      </c>
      <c r="B216" s="611" t="s">
        <v>967</v>
      </c>
      <c r="C216" s="613"/>
      <c r="D216" s="467">
        <v>0</v>
      </c>
      <c r="E216" s="613"/>
      <c r="F216" s="613"/>
      <c r="G216" s="613"/>
      <c r="H216" s="613"/>
      <c r="I216" s="613"/>
      <c r="J216" s="613"/>
      <c r="K216" s="1668">
        <f t="shared" ref="K216:K228" si="19">D216</f>
        <v>0</v>
      </c>
      <c r="L216" s="466">
        <v>19125</v>
      </c>
    </row>
    <row r="217" spans="1:14" x14ac:dyDescent="0.2">
      <c r="A217" s="1501" t="s">
        <v>164</v>
      </c>
      <c r="B217" s="611">
        <v>1200</v>
      </c>
      <c r="C217" s="613"/>
      <c r="D217" s="466">
        <v>60705</v>
      </c>
      <c r="E217" s="613"/>
      <c r="F217" s="613"/>
      <c r="G217" s="613"/>
      <c r="H217" s="613"/>
      <c r="I217" s="613"/>
      <c r="J217" s="613"/>
      <c r="K217" s="1668">
        <f t="shared" si="19"/>
        <v>60705</v>
      </c>
      <c r="L217" s="466">
        <v>62594</v>
      </c>
    </row>
    <row r="218" spans="1:14" x14ac:dyDescent="0.2">
      <c r="A218" s="1501" t="s">
        <v>278</v>
      </c>
      <c r="B218" s="611" t="s">
        <v>968</v>
      </c>
      <c r="C218" s="613"/>
      <c r="D218" s="467">
        <v>4222</v>
      </c>
      <c r="E218" s="613"/>
      <c r="F218" s="613"/>
      <c r="G218" s="613"/>
      <c r="H218" s="613"/>
      <c r="I218" s="613"/>
      <c r="J218" s="613"/>
      <c r="K218" s="1668">
        <f t="shared" si="19"/>
        <v>4222</v>
      </c>
      <c r="L218" s="466">
        <v>4883</v>
      </c>
    </row>
    <row r="219" spans="1:14" x14ac:dyDescent="0.2">
      <c r="A219" s="1501" t="s">
        <v>279</v>
      </c>
      <c r="B219" s="611">
        <v>1250</v>
      </c>
      <c r="C219" s="613"/>
      <c r="D219" s="466">
        <v>14068</v>
      </c>
      <c r="E219" s="613"/>
      <c r="F219" s="613"/>
      <c r="G219" s="613"/>
      <c r="H219" s="613"/>
      <c r="I219" s="613"/>
      <c r="J219" s="613"/>
      <c r="K219" s="1668">
        <f t="shared" si="19"/>
        <v>14068</v>
      </c>
      <c r="L219" s="466">
        <v>18976</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2826</v>
      </c>
      <c r="E222" s="613"/>
      <c r="F222" s="613"/>
      <c r="G222" s="613"/>
      <c r="H222" s="613"/>
      <c r="I222" s="613"/>
      <c r="J222" s="613"/>
      <c r="K222" s="1668">
        <f t="shared" si="19"/>
        <v>2826</v>
      </c>
      <c r="L222" s="466">
        <v>2239</v>
      </c>
    </row>
    <row r="223" spans="1:14" x14ac:dyDescent="0.2">
      <c r="A223" s="1501" t="s">
        <v>963</v>
      </c>
      <c r="B223" s="611">
        <v>1500</v>
      </c>
      <c r="C223" s="613"/>
      <c r="D223" s="466">
        <v>9614</v>
      </c>
      <c r="E223" s="613"/>
      <c r="F223" s="613"/>
      <c r="G223" s="613"/>
      <c r="H223" s="613"/>
      <c r="I223" s="613"/>
      <c r="J223" s="613"/>
      <c r="K223" s="1668">
        <f t="shared" si="19"/>
        <v>9614</v>
      </c>
      <c r="L223" s="466">
        <v>13395</v>
      </c>
    </row>
    <row r="224" spans="1:14" x14ac:dyDescent="0.2">
      <c r="A224" s="1501" t="s">
        <v>964</v>
      </c>
      <c r="B224" s="611">
        <v>1600</v>
      </c>
      <c r="C224" s="613"/>
      <c r="D224" s="466">
        <v>19</v>
      </c>
      <c r="E224" s="613"/>
      <c r="F224" s="613"/>
      <c r="G224" s="613"/>
      <c r="H224" s="613"/>
      <c r="I224" s="613"/>
      <c r="J224" s="613"/>
      <c r="K224" s="1668">
        <f t="shared" si="19"/>
        <v>19</v>
      </c>
      <c r="L224" s="466">
        <v>0</v>
      </c>
    </row>
    <row r="225" spans="1:12" x14ac:dyDescent="0.2">
      <c r="A225" s="1501" t="s">
        <v>987</v>
      </c>
      <c r="B225" s="611">
        <v>1650</v>
      </c>
      <c r="C225" s="613"/>
      <c r="D225" s="466">
        <v>45</v>
      </c>
      <c r="E225" s="613"/>
      <c r="F225" s="613"/>
      <c r="G225" s="613"/>
      <c r="H225" s="613"/>
      <c r="I225" s="613"/>
      <c r="J225" s="613"/>
      <c r="K225" s="1668">
        <f t="shared" si="19"/>
        <v>45</v>
      </c>
      <c r="L225" s="466">
        <v>7</v>
      </c>
    </row>
    <row r="226" spans="1:12" x14ac:dyDescent="0.2">
      <c r="A226" s="1501" t="s">
        <v>724</v>
      </c>
      <c r="B226" s="611" t="s">
        <v>162</v>
      </c>
      <c r="C226" s="613"/>
      <c r="D226" s="467">
        <v>813</v>
      </c>
      <c r="E226" s="613"/>
      <c r="F226" s="613"/>
      <c r="G226" s="613"/>
      <c r="H226" s="613"/>
      <c r="I226" s="613"/>
      <c r="J226" s="613"/>
      <c r="K226" s="1668">
        <f t="shared" si="19"/>
        <v>813</v>
      </c>
      <c r="L226" s="466">
        <v>583</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171638</v>
      </c>
      <c r="E229" s="613"/>
      <c r="F229" s="613"/>
      <c r="G229" s="613"/>
      <c r="H229" s="613"/>
      <c r="I229" s="613"/>
      <c r="J229" s="613"/>
      <c r="K229" s="1667">
        <f>SUM(K215:K228)</f>
        <v>171638</v>
      </c>
      <c r="L229" s="1667">
        <f>SUM(L215:L228)</f>
        <v>180318</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994</v>
      </c>
      <c r="E232" s="613"/>
      <c r="F232" s="613"/>
      <c r="G232" s="613"/>
      <c r="H232" s="613"/>
      <c r="I232" s="613"/>
      <c r="J232" s="613"/>
      <c r="K232" s="1668">
        <f t="shared" ref="K232:K237" si="20">D232</f>
        <v>994</v>
      </c>
      <c r="L232" s="466">
        <v>1001</v>
      </c>
    </row>
    <row r="233" spans="1:12" x14ac:dyDescent="0.2">
      <c r="A233" s="1501" t="s">
        <v>1090</v>
      </c>
      <c r="B233" s="611">
        <v>2120</v>
      </c>
      <c r="C233" s="613"/>
      <c r="D233" s="466">
        <v>4675</v>
      </c>
      <c r="E233" s="613"/>
      <c r="F233" s="613"/>
      <c r="G233" s="613"/>
      <c r="H233" s="613"/>
      <c r="I233" s="613"/>
      <c r="J233" s="613"/>
      <c r="K233" s="1668">
        <f t="shared" si="20"/>
        <v>4675</v>
      </c>
      <c r="L233" s="466">
        <v>5668</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551</v>
      </c>
      <c r="E236" s="613"/>
      <c r="F236" s="613"/>
      <c r="G236" s="613"/>
      <c r="H236" s="613"/>
      <c r="I236" s="613"/>
      <c r="J236" s="613"/>
      <c r="K236" s="1668">
        <f t="shared" si="20"/>
        <v>551</v>
      </c>
      <c r="L236" s="466">
        <v>587</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6220</v>
      </c>
      <c r="E238" s="613"/>
      <c r="F238" s="613"/>
      <c r="G238" s="613"/>
      <c r="H238" s="613"/>
      <c r="I238" s="613"/>
      <c r="J238" s="613"/>
      <c r="K238" s="1667">
        <f>SUM(K232:K237)</f>
        <v>6220</v>
      </c>
      <c r="L238" s="1667">
        <f>SUM(L232:L237)</f>
        <v>7256</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370</v>
      </c>
      <c r="E240" s="613"/>
      <c r="F240" s="613"/>
      <c r="G240" s="613"/>
      <c r="H240" s="613"/>
      <c r="I240" s="613"/>
      <c r="J240" s="613"/>
      <c r="K240" s="1669">
        <f>D240</f>
        <v>370</v>
      </c>
      <c r="L240" s="479">
        <v>884</v>
      </c>
    </row>
    <row r="241" spans="1:12" x14ac:dyDescent="0.2">
      <c r="A241" s="1501" t="s">
        <v>815</v>
      </c>
      <c r="B241" s="611">
        <v>2220</v>
      </c>
      <c r="C241" s="613"/>
      <c r="D241" s="466">
        <v>30730</v>
      </c>
      <c r="E241" s="613"/>
      <c r="F241" s="613"/>
      <c r="G241" s="613"/>
      <c r="H241" s="613"/>
      <c r="I241" s="613"/>
      <c r="J241" s="613"/>
      <c r="K241" s="1669">
        <f>D241</f>
        <v>30730</v>
      </c>
      <c r="L241" s="466">
        <v>32517</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31100</v>
      </c>
      <c r="E243" s="613"/>
      <c r="F243" s="613"/>
      <c r="G243" s="613"/>
      <c r="H243" s="613"/>
      <c r="I243" s="613"/>
      <c r="J243" s="613"/>
      <c r="K243" s="1667">
        <f>SUM(K240:K242)</f>
        <v>31100</v>
      </c>
      <c r="L243" s="1667">
        <f>SUM(L240:L242)</f>
        <v>33401</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8584</v>
      </c>
      <c r="E245" s="613"/>
      <c r="F245" s="613"/>
      <c r="G245" s="613"/>
      <c r="H245" s="613"/>
      <c r="I245" s="613"/>
      <c r="J245" s="613"/>
      <c r="K245" s="1669">
        <f>D245</f>
        <v>8584</v>
      </c>
      <c r="L245" s="479">
        <v>9233</v>
      </c>
    </row>
    <row r="246" spans="1:12" x14ac:dyDescent="0.2">
      <c r="A246" s="1501" t="s">
        <v>818</v>
      </c>
      <c r="B246" s="611">
        <v>2320</v>
      </c>
      <c r="C246" s="613"/>
      <c r="D246" s="466">
        <v>1897</v>
      </c>
      <c r="E246" s="613"/>
      <c r="F246" s="613"/>
      <c r="G246" s="613"/>
      <c r="H246" s="613"/>
      <c r="I246" s="613"/>
      <c r="J246" s="613"/>
      <c r="K246" s="1669">
        <f t="shared" ref="K246:K256" si="21">D246</f>
        <v>1897</v>
      </c>
      <c r="L246" s="466">
        <v>1966</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1801</v>
      </c>
      <c r="B249" s="680" t="s">
        <v>282</v>
      </c>
      <c r="C249" s="613"/>
      <c r="D249" s="473">
        <v>0</v>
      </c>
      <c r="E249" s="613"/>
      <c r="F249" s="613"/>
      <c r="G249" s="613"/>
      <c r="H249" s="613"/>
      <c r="I249" s="613"/>
      <c r="J249" s="613"/>
      <c r="K249" s="1669">
        <f t="shared" si="21"/>
        <v>0</v>
      </c>
      <c r="L249" s="466">
        <v>0</v>
      </c>
    </row>
    <row r="250" spans="1:12" x14ac:dyDescent="0.2">
      <c r="A250" s="1502" t="s">
        <v>1802</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1962</v>
      </c>
      <c r="E252" s="613"/>
      <c r="F252" s="613"/>
      <c r="G252" s="613"/>
      <c r="H252" s="613"/>
      <c r="I252" s="613"/>
      <c r="J252" s="613"/>
      <c r="K252" s="1669">
        <f t="shared" si="21"/>
        <v>1962</v>
      </c>
      <c r="L252" s="466">
        <v>3044</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12443</v>
      </c>
      <c r="E257" s="613"/>
      <c r="F257" s="613"/>
      <c r="G257" s="613"/>
      <c r="H257" s="613"/>
      <c r="I257" s="613"/>
      <c r="J257" s="613"/>
      <c r="K257" s="1667">
        <f>SUM(K245:K256)</f>
        <v>12443</v>
      </c>
      <c r="L257" s="1667">
        <f>SUM(L245:L256)</f>
        <v>14243</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45222</v>
      </c>
      <c r="E259" s="613"/>
      <c r="F259" s="613"/>
      <c r="G259" s="613"/>
      <c r="H259" s="613"/>
      <c r="I259" s="613"/>
      <c r="J259" s="613"/>
      <c r="K259" s="1669">
        <f>D259</f>
        <v>45222</v>
      </c>
      <c r="L259" s="479">
        <v>47934</v>
      </c>
    </row>
    <row r="260" spans="1:14" s="594" customFormat="1" x14ac:dyDescent="0.2">
      <c r="A260" s="1519" t="s">
        <v>1800</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45222</v>
      </c>
      <c r="E261" s="613"/>
      <c r="F261" s="613"/>
      <c r="G261" s="613"/>
      <c r="H261" s="613"/>
      <c r="I261" s="613"/>
      <c r="J261" s="613"/>
      <c r="K261" s="1667">
        <f>SUM(K259:K260)</f>
        <v>45222</v>
      </c>
      <c r="L261" s="1667">
        <f>SUM(L259:L260)</f>
        <v>47934</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11509</v>
      </c>
      <c r="E264" s="613"/>
      <c r="F264" s="613"/>
      <c r="G264" s="613"/>
      <c r="H264" s="613"/>
      <c r="I264" s="613"/>
      <c r="J264" s="613"/>
      <c r="K264" s="1669">
        <f t="shared" ref="K264:K269" si="22">D264</f>
        <v>11509</v>
      </c>
      <c r="L264" s="466">
        <v>11406</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88709</v>
      </c>
      <c r="E266" s="613"/>
      <c r="F266" s="613"/>
      <c r="G266" s="613"/>
      <c r="H266" s="613"/>
      <c r="I266" s="613"/>
      <c r="J266" s="613"/>
      <c r="K266" s="1669">
        <f t="shared" si="22"/>
        <v>88709</v>
      </c>
      <c r="L266" s="466">
        <v>86889</v>
      </c>
    </row>
    <row r="267" spans="1:14" x14ac:dyDescent="0.2">
      <c r="A267" s="1501" t="s">
        <v>953</v>
      </c>
      <c r="B267" s="611">
        <v>2550</v>
      </c>
      <c r="C267" s="613"/>
      <c r="D267" s="466">
        <v>46175</v>
      </c>
      <c r="E267" s="613"/>
      <c r="F267" s="613"/>
      <c r="G267" s="613"/>
      <c r="H267" s="613"/>
      <c r="I267" s="613"/>
      <c r="J267" s="613"/>
      <c r="K267" s="1669">
        <f t="shared" si="22"/>
        <v>46175</v>
      </c>
      <c r="L267" s="466">
        <v>42700</v>
      </c>
    </row>
    <row r="268" spans="1:14" x14ac:dyDescent="0.2">
      <c r="A268" s="1501" t="s">
        <v>100</v>
      </c>
      <c r="B268" s="611">
        <v>2560</v>
      </c>
      <c r="C268" s="613"/>
      <c r="D268" s="466">
        <v>35498</v>
      </c>
      <c r="E268" s="613"/>
      <c r="F268" s="613"/>
      <c r="G268" s="613"/>
      <c r="H268" s="613"/>
      <c r="I268" s="613"/>
      <c r="J268" s="613"/>
      <c r="K268" s="1669">
        <f t="shared" si="22"/>
        <v>35498</v>
      </c>
      <c r="L268" s="466">
        <v>37266</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181891</v>
      </c>
      <c r="E270" s="613"/>
      <c r="F270" s="613"/>
      <c r="G270" s="613"/>
      <c r="H270" s="613"/>
      <c r="I270" s="613"/>
      <c r="J270" s="613"/>
      <c r="K270" s="1667">
        <f>SUM(K263:K269)</f>
        <v>181891</v>
      </c>
      <c r="L270" s="1667">
        <f>SUM(L263:L269)</f>
        <v>178261</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276876</v>
      </c>
      <c r="E279" s="613"/>
      <c r="F279" s="613"/>
      <c r="G279" s="613"/>
      <c r="H279" s="613"/>
      <c r="I279" s="613"/>
      <c r="J279" s="613"/>
      <c r="K279" s="1674">
        <f>SUM(K238,K243,K257,K261,K270,K277,K278)</f>
        <v>276876</v>
      </c>
      <c r="L279" s="1674">
        <f>SUM(L238,L243,L257,L261,L270,L277,L278)</f>
        <v>281095</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1841</v>
      </c>
      <c r="C282" s="613"/>
      <c r="D282" s="467">
        <v>0</v>
      </c>
      <c r="E282" s="613"/>
      <c r="F282" s="613"/>
      <c r="G282" s="613"/>
      <c r="H282" s="613"/>
      <c r="I282" s="613"/>
      <c r="J282" s="613"/>
      <c r="K282" s="1668">
        <f>D282</f>
        <v>0</v>
      </c>
      <c r="L282" s="467">
        <v>0</v>
      </c>
    </row>
    <row r="283" spans="1:12" x14ac:dyDescent="0.2">
      <c r="A283" s="1501" t="s">
        <v>304</v>
      </c>
      <c r="B283" s="611">
        <v>4120</v>
      </c>
      <c r="C283" s="613"/>
      <c r="D283" s="466">
        <v>1065</v>
      </c>
      <c r="E283" s="613"/>
      <c r="F283" s="613"/>
      <c r="G283" s="613"/>
      <c r="H283" s="613"/>
      <c r="I283" s="613"/>
      <c r="J283" s="613"/>
      <c r="K283" s="1668">
        <f>D283</f>
        <v>1065</v>
      </c>
      <c r="L283" s="466">
        <v>5947</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1065</v>
      </c>
      <c r="E285" s="613"/>
      <c r="F285" s="613"/>
      <c r="G285" s="613"/>
      <c r="H285" s="613"/>
      <c r="I285" s="613"/>
      <c r="J285" s="613"/>
      <c r="K285" s="1667">
        <f>SUM(K282:K284)</f>
        <v>1065</v>
      </c>
      <c r="L285" s="1667">
        <f>SUM(L282:L284)</f>
        <v>5947</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291" t="s">
        <v>505</v>
      </c>
      <c r="B295" s="2292"/>
      <c r="C295" s="613"/>
      <c r="D295" s="1667">
        <f>SUM(D229,D279,D280,D285)</f>
        <v>449579</v>
      </c>
      <c r="E295" s="613"/>
      <c r="F295" s="613"/>
      <c r="G295" s="613"/>
      <c r="H295" s="1667">
        <f>H293</f>
        <v>0</v>
      </c>
      <c r="I295" s="613"/>
      <c r="J295" s="613"/>
      <c r="K295" s="1667">
        <f>SUM(K229,K279,K280,K285,K293,K294)</f>
        <v>449579</v>
      </c>
      <c r="L295" s="1667">
        <f>SUM(L229,L279,L280,L285,L293,L294)</f>
        <v>467360</v>
      </c>
    </row>
    <row r="296" spans="1:14" ht="13.5" thickTop="1" x14ac:dyDescent="0.2">
      <c r="A296" s="2300" t="s">
        <v>996</v>
      </c>
      <c r="B296" s="2301"/>
      <c r="C296" s="613"/>
      <c r="D296" s="615"/>
      <c r="E296" s="613"/>
      <c r="F296" s="613"/>
      <c r="G296" s="613"/>
      <c r="H296" s="684"/>
      <c r="I296" s="613"/>
      <c r="J296" s="613"/>
      <c r="K296" s="1681">
        <f>'Revenues 9-14'!G268-'Expenditures 15-22'!K295</f>
        <v>107547</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83" t="s">
        <v>143</v>
      </c>
      <c r="B298" s="2277"/>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9165</v>
      </c>
      <c r="F301" s="466">
        <v>0</v>
      </c>
      <c r="G301" s="466">
        <v>0</v>
      </c>
      <c r="H301" s="466">
        <v>0</v>
      </c>
      <c r="I301" s="467">
        <v>0</v>
      </c>
      <c r="J301" s="467">
        <v>0</v>
      </c>
      <c r="K301" s="1668">
        <f>SUM(C301:J301)</f>
        <v>9165</v>
      </c>
      <c r="L301" s="467">
        <v>35000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9165</v>
      </c>
      <c r="F303" s="1674">
        <f t="shared" si="23"/>
        <v>0</v>
      </c>
      <c r="G303" s="1674">
        <f t="shared" si="23"/>
        <v>0</v>
      </c>
      <c r="H303" s="1674">
        <f t="shared" si="23"/>
        <v>0</v>
      </c>
      <c r="I303" s="1674">
        <f t="shared" si="23"/>
        <v>0</v>
      </c>
      <c r="J303" s="1674">
        <f t="shared" si="23"/>
        <v>0</v>
      </c>
      <c r="K303" s="1674">
        <f t="shared" si="23"/>
        <v>9165</v>
      </c>
      <c r="L303" s="1674">
        <f t="shared" si="23"/>
        <v>35000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1846</v>
      </c>
      <c r="B306" s="687" t="s">
        <v>1841</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288" t="s">
        <v>277</v>
      </c>
      <c r="B312" s="2289"/>
      <c r="C312" s="1667">
        <f>SUM(C303)</f>
        <v>0</v>
      </c>
      <c r="D312" s="1667">
        <f>SUM(D303)</f>
        <v>0</v>
      </c>
      <c r="E312" s="1667">
        <f>SUM(E303,E310)</f>
        <v>9165</v>
      </c>
      <c r="F312" s="1667">
        <f>SUM(F303)</f>
        <v>0</v>
      </c>
      <c r="G312" s="1667">
        <f>SUM(G303)</f>
        <v>0</v>
      </c>
      <c r="H312" s="1667">
        <f>SUM(H303,H310)</f>
        <v>0</v>
      </c>
      <c r="I312" s="1667">
        <f>SUM(I303)</f>
        <v>0</v>
      </c>
      <c r="J312" s="1667">
        <f>SUM(J303)</f>
        <v>0</v>
      </c>
      <c r="K312" s="1667">
        <f>SUM(K303,K310,K311)</f>
        <v>9165</v>
      </c>
      <c r="L312" s="1667">
        <f>SUM(L303,L310,L311)</f>
        <v>35000</v>
      </c>
      <c r="M312" s="662"/>
      <c r="N312" s="662"/>
    </row>
    <row r="313" spans="1:14" ht="13.5" thickTop="1" x14ac:dyDescent="0.2">
      <c r="A313" s="2284" t="s">
        <v>996</v>
      </c>
      <c r="B313" s="2285"/>
      <c r="C313" s="623"/>
      <c r="D313" s="623"/>
      <c r="E313" s="623"/>
      <c r="F313" s="623"/>
      <c r="G313" s="623"/>
      <c r="H313" s="623"/>
      <c r="I313" s="623"/>
      <c r="J313" s="623"/>
      <c r="K313" s="1682">
        <f>'Revenues 9-14'!H268-'Expenditures 15-22'!K312</f>
        <v>311897</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97" t="s">
        <v>149</v>
      </c>
      <c r="B315" s="2298"/>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99" t="s">
        <v>898</v>
      </c>
      <c r="B317" s="2298"/>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1801</v>
      </c>
      <c r="B320" s="695" t="s">
        <v>282</v>
      </c>
      <c r="C320" s="467">
        <v>0</v>
      </c>
      <c r="D320" s="467">
        <v>0</v>
      </c>
      <c r="E320" s="467">
        <v>86473</v>
      </c>
      <c r="F320" s="467">
        <v>0</v>
      </c>
      <c r="G320" s="467">
        <v>0</v>
      </c>
      <c r="H320" s="467">
        <v>0</v>
      </c>
      <c r="I320" s="467">
        <v>0</v>
      </c>
      <c r="J320" s="467">
        <v>0</v>
      </c>
      <c r="K320" s="1668">
        <f t="shared" ref="K320:K327" si="24">SUM(C320:J320)</f>
        <v>86473</v>
      </c>
      <c r="L320" s="467">
        <v>86473</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1600</v>
      </c>
      <c r="M321" s="662"/>
      <c r="N321" s="662"/>
    </row>
    <row r="322" spans="1:14" s="671" customFormat="1" x14ac:dyDescent="0.2">
      <c r="A322" s="1516" t="s">
        <v>238</v>
      </c>
      <c r="B322" s="694" t="s">
        <v>284</v>
      </c>
      <c r="C322" s="467">
        <v>0</v>
      </c>
      <c r="D322" s="467">
        <v>0</v>
      </c>
      <c r="E322" s="467">
        <v>900</v>
      </c>
      <c r="F322" s="467">
        <v>0</v>
      </c>
      <c r="G322" s="467">
        <v>0</v>
      </c>
      <c r="H322" s="467">
        <v>0</v>
      </c>
      <c r="I322" s="467">
        <v>0</v>
      </c>
      <c r="J322" s="467">
        <v>0</v>
      </c>
      <c r="K322" s="1668">
        <f t="shared" si="24"/>
        <v>900</v>
      </c>
      <c r="L322" s="467">
        <v>1000</v>
      </c>
      <c r="M322" s="662"/>
      <c r="N322" s="662"/>
    </row>
    <row r="323" spans="1:14" s="671" customFormat="1" x14ac:dyDescent="0.2">
      <c r="A323" s="1516" t="s">
        <v>702</v>
      </c>
      <c r="B323" s="694" t="s">
        <v>285</v>
      </c>
      <c r="C323" s="467">
        <v>90238</v>
      </c>
      <c r="D323" s="467">
        <v>0</v>
      </c>
      <c r="E323" s="467">
        <v>52919</v>
      </c>
      <c r="F323" s="467">
        <v>0</v>
      </c>
      <c r="G323" s="467">
        <v>2870</v>
      </c>
      <c r="H323" s="467">
        <v>0</v>
      </c>
      <c r="I323" s="467">
        <v>0</v>
      </c>
      <c r="J323" s="467">
        <v>0</v>
      </c>
      <c r="K323" s="1668">
        <f t="shared" si="24"/>
        <v>146027</v>
      </c>
      <c r="L323" s="467">
        <v>176893</v>
      </c>
      <c r="M323" s="662"/>
      <c r="N323" s="662"/>
    </row>
    <row r="324" spans="1:14" s="671" customFormat="1" x14ac:dyDescent="0.2">
      <c r="A324" s="1516" t="s">
        <v>239</v>
      </c>
      <c r="B324" s="694" t="s">
        <v>286</v>
      </c>
      <c r="C324" s="467">
        <v>0</v>
      </c>
      <c r="D324" s="467">
        <v>0</v>
      </c>
      <c r="E324" s="467">
        <v>9639</v>
      </c>
      <c r="F324" s="467">
        <v>0</v>
      </c>
      <c r="G324" s="467">
        <v>0</v>
      </c>
      <c r="H324" s="467">
        <v>0</v>
      </c>
      <c r="I324" s="467">
        <v>0</v>
      </c>
      <c r="J324" s="467">
        <v>0</v>
      </c>
      <c r="K324" s="1668">
        <f t="shared" si="24"/>
        <v>9639</v>
      </c>
      <c r="L324" s="467">
        <v>10000</v>
      </c>
      <c r="M324" s="662"/>
      <c r="N324" s="662"/>
    </row>
    <row r="325" spans="1:14" s="671" customFormat="1" ht="22.5" x14ac:dyDescent="0.2">
      <c r="A325" s="1516" t="s">
        <v>1029</v>
      </c>
      <c r="B325" s="695" t="s">
        <v>287</v>
      </c>
      <c r="C325" s="467">
        <v>0</v>
      </c>
      <c r="D325" s="467">
        <v>0</v>
      </c>
      <c r="E325" s="467">
        <v>52059</v>
      </c>
      <c r="F325" s="467">
        <v>0</v>
      </c>
      <c r="G325" s="467">
        <v>19212</v>
      </c>
      <c r="H325" s="467">
        <v>0</v>
      </c>
      <c r="I325" s="467">
        <v>0</v>
      </c>
      <c r="J325" s="467">
        <v>0</v>
      </c>
      <c r="K325" s="1668">
        <f t="shared" si="24"/>
        <v>71271</v>
      </c>
      <c r="L325" s="467">
        <v>60200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21074</v>
      </c>
      <c r="F327" s="467">
        <v>292</v>
      </c>
      <c r="G327" s="467">
        <v>0</v>
      </c>
      <c r="H327" s="467">
        <v>0</v>
      </c>
      <c r="I327" s="467">
        <v>0</v>
      </c>
      <c r="J327" s="467">
        <v>0</v>
      </c>
      <c r="K327" s="1668">
        <f t="shared" si="24"/>
        <v>21366</v>
      </c>
      <c r="L327" s="467">
        <v>64052</v>
      </c>
      <c r="M327" s="662"/>
      <c r="N327" s="662"/>
    </row>
    <row r="328" spans="1:14" s="671" customFormat="1" x14ac:dyDescent="0.2">
      <c r="A328" s="1517" t="s">
        <v>472</v>
      </c>
      <c r="B328" s="687" t="s">
        <v>1132</v>
      </c>
      <c r="C328" s="473">
        <v>0</v>
      </c>
      <c r="D328" s="473">
        <v>0</v>
      </c>
      <c r="E328" s="473">
        <v>96730</v>
      </c>
      <c r="F328" s="473">
        <v>0</v>
      </c>
      <c r="G328" s="473">
        <v>0</v>
      </c>
      <c r="H328" s="473">
        <v>0</v>
      </c>
      <c r="I328" s="473">
        <v>0</v>
      </c>
      <c r="J328" s="473">
        <v>0</v>
      </c>
      <c r="K328" s="1696">
        <f>SUM(C328:J328)</f>
        <v>96730</v>
      </c>
      <c r="L328" s="473">
        <v>96730</v>
      </c>
      <c r="M328" s="662"/>
      <c r="N328" s="662"/>
    </row>
    <row r="329" spans="1:14" s="671" customFormat="1" x14ac:dyDescent="0.2">
      <c r="A329" s="1517" t="s">
        <v>1133</v>
      </c>
      <c r="B329" s="687" t="s">
        <v>1134</v>
      </c>
      <c r="C329" s="473">
        <v>0</v>
      </c>
      <c r="D329" s="473">
        <v>0</v>
      </c>
      <c r="E329" s="473">
        <v>34128</v>
      </c>
      <c r="F329" s="473">
        <v>0</v>
      </c>
      <c r="G329" s="473">
        <v>0</v>
      </c>
      <c r="H329" s="473">
        <v>0</v>
      </c>
      <c r="I329" s="473">
        <v>0</v>
      </c>
      <c r="J329" s="473">
        <v>0</v>
      </c>
      <c r="K329" s="1696">
        <f>SUM(C329:J329)</f>
        <v>34128</v>
      </c>
      <c r="L329" s="473">
        <v>64717</v>
      </c>
      <c r="M329" s="662"/>
      <c r="N329" s="662"/>
    </row>
    <row r="330" spans="1:14" s="671" customFormat="1" ht="12.75" customHeight="1" thickBot="1" x14ac:dyDescent="0.25">
      <c r="A330" s="1697" t="s">
        <v>717</v>
      </c>
      <c r="B330" s="1666" t="s">
        <v>569</v>
      </c>
      <c r="C330" s="1667">
        <f>SUM(C319:C329)</f>
        <v>90238</v>
      </c>
      <c r="D330" s="1667">
        <f t="shared" ref="D330:J330" si="25">SUM(D319:D329)</f>
        <v>0</v>
      </c>
      <c r="E330" s="1667">
        <f t="shared" si="25"/>
        <v>353922</v>
      </c>
      <c r="F330" s="1667">
        <f t="shared" si="25"/>
        <v>292</v>
      </c>
      <c r="G330" s="1667">
        <f t="shared" si="25"/>
        <v>22082</v>
      </c>
      <c r="H330" s="1667">
        <f t="shared" si="25"/>
        <v>0</v>
      </c>
      <c r="I330" s="1667">
        <f t="shared" si="25"/>
        <v>0</v>
      </c>
      <c r="J330" s="1667">
        <f t="shared" si="25"/>
        <v>0</v>
      </c>
      <c r="K330" s="1667">
        <f>SUM(K319:K329)</f>
        <v>466534</v>
      </c>
      <c r="L330" s="1667">
        <f>SUM(L319:L329)</f>
        <v>561665</v>
      </c>
      <c r="M330" s="662"/>
      <c r="N330" s="662"/>
    </row>
    <row r="331" spans="1:14" s="671" customFormat="1" ht="12.75" customHeight="1" thickTop="1" x14ac:dyDescent="0.2">
      <c r="A331" s="1828" t="s">
        <v>1847</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1841</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1843</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1848</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5000</v>
      </c>
    </row>
    <row r="342" spans="1:14" ht="12.75" customHeight="1" thickTop="1" thickBot="1" x14ac:dyDescent="0.25">
      <c r="A342" s="1683" t="s">
        <v>505</v>
      </c>
      <c r="B342" s="1698"/>
      <c r="C342" s="1667">
        <f>SUM(C330)</f>
        <v>90238</v>
      </c>
      <c r="D342" s="1667">
        <f>SUM(D330)</f>
        <v>0</v>
      </c>
      <c r="E342" s="1667">
        <f>SUM(E330)</f>
        <v>353922</v>
      </c>
      <c r="F342" s="1667">
        <f>SUM(F330)</f>
        <v>292</v>
      </c>
      <c r="G342" s="1667">
        <f>SUM(G330)</f>
        <v>22082</v>
      </c>
      <c r="H342" s="1667">
        <f>SUM(H330,H334,H340)</f>
        <v>0</v>
      </c>
      <c r="I342" s="1667">
        <f>SUM(I330)</f>
        <v>0</v>
      </c>
      <c r="J342" s="1667">
        <f>SUM(J330)</f>
        <v>0</v>
      </c>
      <c r="K342" s="1667">
        <f>SUM(K330,K334,K340)</f>
        <v>466534</v>
      </c>
      <c r="L342" s="1674">
        <f>SUM(L330,L340,L341)</f>
        <v>566665</v>
      </c>
    </row>
    <row r="343" spans="1:14" ht="12.75" customHeight="1" thickTop="1" x14ac:dyDescent="0.2">
      <c r="A343" s="2286" t="s">
        <v>996</v>
      </c>
      <c r="B343" s="2287"/>
      <c r="C343" s="613"/>
      <c r="D343" s="613"/>
      <c r="E343" s="613"/>
      <c r="F343" s="613"/>
      <c r="G343" s="613"/>
      <c r="H343" s="613"/>
      <c r="I343" s="613"/>
      <c r="J343" s="613"/>
      <c r="K343" s="1681">
        <f>'Revenues 9-14'!J268-'Expenditures 15-22'!K342</f>
        <v>151141</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76" t="s">
        <v>966</v>
      </c>
      <c r="B345" s="2277"/>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25185</v>
      </c>
      <c r="F349" s="466">
        <v>0</v>
      </c>
      <c r="G349" s="466">
        <v>88260</v>
      </c>
      <c r="H349" s="466">
        <v>0</v>
      </c>
      <c r="I349" s="467">
        <v>0</v>
      </c>
      <c r="J349" s="467">
        <v>0</v>
      </c>
      <c r="K349" s="1668">
        <f>SUM(C349:J349)</f>
        <v>113445</v>
      </c>
      <c r="L349" s="466">
        <v>166000</v>
      </c>
    </row>
    <row r="350" spans="1:14" ht="12.75" customHeight="1" thickBot="1" x14ac:dyDescent="0.25">
      <c r="A350" s="1665" t="s">
        <v>719</v>
      </c>
      <c r="B350" s="1666" t="s">
        <v>35</v>
      </c>
      <c r="C350" s="1667">
        <f>SUM(C348:C349)</f>
        <v>0</v>
      </c>
      <c r="D350" s="1667">
        <f t="shared" ref="D350:L350" si="26">SUM(D348:D349)</f>
        <v>0</v>
      </c>
      <c r="E350" s="1667">
        <f t="shared" si="26"/>
        <v>25185</v>
      </c>
      <c r="F350" s="1667">
        <f t="shared" si="26"/>
        <v>0</v>
      </c>
      <c r="G350" s="1667">
        <f t="shared" si="26"/>
        <v>88260</v>
      </c>
      <c r="H350" s="1667">
        <f t="shared" si="26"/>
        <v>0</v>
      </c>
      <c r="I350" s="1667">
        <f t="shared" si="26"/>
        <v>0</v>
      </c>
      <c r="J350" s="1667">
        <f t="shared" si="26"/>
        <v>0</v>
      </c>
      <c r="K350" s="1667">
        <f t="shared" si="26"/>
        <v>113445</v>
      </c>
      <c r="L350" s="1667">
        <f t="shared" si="26"/>
        <v>166000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25185</v>
      </c>
      <c r="F352" s="1667">
        <f t="shared" si="27"/>
        <v>0</v>
      </c>
      <c r="G352" s="1667">
        <f t="shared" si="27"/>
        <v>88260</v>
      </c>
      <c r="H352" s="1667">
        <f t="shared" si="27"/>
        <v>0</v>
      </c>
      <c r="I352" s="1667">
        <f t="shared" si="27"/>
        <v>0</v>
      </c>
      <c r="J352" s="1667">
        <f t="shared" si="27"/>
        <v>0</v>
      </c>
      <c r="K352" s="1667">
        <f t="shared" si="27"/>
        <v>113445</v>
      </c>
      <c r="L352" s="1667">
        <f t="shared" si="27"/>
        <v>166000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1849</v>
      </c>
      <c r="B354" s="680" t="s">
        <v>1841</v>
      </c>
      <c r="C354" s="613"/>
      <c r="D354" s="613"/>
      <c r="E354" s="613"/>
      <c r="F354" s="613"/>
      <c r="G354" s="613"/>
      <c r="H354" s="473">
        <v>0</v>
      </c>
      <c r="I354" s="698"/>
      <c r="J354" s="613"/>
      <c r="K354" s="1696">
        <f>H354</f>
        <v>0</v>
      </c>
      <c r="L354" s="471">
        <v>0</v>
      </c>
    </row>
    <row r="355" spans="1:14" ht="12.75" customHeight="1" x14ac:dyDescent="0.2">
      <c r="A355" s="1510" t="s">
        <v>1850</v>
      </c>
      <c r="B355" s="687" t="s">
        <v>1843</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1671</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10000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25185</v>
      </c>
      <c r="F367" s="1667">
        <f t="shared" si="28"/>
        <v>0</v>
      </c>
      <c r="G367" s="1667">
        <f t="shared" si="28"/>
        <v>88260</v>
      </c>
      <c r="H367" s="1667">
        <f t="shared" si="28"/>
        <v>0</v>
      </c>
      <c r="I367" s="1667">
        <f t="shared" si="28"/>
        <v>0</v>
      </c>
      <c r="J367" s="1667">
        <f t="shared" si="28"/>
        <v>0</v>
      </c>
      <c r="K367" s="1667">
        <f t="shared" si="28"/>
        <v>113445</v>
      </c>
      <c r="L367" s="1667">
        <f t="shared" si="28"/>
        <v>176000</v>
      </c>
    </row>
    <row r="368" spans="1:14" ht="13.5" thickTop="1" x14ac:dyDescent="0.2">
      <c r="A368" s="2300" t="s">
        <v>996</v>
      </c>
      <c r="B368" s="2301"/>
      <c r="C368" s="651"/>
      <c r="D368" s="651"/>
      <c r="E368" s="623"/>
      <c r="F368" s="623"/>
      <c r="G368" s="623"/>
      <c r="H368" s="623"/>
      <c r="I368" s="623"/>
      <c r="J368" s="620"/>
      <c r="K368" s="1668">
        <f>'Revenues 9-14'!K268-'Expenditures 15-22'!K367</f>
        <v>131</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3" right="0.15" top="0.86" bottom="0"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schemas.microsoft.com/office/infopath/2007/PartnerControls"/>
    <ds:schemaRef ds:uri="http://schemas.openxmlformats.org/package/2006/metadata/core-properties"/>
    <ds:schemaRef ds:uri="http://purl.org/dc/elements/1.1/"/>
    <ds:schemaRef ds:uri="4d435f69-8686-490b-bd6d-b153bf22ab50"/>
    <ds:schemaRef ds:uri="http://www.w3.org/XML/1998/namespace"/>
    <ds:schemaRef ds:uri="d21dc803-237d-4c68-8692-8d731fd29118"/>
    <ds:schemaRef ds:uri="http://schemas.microsoft.com/office/2006/documentManagement/types"/>
    <ds:schemaRef ds:uri="http://purl.org/dc/terms/"/>
    <ds:schemaRef ds:uri="6ce3111e-7420-4802-b50a-75d4e9a0b980"/>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20</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Coverzzz</vt:lpstr>
      <vt:lpstr>Single Audit Checklist</vt:lpstr>
      <vt:lpstr>SEFA Reconcile</vt:lpstr>
      <vt:lpstr> SEFA</vt:lpstr>
      <vt:lpstr>SEFA19</vt:lpstr>
      <vt:lpstr>SEFA NOTES</vt:lpstr>
      <vt:lpstr>SF&amp;QC Sec-1</vt:lpstr>
      <vt:lpstr>SF&amp;QC Sec-2</vt:lpstr>
      <vt:lpstr>SF&amp;QC Sec-3zzz</vt:lpstr>
      <vt:lpstr>SSPAF</vt:lpstr>
      <vt:lpstr>' SEFA'!Print_Area</vt:lpstr>
      <vt:lpstr>'SEFA NOTES'!Print_Area</vt:lpstr>
      <vt:lpstr>'SEFA Reconcile'!Print_Area</vt:lpstr>
      <vt:lpstr>SEFA19!Print_Area</vt:lpstr>
      <vt:lpstr>'SF&amp;QC Sec-1'!Print_Area</vt:lpstr>
      <vt:lpstr>'SF&amp;QC Sec-3zzz'!Print_Area</vt:lpstr>
      <vt:lpstr>'Single Audit Checklist'!Print_Area</vt:lpstr>
      <vt:lpstr>'Single Audit Cover'!Print_Area</vt:lpstr>
      <vt:lpstr>'Single Audit Coverzzz'!Print_Area</vt:lpstr>
      <vt:lpstr>SEFA19!Print_Area_MI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2019-10-14T14:59:57Z</cp:lastPrinted>
  <dcterms:created xsi:type="dcterms:W3CDTF">2003-10-29T19:06:34Z</dcterms:created>
  <dcterms:modified xsi:type="dcterms:W3CDTF">2019-12-06T16:01:51Z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