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EA21389-B115-460C-BB32-1E65BFD465B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J22" i="37"/>
  <c r="D24" i="37"/>
  <c r="B4270" i="106" s="1"/>
  <c r="D4270" i="106" s="1"/>
  <c r="L5" i="11"/>
  <c r="B2056" i="106" s="1"/>
  <c r="D2056" i="106" s="1"/>
  <c r="B7727" i="106" l="1"/>
  <c r="D7727" i="106" s="1"/>
  <c r="G33" i="108"/>
  <c r="L15" i="11"/>
  <c r="B3459" i="106" s="1"/>
  <c r="D3459" i="106" s="1"/>
  <c r="D54" i="36"/>
  <c r="F72" i="34"/>
  <c r="F71" i="34"/>
  <c r="G14" i="4"/>
  <c r="B2609" i="106" s="1"/>
  <c r="D2609" i="106" s="1"/>
  <c r="D69" i="36"/>
  <c r="F50" i="34"/>
  <c r="F46" i="34"/>
  <c r="F42" i="34"/>
  <c r="J210" i="29"/>
  <c r="B7072" i="106" s="1"/>
  <c r="D7072" i="106" s="1"/>
  <c r="F36" i="34"/>
  <c r="I210" i="29"/>
  <c r="B7071" i="106" s="1"/>
  <c r="D7071" i="106" s="1"/>
  <c r="F64" i="34"/>
  <c r="F69" i="34"/>
  <c r="F67" i="34"/>
  <c r="H76" i="4"/>
  <c r="B3298" i="106" s="1"/>
  <c r="D3298" i="106" s="1"/>
  <c r="F36" i="108"/>
  <c r="B2724" i="106"/>
  <c r="D2724" i="106" s="1"/>
  <c r="F49" i="34"/>
  <c r="B6289" i="106"/>
  <c r="D6289"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6" i="106" l="1"/>
  <c r="J16" i="4"/>
  <c r="B6226" i="106" s="1"/>
  <c r="D6226" i="106" s="1"/>
  <c r="D7254" i="106"/>
  <c r="F66" i="34"/>
  <c r="C367" i="29"/>
  <c r="B3622" i="106" s="1"/>
  <c r="D3622" i="106" s="1"/>
  <c r="B4435" i="106"/>
  <c r="D4435"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10" i="171"/>
  <c r="D19" i="171" s="1"/>
  <c r="D32" i="171" s="1"/>
  <c r="D49" i="171" s="1"/>
  <c r="B2658" i="106"/>
  <c r="D2658" i="106" s="1"/>
  <c r="H10" i="4"/>
  <c r="B4127" i="106" s="1"/>
  <c r="D4127"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F14" i="34"/>
  <c r="F77" i="34" s="1"/>
  <c r="F79" i="34" s="1"/>
  <c r="C10" i="4"/>
  <c r="B4122" i="106" s="1"/>
  <c r="D4122" i="106" s="1"/>
  <c r="B8" i="146"/>
  <c r="B2555" i="106"/>
  <c r="D2555" i="106" s="1"/>
  <c r="C20" i="4"/>
  <c r="G10" i="4"/>
  <c r="B4126" i="106" s="1"/>
  <c r="D4126" i="106" s="1"/>
  <c r="G20" i="4"/>
  <c r="B2606" i="106"/>
  <c r="D2606" i="106" s="1"/>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B3576" i="106" l="1"/>
  <c r="D3576" i="106" s="1"/>
  <c r="B6263" i="106"/>
  <c r="D6263" i="106" s="1"/>
  <c r="B3588" i="106"/>
  <c r="D3588" i="106" s="1"/>
  <c r="K81" i="4"/>
  <c r="F78" i="4"/>
  <c r="B2601" i="106"/>
  <c r="D2601" i="106" s="1"/>
  <c r="B3320" i="106"/>
  <c r="D3320" i="106" s="1"/>
  <c r="B3300" i="106"/>
  <c r="D3300" i="106" s="1"/>
  <c r="B7631" i="106"/>
  <c r="F176" i="34"/>
  <c r="A7262" i="106"/>
  <c r="D7261" i="106"/>
  <c r="G78" i="4"/>
  <c r="B2613" i="106"/>
  <c r="D2613" i="106" s="1"/>
  <c r="B2562" i="106"/>
  <c r="D2562" i="106" s="1"/>
  <c r="C78" i="4"/>
  <c r="B10" i="146"/>
  <c r="F9" i="146"/>
  <c r="E78" i="4"/>
  <c r="B2636" i="106"/>
  <c r="D2636" i="106" s="1"/>
  <c r="D64" i="36"/>
  <c r="J82" i="4"/>
  <c r="B6266" i="106"/>
  <c r="D6266" i="106" s="1"/>
  <c r="B3278" i="106" l="1"/>
  <c r="D3278" i="106" s="1"/>
  <c r="B3233" i="106"/>
  <c r="D3233" i="106" s="1"/>
  <c r="C81" i="4"/>
  <c r="A7263" i="106"/>
  <c r="D7262" i="106"/>
  <c r="F81" i="4"/>
  <c r="B3256" i="106"/>
  <c r="D3256" i="106" s="1"/>
  <c r="G81" i="4"/>
  <c r="B3262" i="106"/>
  <c r="D3262" i="106" s="1"/>
  <c r="B3591" i="106"/>
  <c r="D3591" i="106" s="1"/>
  <c r="D65" i="36"/>
  <c r="K82" i="4"/>
  <c r="J83" i="4"/>
  <c r="B6283" i="106" s="1"/>
  <c r="D6283" i="106" s="1"/>
  <c r="B6274" i="106"/>
  <c r="D6274" i="106" s="1"/>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I82" i="4"/>
  <c r="B1700" i="106"/>
  <c r="D1700" i="106" s="1"/>
  <c r="H82" i="4"/>
  <c r="E82" i="4"/>
  <c r="B1658" i="106"/>
  <c r="D1658" i="106" s="1"/>
  <c r="I83" i="4" l="1"/>
  <c r="B6282" i="106" s="1"/>
  <c r="D6282" i="106" s="1"/>
  <c r="B6273" i="106"/>
  <c r="D6273" i="106" s="1"/>
  <c r="H83" i="4"/>
  <c r="B6281" i="106" s="1"/>
  <c r="D6281" i="106" s="1"/>
  <c r="B6272" i="106"/>
  <c r="D6272" i="106" s="1"/>
  <c r="B6269" i="106"/>
  <c r="D6269" i="106" s="1"/>
  <c r="E83" i="4"/>
  <c r="B6278" i="106" s="1"/>
  <c r="D6278" i="106" s="1"/>
  <c r="B2912" i="106" l="1"/>
  <c r="D2912" i="106" s="1"/>
  <c r="I41" i="3"/>
  <c r="D63" i="36"/>
  <c r="B140" i="106"/>
  <c r="D140" i="106" s="1"/>
  <c r="E41" i="3"/>
  <c r="D59" i="36"/>
  <c r="D50" i="36" l="1"/>
  <c r="B2913" i="106"/>
  <c r="D2913" i="106" s="1"/>
  <c r="B141" i="106"/>
  <c r="D141" i="106" s="1"/>
  <c r="D46" i="36"/>
  <c r="B212" i="106" l="1"/>
  <c r="D212" i="106" s="1"/>
  <c r="H41" i="3"/>
  <c r="D62" i="36"/>
  <c r="B282" i="106"/>
  <c r="D282" i="106" s="1"/>
  <c r="N23" i="3"/>
  <c r="D49" i="36" l="1"/>
  <c r="B213" i="106"/>
  <c r="D213" i="106" s="1"/>
  <c r="B284" i="106"/>
  <c r="D284" i="106" s="1"/>
  <c r="D55" i="36"/>
  <c r="B5352" i="106" l="1"/>
  <c r="D5352" i="106" s="1"/>
  <c r="B5351" i="106" l="1"/>
  <c r="D5351" i="106" s="1"/>
  <c r="D108" i="5"/>
  <c r="F102" i="34"/>
  <c r="F174" i="34" s="1"/>
  <c r="F175" i="34" s="1"/>
  <c r="F177" i="34" s="1"/>
  <c r="F179" i="34" s="1"/>
  <c r="B5355" i="106" l="1"/>
  <c r="D5355" i="106" s="1"/>
  <c r="D109" i="5"/>
  <c r="B5356" i="106" l="1"/>
  <c r="D5356" i="106" s="1"/>
  <c r="D4" i="4"/>
  <c r="D268" i="5"/>
  <c r="B5508" i="106" l="1"/>
  <c r="D5508" i="106" s="1"/>
  <c r="K152" i="29"/>
  <c r="B1289" i="106" s="1"/>
  <c r="D1289" i="106" s="1"/>
  <c r="B2564" i="106"/>
  <c r="D2564" i="106" s="1"/>
  <c r="D8" i="4"/>
  <c r="C8" i="146" l="1"/>
  <c r="H18" i="118"/>
  <c r="K17" i="118" s="1"/>
  <c r="D16" i="37"/>
  <c r="H16" i="37" s="1"/>
  <c r="D10" i="4"/>
  <c r="B4123" i="106" s="1"/>
  <c r="D4123" i="106" s="1"/>
  <c r="H13" i="118"/>
  <c r="B2568" i="106"/>
  <c r="D2568" i="106" s="1"/>
  <c r="D20" i="4"/>
  <c r="B2574" i="106" l="1"/>
  <c r="D2574" i="106" s="1"/>
  <c r="D78" i="4"/>
  <c r="O16" i="118"/>
  <c r="J20" i="118"/>
  <c r="K20" i="118"/>
  <c r="C10" i="146"/>
  <c r="F8" i="146"/>
  <c r="F10" i="146" s="1"/>
  <c r="B123" i="106" l="1"/>
  <c r="D123" i="106" s="1"/>
  <c r="D41" i="3"/>
  <c r="D76" i="36"/>
  <c r="O17" i="118"/>
  <c r="O20" i="118" s="1"/>
  <c r="D81" i="4"/>
  <c r="D58" i="36" s="1"/>
  <c r="B3239" i="106"/>
  <c r="D3239" i="106" s="1"/>
  <c r="D82" i="4" l="1"/>
  <c r="B1644" i="106"/>
  <c r="D1644" i="106" s="1"/>
  <c r="C11" i="146"/>
  <c r="F11" i="146" s="1"/>
  <c r="J16" i="37"/>
  <c r="B4269" i="106" s="1"/>
  <c r="D4269" i="106" s="1"/>
  <c r="H12" i="118"/>
  <c r="K12" i="118" s="1"/>
  <c r="O11" i="118" s="1"/>
  <c r="O13" i="118" s="1"/>
  <c r="O35" i="118" s="1"/>
  <c r="O37" i="118" s="1"/>
  <c r="D45" i="36"/>
  <c r="B124" i="106"/>
  <c r="D124" i="106" s="1"/>
  <c r="C12" i="146" l="1"/>
  <c r="D29" i="36"/>
  <c r="J24" i="24" s="1"/>
  <c r="D83" i="4"/>
  <c r="B6277" i="106" s="1"/>
  <c r="D6277" i="106" s="1"/>
  <c r="B6268" i="106"/>
  <c r="D6268"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<sst xmlns="http://schemas.openxmlformats.org/spreadsheetml/2006/main" count="5075" uniqueCount="2107">
  <si>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</si>
  <si>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</si>
  <si>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</si>
  <si>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</si>
  <si>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</si>
  <si>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</si>
  <si>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</si>
  <si>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</si>
  <si>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</si>
  <si>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</si>
  <si>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</si>
  <si>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</si>
  <si>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</si>
  <si>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</si>
  <si>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</si>
  <si>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</si>
  <si>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</si>
  <si>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</si>
  <si>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</si>
  <si>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</si>
  <si>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</si>
  <si>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</si>
  <si>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</si>
  <si>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</si>
  <si>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</si>
  <si>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</si>
  <si>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</si>
  <si>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</si>
  <si>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</si>
  <si>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</si>
  <si>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</si>
  <si>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</si>
  <si>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</si>
  <si>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</si>
  <si>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</si>
  <si>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</si>
  <si>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</si>
  <si>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</si>
  <si>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</si>
  <si>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</si>
  <si>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</si>
  <si>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</si>
  <si>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</si>
  <si>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</si>
  <si>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</si>
  <si>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</si>
  <si>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</si>
  <si>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</si>
  <si>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</si>
  <si>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</si>
  <si>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</si>
  <si>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</si>
  <si>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</si>
  <si>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</si>
  <si>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</si>
  <si>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</si>
  <si>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</si>
  <si>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</si>
  <si>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</si>
  <si>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</si>
  <si>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</si>
  <si>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</si>
  <si>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</si>
  <si>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</si>
  <si>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</si>
  <si>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</si>
  <si>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</si>
  <si>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</si>
  <si>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</si>
  <si>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</si>
  <si>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</si>
  <si>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</si>
  <si>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</si>
  <si>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</si>
  <si>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</si>
  <si>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</si>
  <si>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</si>
  <si>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</si>
  <si>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</si>
  <si>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</si>
  <si>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</si>
  <si>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</si>
  <si>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</si>
  <si>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</si>
  <si>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</si>
  <si>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</si>
  <si>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</si>
  <si>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</si>
  <si>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</si>
  <si>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</si>
  <si>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</si>
  <si>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</si>
  <si>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</si>
  <si>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</si>
  <si>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</si>
  <si>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</si>
  <si>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</si>
  <si>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</si>
  <si>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</si>
  <si>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</si>
  <si>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</si>
  <si>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</si>
  <si>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</si>
  <si>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</si>
  <si>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</si>
  <si>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</si>
  <si>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</si>
  <si>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</si>
  <si>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</si>
  <si>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</si>
  <si>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</si>
  <si>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</si>
  <si>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</si>
  <si>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</si>
  <si>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</si>
  <si>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</si>
  <si>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</si>
  <si>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</si>
  <si>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</si>
  <si>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</si>
  <si>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</si>
  <si>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</si>
  <si>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</si>
  <si>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</si>
  <si>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</si>
  <si>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</si>
  <si>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</si>
  <si>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</si>
  <si>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</si>
  <si>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</si>
  <si>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</si>
  <si>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</si>
  <si>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</si>
  <si>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</si>
  <si>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</si>
  <si>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</si>
  <si>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</si>
  <si>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</si>
  <si>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</si>
  <si>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</si>
  <si>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</si>
  <si>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</si>
  <si>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</si>
  <si>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</si>
  <si>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</si>
  <si>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</si>
  <si>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</si>
  <si>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</si>
  <si>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</si>
  <si>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</si>
  <si>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</si>
  <si>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</si>
  <si>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</si>
  <si>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</si>
  <si>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</si>
  <si>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</si>
  <si>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</si>
  <si>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</si>
  <si>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</si>
  <si>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</si>
  <si>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</si>
  <si>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</si>
  <si>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</si>
  <si>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</si>
  <si>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</si>
  <si>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</si>
  <si>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</si>
  <si>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</si>
  <si>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</si>
  <si>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</si>
  <si>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</si>
  <si>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</si>
  <si>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</si>
  <si>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</si>
  <si>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</si>
  <si>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</si>
  <si>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</si>
  <si>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</si>
  <si>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</si>
  <si>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</si>
  <si>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</si>
  <si>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</si>
  <si>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</si>
  <si>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</si>
  <si>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</si>
  <si>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</si>
  <si>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</si>
  <si>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</si>
  <si>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</si>
  <si>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</si>
  <si>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</si>
  <si>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</si>
  <si>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</si>
  <si>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</si>
  <si>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</si>
  <si>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</si>
  <si>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</si>
  <si>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</si>
  <si>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</si>
  <si>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</si>
  <si>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</si>
  <si>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</si>
  <si>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</si>
  <si>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</si>
  <si>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</si>
  <si>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</si>
  <si>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</si>
  <si>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</si>
  <si>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</si>
  <si>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</si>
  <si>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</si>
  <si>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</si>
  <si>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</si>
  <si>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</si>
  <si>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</si>
  <si>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</si>
  <si>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</si>
  <si>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</si>
  <si>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</si>
  <si>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</si>
  <si>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</si>
  <si>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</si>
  <si>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</si>
  <si>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</si>
  <si>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</si>
  <si>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</si>
  <si>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</si>
  <si>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</si>
  <si>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</si>
  <si>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</si>
  <si>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</si>
  <si>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</si>
  <si>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</si>
  <si>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</si>
  <si>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</si>
  <si>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</si>
  <si>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</si>
  <si>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</si>
  <si>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</si>
  <si>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</si>
  <si>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</si>
  <si>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</si>
  <si>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</si>
  <si>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</si>
  <si>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</si>
  <si>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</si>
  <si>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</si>
  <si>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</si>
  <si>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</si>
  <si>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</si>
  <si>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</si>
  <si>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</si>
  <si>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</si>
  <si>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</si>
  <si>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</si>
  <si>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</si>
  <si>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</si>
  <si>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</si>
  <si>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</si>
  <si>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</si>
  <si>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</si>
  <si>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</si>
  <si>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</si>
  <si>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</si>
  <si>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</si>
  <si>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</si>
  <si>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</si>
  <si>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</si>
  <si>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</si>
  <si>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</si>
  <si>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</si>
  <si>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</si>
  <si>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</si>
  <si>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</si>
  <si>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</si>
  <si>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</si>
  <si>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</si>
  <si>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</si>
  <si>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</si>
  <si>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</si>
  <si>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</si>
  <si>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</si>
  <si>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</si>
  <si>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</si>
  <si>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</si>
  <si>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</si>
  <si>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</si>
  <si>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</si>
  <si>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</si>
  <si>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</si>
  <si>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</si>
  <si>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</si>
  <si>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</si>
  <si>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</si>
  <si>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</si>
  <si>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</si>
  <si>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</si>
  <si>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</si>
  <si>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</si>
  <si>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</si>
  <si>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</si>
  <si>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</si>
  <si>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</si>
  <si>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</si>
  <si>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</si>
  <si>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</si>
  <si>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</si>
  <si>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</si>
  <si>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</si>
  <si>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</si>
  <si>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</si>
  <si>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</si>
  <si>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</si>
  <si>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</si>
  <si>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</si>
  <si>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</si>
  <si>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</si>
  <si>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</si>
  <si>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</si>
  <si>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</si>
  <si>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</si>
  <si>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</si>
  <si>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</si>
  <si>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</si>
  <si>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</si>
  <si>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</si>
  <si>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</si>
  <si>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</si>
  <si>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</si>
  <si>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</si>
  <si>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</si>
  <si>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</si>
  <si>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</si>
  <si>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</si>
  <si>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</si>
  <si>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</si>
  <si>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</si>
  <si>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</si>
  <si>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</si>
  <si>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</si>
  <si>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</si>
  <si>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</si>
  <si>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</si>
  <si>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</si>
  <si>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</si>
  <si>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</si>
  <si>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</si>
  <si>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</si>
  <si>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</si>
  <si>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</si>
  <si>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</si>
  <si>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</si>
  <si>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</si>
  <si>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</si>
  <si>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</si>
  <si>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</si>
  <si>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</si>
  <si>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</si>
  <si>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</si>
  <si>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</si>
  <si>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</si>
  <si>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</si>
  <si>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</si>
  <si>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</si>
  <si>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</si>
  <si>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</si>
  <si>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</si>
  <si>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</si>
  <si>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</si>
  <si>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</si>
  <si>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</si>
  <si>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</si>
  <si>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</si>
  <si>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</si>
  <si>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</si>
  <si>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</si>
  <si>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</si>
  <si>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</si>
  <si>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</si>
  <si>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</si>
  <si>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</si>
  <si>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</si>
  <si>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</si>
  <si>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</si>
  <si>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</si>
  <si>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</si>
  <si>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</si>
  <si>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</si>
  <si>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</si>
  <si>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</si>
  <si>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</si>
  <si>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</si>
  <si>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</si>
  <si>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</si>
  <si>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</si>
  <si>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</si>
  <si>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</si>
  <si>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</si>
  <si>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</si>
  <si>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</si>
  <si>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</si>
  <si>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</si>
  <si>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</si>
  <si>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</si>
  <si>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</si>
  <si>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</si>
  <si>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</si>
  <si>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</si>
  <si>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</si>
  <si>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</si>
  <si>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</si>
  <si>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</si>
  <si>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</si>
  <si>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</si>
  <si>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</si>
  <si>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</si>
  <si>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</si>
  <si>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</si>
  <si>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</si>
  <si>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</si>
  <si>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</si>
  <si>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</si>
  <si>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</si>
  <si>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</si>
  <si>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</si>
  <si>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</si>
  <si>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</si>
  <si>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</si>
  <si>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</si>
  <si>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</si>
  <si>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</si>
  <si>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</si>
  <si>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</si>
  <si>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</si>
  <si>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</si>
  <si>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</si>
  <si>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</si>
  <si>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</si>
  <si>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</si>
  <si>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</si>
  <si>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</si>
  <si>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</si>
  <si>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</si>
  <si>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</si>
  <si>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</si>
  <si>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</si>
  <si>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</si>
  <si>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</si>
  <si>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</si>
  <si>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</si>
  <si>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</si>
  <si>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</si>
  <si>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</si>
  <si>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</si>
  <si>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</si>
  <si>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</si>
  <si>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</si>
  <si>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</si>
  <si>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</si>
  <si>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</si>
  <si>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</si>
  <si>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</si>
  <si>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</si>
  <si>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</si>
  <si>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</si>
  <si>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</si>
  <si>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</si>
  <si>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</si>
  <si>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</si>
  <si>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</si>
  <si>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</si>
  <si>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</si>
  <si>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</si>
  <si>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</si>
  <si>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</si>
  <si>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</si>
  <si>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</si>
  <si>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</si>
  <si>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</si>
  <si>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</si>
  <si>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</si>
  <si>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</si>
  <si>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</si>
  <si>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</si>
  <si>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</si>
  <si>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</si>
  <si>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</si>
  <si>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</si>
  <si>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</si>
  <si>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</si>
  <si>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</si>
  <si>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</si>
  <si>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</si>
  <si>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</si>
  <si>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</si>
  <si>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</si>
  <si>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</si>
  <si>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</si>
  <si>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</si>
  <si>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</si>
  <si>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</si>
  <si>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</si>
  <si>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</si>
  <si>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</si>
  <si>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</si>
  <si>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</si>
  <si>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</si>
  <si>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</si>
  <si>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</si>
  <si>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</si>
  <si>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</si>
  <si>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</si>
  <si>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</si>
  <si>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</si>
  <si>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</si>
  <si>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</si>
  <si>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</si>
  <si>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</si>
  <si>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</si>
  <si>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</si>
  <si>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</si>
  <si>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</si>
  <si>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</si>
  <si>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</si>
  <si>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</si>
  <si>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</si>
  <si>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</si>
  <si>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</si>
  <si>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</si>
  <si>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</si>
  <si>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</si>
  <si>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</si>
  <si>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</si>
  <si>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</si>
  <si>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</si>
  <si>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</si>
  <si>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</si>
  <si>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</si>
  <si>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</si>
  <si>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</si>
  <si>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</si>
  <si>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</si>
  <si>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</si>
  <si>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</si>
  <si>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</si>
  <si>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</si>
  <si>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</si>
  <si>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</si>
  <si>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</si>
  <si>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</si>
  <si>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</si>
  <si>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</si>
  <si>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</si>
  <si>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</si>
  <si>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</si>
  <si>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</si>
  <si>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</si>
  <si>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</si>
  <si>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</si>
  <si>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</si>
  <si>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</si>
  <si>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</si>
  <si>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</si>
  <si>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</si>
  <si>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</si>
  <si>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</si>
  <si>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</si>
  <si>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</si>
  <si>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</si>
  <si>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</si>
  <si>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</si>
  <si>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</si>
  <si>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</si>
  <si>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</si>
  <si>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</si>
  <si>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</si>
  <si>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</si>
  <si>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</si>
  <si>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</si>
  <si>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</si>
  <si>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</si>
  <si>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</si>
  <si>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</si>
  <si>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</si>
  <si>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</si>
  <si>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</si>
  <si>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</si>
  <si>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</si>
  <si>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</si>
  <si>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</si>
  <si>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</si>
  <si>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</si>
  <si>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</si>
  <si>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</si>
  <si>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</si>
  <si>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</si>
  <si>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</si>
  <si>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</si>
  <si>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</si>
  <si>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</si>
  <si>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</si>
  <si>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</si>
  <si>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</si>
  <si>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</si>
  <si>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</si>
  <si>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</si>
  <si>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</si>
  <si>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</si>
  <si>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</si>
  <si>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</si>
  <si>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</si>
  <si>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</si>
  <si>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</si>
  <si>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</si>
  <si>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</si>
  <si>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</si>
  <si>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</si>
  <si>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</si>
  <si>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</si>
  <si>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</si>
  <si>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</si>
  <si>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</si>
  <si>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</si>
  <si>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</si>
  <si>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</si>
  <si>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</si>
  <si>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</si>
  <si>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</si>
  <si>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</si>
  <si>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</si>
  <si>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</si>
  <si>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</si>
  <si>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</si>
  <si>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</si>
  <si>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</si>
  <si>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</si>
  <si>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</si>
  <si>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</si>
  <si>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</si>
  <si>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</si>
  <si>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</si>
  <si>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</si>
  <si>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</si>
  <si>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</si>
  <si>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</si>
  <si>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</si>
  <si>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</si>
  <si>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</si>
  <si>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</si>
  <si>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</si>
  <si>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</si>
  <si>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</si>
  <si>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</si>
  <si>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</si>
  <si>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</si>
  <si>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</si>
  <si>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</si>
  <si>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</si>
  <si>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</si>
  <si>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</si>
  <si>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</si>
  <si>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</si>
  <si>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</si>
  <si>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</si>
  <si>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</si>
  <si>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</si>
  <si>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</si>
  <si>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</si>
  <si>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</si>
  <si>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</si>
  <si>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</si>
  <si>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</si>
  <si>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</si>
  <si>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</si>
  <si>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</si>
  <si>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</si>
  <si>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</si>
  <si>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</si>
  <si>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</si>
  <si>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</si>
  <si>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</si>
  <si>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</si>
  <si>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</si>
  <si>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</si>
  <si>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</si>
  <si>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</si>
  <si>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</si>
  <si>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</si>
  <si>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</si>
  <si>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</si>
  <si>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</si>
  <si>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</si>
  <si>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</si>
  <si>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</si>
  <si>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</si>
  <si>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</si>
  <si>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</si>
  <si>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</si>
  <si>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</si>
  <si>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</si>
  <si>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</si>
  <si>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</si>
  <si>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</si>
  <si>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</si>
  <si>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</si>
  <si>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</si>
  <si>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</si>
  <si>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</si>
  <si>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</si>
  <si>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</si>
  <si>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</si>
  <si>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</si>
  <si>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</si>
  <si>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</si>
  <si>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</si>
  <si>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</si>
  <si>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</si>
  <si>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</si>
  <si>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</si>
  <si>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</si>
  <si>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</si>
  <si>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</si>
  <si>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</si>
  <si>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</si>
  <si>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</si>
  <si>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</si>
  <si>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</si>
  <si>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</si>
  <si>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</si>
  <si>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</si>
  <si>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</si>
  <si>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</si>
  <si>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</si>
  <si>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</si>
  <si>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</si>
  <si>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</si>
  <si>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</si>
  <si>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</si>
  <si>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</si>
  <si>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</si>
  <si>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</si>
  <si>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</si>
  <si>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</si>
  <si>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</si>
  <si>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</si>
  <si>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</si>
  <si>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</si>
  <si>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</si>
  <si>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</si>
  <si>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</si>
  <si>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</si>
  <si>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</si>
  <si>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</si>
  <si>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</si>
  <si>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</si>
  <si>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</si>
  <si>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</si>
  <si>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</si>
  <si>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</si>
  <si>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</si>
  <si>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</si>
  <si>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</si>
  <si>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</si>
  <si>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</si>
  <si>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</si>
  <si>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</si>
  <si>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</si>
  <si>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</si>
  <si>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</si>
  <si>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</si>
  <si>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</si>
  <si>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</si>
  <si>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</si>
  <si>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</si>
  <si>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</si>
  <si>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</si>
  <si>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</si>
  <si>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</si>
  <si>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</si>
  <si>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</si>
  <si>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</si>
  <si>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</si>
  <si>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</si>
  <si>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</si>
  <si>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</si>
  <si>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</si>
  <si>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</si>
  <si>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</si>
  <si>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</si>
  <si>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</si>
  <si>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</si>
  <si>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</si>
  <si>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</si>
  <si>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</si>
  <si>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</si>
  <si>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</si>
  <si>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</si>
  <si>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</si>
  <si>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</si>
  <si>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</si>
  <si>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</si>
  <si>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</si>
  <si>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</si>
  <si>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</si>
  <si>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</si>
  <si>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</si>
  <si>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</si>
  <si>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</si>
  <si>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</si>
  <si>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</si>
  <si>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</si>
  <si>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</si>
  <si>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</si>
  <si>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</si>
  <si>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</si>
  <si>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</si>
  <si>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</si>
  <si>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</si>
  <si>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</si>
  <si>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</si>
  <si>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</si>
  <si>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</si>
  <si>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</si>
  <si>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</si>
  <si>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</si>
  <si>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</si>
  <si>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</si>
  <si>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</si>
  <si>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</si>
  <si>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</si>
  <si>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</si>
  <si>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</si>
  <si>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</si>
  <si>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</si>
  <si>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</si>
  <si>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</si>
  <si>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</si>
  <si>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</si>
  <si>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</si>
  <si>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</si>
  <si>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</si>
  <si>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</si>
  <si>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</si>
  <si>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</si>
  <si>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</si>
  <si>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</si>
  <si>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</si>
  <si>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</si>
  <si>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</si>
  <si>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</si>
  <si>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</si>
  <si>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</si>
  <si>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</si>
  <si>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</si>
  <si>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</si>
  <si>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</si>
  <si>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</si>
  <si>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</si>
  <si>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</si>
  <si>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</si>
  <si>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</si>
  <si>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</si>
  <si>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</si>
  <si>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</si>
  <si>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</si>
  <si>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</si>
  <si>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</si>
  <si>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</si>
  <si>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</si>
  <si>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</si>
  <si>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</si>
  <si>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</si>
  <si>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</si>
  <si>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</si>
  <si>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</si>
  <si>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</si>
  <si>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</si>
  <si>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</si>
  <si>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</si>
  <si>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</si>
  <si>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</si>
  <si>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</si>
  <si>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</si>
  <si>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</si>
  <si>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</si>
  <si>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</si>
  <si>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</si>
  <si>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</si>
  <si>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</si>
  <si>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</si>
  <si>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</si>
  <si>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</si>
  <si>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</si>
  <si>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</si>
  <si>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</si>
  <si>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</si>
  <si>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</si>
  <si>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</si>
  <si>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</si>
  <si>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</si>
  <si>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</si>
  <si>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</si>
  <si>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</si>
  <si>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</si>
  <si>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</si>
  <si>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</si>
  <si>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</si>
  <si>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</si>
  <si>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</si>
  <si>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</si>
  <si>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</si>
  <si>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</si>
  <si>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</si>
  <si>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</si>
  <si>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</si>
  <si>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</si>
  <si>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</si>
  <si>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</si>
  <si>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</si>
  <si>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</si>
  <si>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</si>
  <si>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</si>
  <si>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</si>
  <si>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</si>
  <si>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</si>
  <si>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</si>
  <si>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</si>
  <si>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</si>
  <si>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</si>
  <si>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</si>
  <si>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</si>
  <si>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</si>
  <si>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</si>
  <si>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</si>
  <si>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</si>
  <si>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</si>
  <si>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</si>
  <si>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</si>
  <si>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</si>
  <si>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</si>
  <si>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</si>
  <si>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</si>
  <si>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</si>
  <si>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</si>
  <si>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</si>
  <si>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</si>
  <si>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</si>
  <si>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</si>
  <si>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</si>
  <si>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</si>
  <si>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</si>
  <si>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</si>
  <si>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</si>
  <si>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</si>
  <si>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</si>
  <si>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</si>
  <si>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</si>
  <si>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</si>
  <si>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</si>
  <si>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</si>
  <si>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</si>
  <si>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</si>
  <si>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</si>
  <si>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</si>
  <si>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</si>
  <si>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</si>
  <si>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</si>
  <si>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</si>
  <si>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</si>
  <si>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</si>
  <si>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</si>
  <si>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</si>
  <si>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</si>
  <si>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</si>
  <si>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</si>
  <si>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</si>
  <si>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</si>
  <si>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</si>
  <si>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</si>
  <si>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</si>
  <si>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</si>
  <si>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</si>
  <si>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</si>
  <si>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</si>
  <si>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</si>
  <si>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</si>
  <si>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</si>
  <si>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</si>
  <si>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</si>
  <si>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</si>
  <si>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</si>
  <si>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</si>
  <si>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</si>
  <si>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</si>
  <si>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</si>
  <si>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</si>
  <si>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</si>
  <si>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</si>
  <si>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</si>
  <si>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</si>
  <si>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</si>
  <si>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</si>
  <si>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</si>
  <si>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</si>
  <si>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</si>
  <si>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</si>
  <si>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</si>
  <si>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</si>
  <si>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</si>
  <si>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</si>
  <si>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</si>
  <si>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</si>
  <si>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</si>
  <si>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</si>
  <si>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</si>
  <si>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</si>
  <si>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</si>
  <si>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</si>
  <si>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</si>
  <si>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</si>
  <si>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</si>
  <si>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</si>
  <si>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</si>
  <si>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</si>
  <si>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</si>
  <si>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</si>
  <si>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</si>
  <si>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</si>
  <si>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</si>
  <si>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</si>
  <si>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</si>
  <si>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</si>
  <si>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</si>
  <si>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</si>
  <si>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</si>
  <si>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</si>
  <si>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</si>
  <si>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</si>
  <si>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</si>
  <si>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</si>
  <si>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</si>
  <si>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</si>
  <si>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</si>
  <si>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</si>
  <si>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</si>
  <si>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</si>
  <si>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</si>
  <si>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</si>
  <si>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</si>
  <si>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</si>
  <si>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</si>
  <si>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</si>
  <si>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</si>
  <si>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</si>
  <si>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</si>
  <si>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</si>
  <si>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</si>
  <si>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</si>
  <si>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</si>
  <si>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</si>
  <si>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</si>
  <si>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</si>
  <si>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</si>
  <si>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</si>
  <si>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</si>
  <si>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</si>
  <si>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</si>
  <si>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</si>
  <si>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</si>
  <si>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</si>
  <si>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</si>
  <si>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</si>
  <si>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</si>
  <si>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</si>
  <si>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</si>
  <si>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</si>
  <si>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</si>
  <si>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</si>
  <si>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</si>
  <si>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</si>
  <si>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</si>
  <si>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</si>
  <si>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</si>
  <si>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</si>
  <si>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</si>
  <si>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</si>
  <si>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</si>
  <si>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</si>
  <si>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</si>
  <si>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</si>
  <si>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</si>
  <si>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</si>
  <si>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</si>
  <si>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</si>
  <si>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</si>
  <si>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</si>
  <si>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</si>
  <si>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</si>
  <si>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</si>
  <si>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</si>
  <si>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</si>
  <si>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</si>
  <si>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</si>
  <si>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</si>
  <si>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</si>
  <si>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</si>
  <si>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</si>
  <si>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</si>
  <si>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</si>
  <si>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</si>
  <si>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</si>
  <si>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</si>
  <si>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</si>
  <si>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</si>
  <si>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</si>
  <si>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</si>
  <si>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</si>
  <si>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</si>
  <si>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</si>
  <si>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</si>
  <si>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</si>
  <si>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</si>
  <si>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</si>
  <si>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</si>
  <si>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</si>
  <si>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</si>
  <si>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</si>
  <si>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</si>
  <si>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</si>
  <si>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</si>
  <si>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</si>
  <si>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</si>
  <si>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</si>
  <si>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</si>
  <si>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</si>
  <si>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</si>
  <si>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</si>
  <si>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</si>
  <si>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</si>
  <si>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</si>
  <si>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</si>
  <si>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</si>
  <si>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</si>
  <si>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</si>
  <si>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</si>
  <si>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</si>
  <si>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</si>
  <si>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</si>
  <si>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</si>
  <si>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</si>
  <si>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</si>
  <si>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</si>
  <si>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</si>
  <si>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</si>
  <si>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</si>
  <si>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</si>
  <si>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</si>
  <si>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</si>
  <si>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</si>
  <si>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</si>
  <si>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</si>
  <si>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</si>
  <si>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</si>
  <si>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</si>
  <si>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</si>
  <si>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</si>
  <si>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</si>
  <si>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</si>
  <si>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</si>
  <si>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</si>
  <si>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</si>
  <si>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</si>
  <si>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</si>
  <si>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</si>
  <si>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</si>
  <si>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</si>
  <si>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</si>
  <si>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</si>
  <si>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</si>
  <si>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</si>
  <si>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</si>
  <si>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</si>
  <si>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</si>
  <si>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</si>
  <si>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</si>
  <si>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</si>
  <si>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</si>
  <si>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</si>
  <si>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</si>
  <si>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</si>
  <si>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</si>
  <si>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</si>
  <si>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</si>
  <si>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</si>
  <si>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</si>
  <si>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</si>
  <si>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</si>
  <si>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</si>
  <si>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</si>
  <si>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</si>
  <si>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</si>
  <si>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</si>
  <si>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</si>
  <si>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</si>
  <si>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</si>
  <si>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</si>
  <si>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</si>
  <si>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</si>
  <si>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</si>
  <si>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</si>
  <si>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</si>
  <si>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</si>
  <si>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</si>
  <si>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</si>
  <si>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</si>
  <si>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</si>
  <si>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</si>
  <si>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</si>
  <si>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</si>
  <si>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</si>
  <si>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</si>
  <si>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</si>
  <si>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</si>
  <si>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</si>
  <si>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</si>
  <si>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</si>
  <si>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</si>
  <si>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</si>
  <si>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</si>
  <si>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</si>
  <si>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</si>
  <si>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</si>
  <si>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</si>
  <si>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</si>
  <si>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</si>
  <si>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</si>
  <si>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</si>
  <si>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</si>
  <si>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</si>
  <si>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</si>
  <si>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</si>
  <si>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</si>
  <si>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</si>
  <si>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</si>
  <si>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</si>
  <si>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</si>
  <si>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</si>
  <si>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</si>
  <si>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</si>
  <si>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</si>
  <si>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</si>
  <si>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</si>
  <si>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</si>
  <si>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</si>
  <si>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</si>
  <si>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</si>
  <si>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</si>
  <si>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</si>
  <si>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</si>
  <si>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</si>
  <si>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</si>
  <si>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</si>
  <si>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</si>
  <si>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</si>
  <si>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</si>
  <si>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</si>
  <si>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</si>
  <si>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</si>
  <si>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</si>
  <si>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</si>
  <si>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</si>
  <si>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</si>
  <si>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</si>
  <si>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</si>
  <si>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</si>
  <si>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</si>
  <si>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</si>
  <si>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</si>
  <si>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</si>
  <si>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</si>
  <si>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</si>
  <si>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</si>
  <si>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</si>
  <si>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</si>
  <si>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</si>
  <si>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</si>
  <si>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</si>
  <si>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</si>
  <si>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</si>
  <si>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</si>
  <si>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</si>
  <si>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</si>
  <si>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</si>
  <si>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</si>
  <si>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</si>
  <si>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</si>
  <si>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</si>
  <si>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</si>
  <si>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</si>
  <si>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</si>
  <si>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</si>
  <si>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</si>
  <si>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</si>
  <si>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</si>
  <si>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</si>
  <si>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</si>
  <si>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</si>
  <si>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</si>
  <si>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</si>
  <si>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</si>
  <si>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</si>
  <si>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</si>
  <si>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</si>
  <si>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</si>
  <si>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</si>
  <si>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</si>
  <si>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</si>
  <si>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</si>
  <si>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</si>
  <si>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</si>
  <si>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</si>
  <si>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</si>
  <si>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</si>
  <si>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</si>
  <si>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</si>
  <si>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</si>
  <si>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</si>
  <si>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</si>
  <si>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</si>
  <si>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</si>
  <si>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</si>
  <si>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</si>
  <si>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</si>
  <si>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</si>
  <si>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</si>
  <si>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</si>
  <si>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</si>
  <si>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</si>
  <si>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</si>
  <si>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</si>
  <si>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</si>
  <si>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</si>
  <si>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</si>
  <si>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</si>
  <si>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</si>
  <si>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</si>
  <si>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</si>
  <si>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</si>
  <si>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</si>
  <si>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</si>
  <si>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</si>
  <si>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</si>
  <si>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</si>
  <si>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</si>
  <si>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</si>
  <si>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</si>
  <si>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</si>
  <si>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</si>
  <si>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</si>
  <si>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</si>
  <si>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</si>
  <si>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</si>
  <si>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</si>
  <si>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</si>
  <si>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</si>
  <si>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</si>
  <si>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</si>
  <si>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</si>
  <si>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</si>
  <si>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</si>
  <si>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</si>
  <si>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</si>
  <si>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</si>
  <si>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</si>
  <si>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</si>
  <si>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</si>
  <si>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</si>
  <si>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</si>
  <si>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</si>
  <si>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</si>
  <si>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</si>
  <si>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</si>
  <si>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</si>
  <si>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</si>
  <si>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</si>
  <si>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</si>
  <si>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</si>
  <si>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</si>
  <si>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</si>
  <si>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</si>
  <si>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</si>
  <si>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</si>
  <si>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</si>
  <si>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</si>
  <si>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</si>
  <si>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</si>
  <si>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</si>
  <si>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</si>
  <si>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</si>
  <si>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</si>
  <si>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</si>
  <si>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</si>
  <si>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</si>
  <si>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</si>
  <si>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</si>
  <si>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</si>
  <si>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</si>
  <si>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</si>
  <si>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</si>
  <si>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</si>
  <si>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</si>
  <si>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</si>
  <si>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</si>
  <si>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</si>
  <si>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</si>
  <si>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</si>
  <si>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</si>
  <si>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</si>
  <si>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</si>
  <si>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</si>
  <si>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</si>
  <si>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</si>
  <si>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</si>
  <si>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</si>
  <si>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</si>
  <si>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</si>
  <si>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</si>
  <si>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</si>
  <si>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</si>
  <si>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</si>
  <si>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</si>
  <si>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</si>
  <si>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</si>
  <si>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</si>
  <si>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</si>
  <si>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</si>
  <si>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</si>
  <si>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</si>
  <si>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</si>
  <si>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</si>
  <si>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</si>
  <si>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</si>
  <si>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</si>
  <si>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</si>
  <si>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</si>
  <si>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</si>
  <si>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</si>
  <si>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</si>
  <si>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</si>
  <si>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</si>
  <si>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</si>
  <si>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</si>
  <si>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</si>
  <si>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</si>
  <si>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</si>
  <si>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</si>
  <si>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</si>
  <si>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</si>
  <si>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</si>
  <si>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</si>
  <si>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</si>
  <si>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</si>
  <si>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</si>
  <si>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</si>
  <si>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</si>
  <si>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</si>
  <si>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</si>
  <si>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</si>
  <si>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</si>
  <si>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</si>
  <si>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</si>
  <si>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</si>
  <si>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</si>
  <si>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</si>
  <si>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</si>
  <si>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</si>
  <si>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</si>
  <si>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</si>
  <si>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</si>
  <si>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</si>
  <si>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</si>
  <si>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</si>
  <si>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</si>
  <si>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</si>
  <si>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</si>
  <si>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</si>
  <si>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</si>
  <si>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</si>
  <si>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</si>
  <si>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</si>
  <si>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</si>
  <si>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</si>
  <si>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</si>
  <si>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</si>
  <si>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</si>
  <si>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</si>
  <si>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</si>
  <si>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</si>
  <si>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</si>
  <si>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</si>
  <si>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</si>
  <si>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</si>
  <si>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</si>
  <si>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</si>
  <si>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</si>
  <si>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</si>
  <si>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</si>
  <si>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</si>
  <si>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</si>
  <si>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</si>
  <si>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</si>
  <si>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</si>
  <si>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</si>
  <si>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</si>
  <si>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</si>
  <si>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</si>
  <si>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</si>
  <si>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</si>
  <si>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</si>
  <si>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</si>
  <si>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</si>
  <si>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</si>
  <si>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</si>
  <si>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</si>
  <si>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</si>
  <si>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</si>
  <si>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</si>
  <si>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</si>
  <si>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</si>
  <si>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</si>
  <si>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</si>
  <si>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</si>
  <si>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</si>
  <si>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</si>
  <si>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</si>
  <si>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</si>
  <si>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</si>
  <si>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</si>
  <si>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</si>
  <si>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</si>
  <si>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</si>
  <si>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</si>
  <si>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</si>
  <si>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</si>
  <si>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</si>
  <si>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</si>
  <si>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</si>
  <si>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</si>
  <si>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</si>
  <si>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</si>
  <si>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</si>
  <si>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</si>
  <si>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</si>
  <si>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</si>
  <si>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</si>
  <si>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</si>
  <si>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</si>
  <si>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</si>
  <si>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</si>
  <si>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</si>
  <si>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</si>
  <si>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</si>
  <si>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</si>
  <si>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</si>
  <si>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</si>
  <si>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</si>
  <si>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</si>
  <si>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</si>
  <si>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</si>
  <si>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</si>
  <si>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</si>
  <si>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</si>
  <si>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</si>
  <si>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</si>
  <si>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</si>
  <si>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</si>
  <si>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</si>
  <si>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</si>
  <si>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</si>
  <si>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</si>
  <si>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</si>
  <si>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</si>
  <si>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</si>
  <si>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</si>
  <si>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</si>
  <si>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</si>
  <si>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</si>
  <si>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</si>
  <si>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</si>
  <si>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</si>
  <si>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</si>
  <si>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</si>
  <si>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</si>
  <si>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</si>
  <si>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</si>
  <si>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</si>
  <si>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</si>
  <si>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</si>
  <si>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</si>
  <si>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</si>
  <si>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</si>
  <si>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</si>
  <si>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</si>
  <si>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</si>
  <si>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</si>
  <si>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</si>
  <si>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</si>
  <si>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</si>
  <si>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</si>
  <si>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</si>
  <si>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</si>
  <si>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</si>
  <si>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</si>
  <si>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</si>
  <si>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</si>
  <si>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</si>
  <si>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</si>
  <si>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</si>
  <si>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</si>
  <si>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</si>
  <si>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</si>
  <si>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</si>
  <si>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</si>
  <si>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</si>
  <si>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</si>
  <si>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</si>
  <si>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</si>
  <si>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</si>
  <si>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</si>
  <si>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</si>
  <si>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</si>
  <si>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</si>
  <si>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</si>
  <si>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</si>
  <si>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</si>
  <si>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</si>
  <si>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</si>
  <si>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</si>
  <si>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</si>
  <si>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</si>
  <si>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</si>
  <si>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</si>
  <si>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</si>
  <si>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</si>
  <si>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</si>
  <si>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</si>
  <si>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</si>
  <si>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</si>
  <si>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</si>
  <si>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</si>
  <si>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</si>
  <si>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</si>
  <si>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</si>
  <si>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</si>
  <si>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</si>
  <si>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</si>
  <si>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</si>
  <si>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</si>
  <si>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</si>
  <si>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</si>
  <si>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</si>
  <si>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</si>
  <si>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</si>
  <si>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</si>
  <si>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</si>
  <si>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</si>
  <si>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</si>
  <si>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</si>
  <si>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</si>
  <si>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</si>
  <si>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</si>
  <si>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</si>
  <si>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</si>
  <si>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</si>
  <si>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</si>
  <si>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</si>
  <si>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</si>
  <si>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</si>
  <si>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</si>
  <si>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</si>
  <si>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</si>
  <si>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</si>
  <si>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</si>
  <si>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</si>
  <si>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</si>
  <si>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</si>
  <si>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</si>
  <si>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</si>
  <si>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</si>
  <si>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</si>
  <si>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</si>
  <si>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</si>
  <si>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</si>
  <si>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</si>
  <si>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</si>
  <si>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</si>
  <si>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</si>
  <si>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</si>
  <si>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</si>
  <si>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</si>
  <si>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</si>
  <si>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</si>
  <si>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</si>
  <si>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</si>
  <si>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</si>
  <si>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</si>
  <si>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</si>
  <si>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</si>
  <si>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</si>
  <si>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</si>
  <si>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</si>
  <si>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</si>
  <si>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</si>
  <si>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</si>
  <si>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</si>
  <si>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</si>
  <si>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</si>
  <si>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</si>
  <si>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</si>
  <si>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</si>
  <si>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</si>
  <si>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</si>
  <si>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</si>
  <si>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</si>
  <si>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</si>
  <si>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</si>
  <si>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</si>
  <si>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</si>
  <si>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</si>
  <si>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</si>
  <si>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</si>
  <si>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</si>
  <si>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</si>
  <si>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</si>
  <si>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</si>
  <si>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</si>
  <si>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</si>
  <si>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</si>
  <si>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</si>
  <si>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</si>
  <si>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</si>
  <si>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</si>
  <si>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</si>
  <si>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</si>
  <si>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</si>
  <si>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</si>
  <si>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</si>
  <si>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</si>
  <si>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</si>
  <si>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</si>
  <si>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</si>
  <si>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</si>
  <si>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</si>
  <si>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</si>
  <si>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</si>
  <si>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</si>
  <si>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</si>
  <si>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</si>
  <si>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</si>
  <si>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</si>
  <si>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</si>
  <si>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</si>
  <si>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</si>
  <si>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</si>
  <si>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</si>
  <si>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</si>
  <si>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</si>
  <si>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</si>
  <si>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</si>
  <si>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</si>
  <si>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</si>
  <si>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</si>
  <si>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</si>
  <si>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</si>
  <si>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</si>
  <si>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</si>
  <si>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</si>
  <si>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</si>
  <si>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</si>
  <si>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</si>
  <si>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</si>
  <si>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</si>
  <si>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</si>
  <si>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</si>
  <si>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</si>
  <si>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</si>
  <si>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</si>
  <si>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</si>
  <si>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</si>
  <si>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</si>
  <si>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</si>
  <si>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</si>
  <si>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</si>
  <si>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</si>
  <si>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</si>
  <si>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</si>
  <si>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</si>
  <si>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</si>
  <si>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</si>
  <si>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</si>
  <si>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</si>
  <si>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</si>
  <si>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</si>
  <si>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</si>
  <si>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</si>
  <si>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</si>
  <si>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</si>
  <si>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</si>
  <si>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</si>
  <si>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</si>
  <si>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</si>
  <si>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</si>
  <si>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</si>
  <si>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</si>
  <si>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</si>
  <si>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</si>
  <si>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</si>
  <si>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</si>
  <si>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</si>
  <si>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</si>
  <si>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</si>
  <si>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</si>
  <si>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</si>
  <si>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</si>
  <si>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</si>
  <si>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</si>
  <si>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</si>
  <si>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</si>
  <si>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</si>
  <si>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</si>
  <si>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</si>
  <si>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</si>
  <si>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</si>
  <si>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</si>
  <si>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</si>
  <si>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</si>
  <si>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</si>
  <si>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</si>
  <si>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</si>
  <si>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</si>
  <si>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</si>
  <si>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</si>
  <si>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</si>
  <si>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</si>
  <si>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</si>
  <si>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</si>
  <si>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</si>
  <si>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</si>
  <si>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</si>
  <si>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</si>
  <si>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</si>
  <si>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</si>
  <si>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</si>
  <si>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</si>
  <si>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</si>
  <si>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</si>
  <si>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</si>
  <si>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</si>
  <si>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</si>
  <si>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</si>
  <si>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</si>
  <si>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</si>
  <si>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</si>
  <si>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</si>
  <si>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</si>
  <si>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</si>
  <si>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</si>
  <si>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</si>
  <si>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</si>
  <si>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</si>
  <si>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</si>
  <si>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</si>
  <si>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</si>
  <si>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</si>
  <si>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</si>
  <si>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</si>
  <si>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</si>
  <si>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</si>
  <si>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</si>
  <si>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</si>
  <si>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</si>
  <si>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</si>
  <si>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</si>
  <si>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</si>
  <si>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</si>
  <si>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</si>
  <si>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</si>
  <si>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</si>
  <si>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</si>
  <si>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</si>
  <si>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</si>
  <si>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</si>
  <si>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</si>
  <si>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</si>
  <si>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</si>
  <si>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</si>
  <si>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</si>
  <si>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</si>
  <si>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</si>
  <si>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</si>
  <si>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</si>
  <si>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</si>
  <si>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</si>
  <si>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</si>
  <si>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</si>
  <si>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</si>
  <si>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</si>
  <si>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</si>
  <si>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</si>
  <si>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</si>
  <si>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</si>
  <si>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</si>
  <si>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</si>
  <si>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</si>
  <si>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</si>
  <si>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</si>
  <si>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</si>
  <si>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</si>
  <si>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</si>
  <si>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</si>
  <si>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</si>
  <si>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</si>
  <si>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</si>
  <si>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</si>
  <si>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</si>
  <si>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</si>
  <si>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</si>
  <si>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</si>
  <si>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</si>
  <si>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</si>
  <si>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</si>
  <si>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</si>
  <si>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</si>
  <si>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</si>
  <si>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</si>
  <si>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</si>
  <si>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</si>
  <si>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</si>
  <si>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</si>
  <si>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</si>
  <si>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</si>
  <si>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</si>
  <si>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</si>
  <si>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</si>
  <si>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</si>
  <si>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</si>
  <si>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</si>
  <si>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</si>
  <si>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</si>
  <si>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</si>
  <si>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</si>
  <si>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</si>
  <si>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</si>
  <si>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</si>
  <si>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</si>
  <si>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</si>
  <si>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</si>
  <si>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</si>
  <si>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</si>
  <si>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</si>
  <si>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</si>
  <si>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</si>
  <si>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</si>
  <si>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</si>
  <si>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</si>
  <si>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</si>
  <si>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</si>
  <si>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</si>
  <si>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</si>
  <si>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</si>
  <si>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</si>
  <si>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</si>
  <si>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</si>
  <si>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</si>
  <si>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</si>
  <si>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</si>
  <si>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</si>
  <si>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</si>
  <si>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</si>
  <si>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</si>
  <si>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</si>
  <si>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</si>
  <si>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</si>
  <si>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</si>
  <si>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</si>
  <si>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</si>
  <si>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</si>
  <si>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</si>
  <si>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</si>
  <si>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</si>
  <si>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</si>
  <si>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</si>
  <si>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</si>
  <si>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</si>
  <si>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</si>
  <si>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</si>
  <si>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</si>
  <si>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</si>
  <si>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</si>
  <si>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</si>
  <si>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</si>
  <si>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</si>
  <si>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</si>
  <si>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</si>
  <si>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</si>
  <si>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</si>
  <si>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</si>
  <si>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</si>
  <si>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</si>
  <si>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</si>
  <si>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</si>
  <si>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</si>
  <si>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</si>
  <si>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</si>
  <si>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</si>
  <si>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</si>
  <si>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</si>
  <si>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</si>
  <si>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</si>
  <si>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</si>
  <si>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</si>
  <si>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</si>
  <si>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</si>
  <si>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</si>
  <si>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</si>
  <si>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</si>
  <si>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</si>
  <si>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</si>
  <si>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</si>
  <si>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</si>
  <si>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</si>
  <si>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</si>
  <si>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</si>
  <si>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</si>
  <si>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</si>
  <si>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</si>
  <si>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</si>
  <si>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</si>
  <si>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</si>
  <si>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</si>
  <si>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</si>
  <si>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</si>
  <si>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</si>
  <si>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</si>
  <si>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</si>
  <si>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</si>
  <si>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</si>
  <si>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</si>
  <si>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</si>
  <si>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</si>
  <si>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</si>
  <si>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</si>
  <si>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</si>
  <si>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</si>
  <si>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</si>
  <si>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</si>
  <si>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</si>
  <si>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</si>
  <si>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</si>
  <si>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</si>
  <si>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</si>
  <si>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</si>
  <si>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</si>
  <si>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</si>
  <si>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</si>
  <si>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</si>
  <si>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</si>
  <si>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</si>
  <si>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</si>
  <si>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</si>
  <si>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</si>
  <si>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</si>
  <si>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</si>
  <si>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Woodford</t>
  </si>
  <si>
    <t>103 Warrior Way</t>
  </si>
  <si>
    <t xml:space="preserve">Germantown Hills </t>
  </si>
  <si>
    <t>dmair@ghills69.com</t>
  </si>
  <si>
    <t>Tim C. Custis, CPA</t>
  </si>
  <si>
    <t>tcustis@gorenzcpa.com</t>
  </si>
  <si>
    <t>Dan Mair</t>
  </si>
  <si>
    <t>(309) 383-2121</t>
  </si>
  <si>
    <t>(309) 383-2123</t>
  </si>
  <si>
    <t>x</t>
  </si>
  <si>
    <t>GO School Bonds, Series 2015A</t>
  </si>
  <si>
    <t>Capital Lease - Buses</t>
  </si>
  <si>
    <t>2&amp;3</t>
  </si>
  <si>
    <t>Capital Lease</t>
  </si>
  <si>
    <t>Woodford County Special Education Association</t>
  </si>
  <si>
    <t>NONE</t>
  </si>
  <si>
    <t>O&amp;M-Operation &amp; Maintenance of Plant Services -</t>
  </si>
  <si>
    <t>20-2540-300</t>
  </si>
  <si>
    <t>MTCO</t>
  </si>
  <si>
    <t>GORENZ AND ASSOCIATES, LTD.</t>
  </si>
  <si>
    <t>Easter Seals</t>
  </si>
  <si>
    <t>Page 9, Line 17: Impact Fees</t>
  </si>
  <si>
    <t>Page 10, Line 74: Cafeteria Sales to WCSEA</t>
  </si>
  <si>
    <t>Page 10, Line 81: Yearbook Revenue $7,380, Gym Suit Reimbursements $2,137, Supply Program Revenue $26,218</t>
  </si>
  <si>
    <t>Page 10, Line 92: Library Fines</t>
  </si>
  <si>
    <t>Page 11, Line 106: Right at School Revenue</t>
  </si>
  <si>
    <t>Page 11, Line 107: Educational Fund: Miscellaneous Reimbursements and Fees</t>
  </si>
  <si>
    <t xml:space="preserve">                                     Transportation Fund: Labor Revenue from Central States Bus Sales Inc.</t>
  </si>
  <si>
    <t>Page 15, Line 41: Gym Suits and Softball Batting Cage Purchases</t>
  </si>
  <si>
    <t>Page 17, Line 120: E-Rate Processing Fees</t>
  </si>
  <si>
    <t>Page 24, Line 32: Retirement of Capital Lease for Buses</t>
  </si>
  <si>
    <t>Ed-Instruction-Tuition</t>
  </si>
  <si>
    <t>See PDF version</t>
  </si>
  <si>
    <t>Germantown Hills SD 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</si>
</sst>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432955</xdr:colOff>
          <xdr:row>4</xdr:row>
          <xdr:rowOff>60614</xdr:rowOff>
        </xdr:from>
        <xdr:to>
          <xdr:col>1</xdr:col>
          <xdr:colOff>1347355</xdr:colOff>
          <xdr:row>8</xdr:row>
          <xdr:rowOff>98714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1515341</xdr:colOff>
          <xdr:row>4</xdr:row>
          <xdr:rowOff>69273</xdr:rowOff>
        </xdr:from>
        <xdr:to>
          <xdr:col>1</xdr:col>
          <xdr:colOff>2426277</xdr:colOff>
          <xdr:row>8</xdr:row>
          <xdr:rowOff>107373</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5" sqref="A15:H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2070</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2070</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53102069002</v>
      </c>
      <c r="B13" s="2017"/>
      <c r="C13" s="2017"/>
      <c r="D13" s="2017"/>
      <c r="E13" s="2017"/>
      <c r="F13" s="2017"/>
      <c r="G13" s="2017"/>
      <c r="H13" s="2018"/>
      <c r="I13" s="31"/>
      <c r="J13" s="30"/>
      <c r="K13" s="28"/>
      <c r="L13" s="30"/>
      <c r="M13" s="30"/>
      <c r="N13" s="30"/>
      <c r="O13" s="30"/>
      <c r="P13" s="30"/>
      <c r="Q13" s="30"/>
      <c r="R13" s="30"/>
      <c r="S13" s="30"/>
      <c r="T13" s="2021" t="s">
        <v>2072</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2073</v>
      </c>
      <c r="B15" s="2019"/>
      <c r="C15" s="2019"/>
      <c r="D15" s="2019"/>
      <c r="E15" s="2019"/>
      <c r="F15" s="2019"/>
      <c r="G15" s="2019"/>
      <c r="H15" s="2020"/>
      <c r="T15" s="2025" t="s">
        <v>2077</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2106</v>
      </c>
      <c r="B17" s="1976"/>
      <c r="C17" s="1976"/>
      <c r="D17" s="1976"/>
      <c r="E17" s="1976"/>
      <c r="F17" s="1976"/>
      <c r="G17" s="1976"/>
      <c r="H17" s="2001"/>
      <c r="T17" s="2032" t="s">
        <v>2064</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2074</v>
      </c>
      <c r="B19" s="1961"/>
      <c r="C19" s="1961"/>
      <c r="D19" s="1961"/>
      <c r="E19" s="1961"/>
      <c r="F19" s="1961"/>
      <c r="G19" s="1961"/>
      <c r="H19" s="1941"/>
      <c r="I19" s="30"/>
      <c r="J19" s="99"/>
      <c r="K19" s="40"/>
      <c r="L19" s="38"/>
      <c r="M19" s="112" t="s">
        <v>315</v>
      </c>
      <c r="P19" s="27"/>
      <c r="Q19" s="27"/>
      <c r="R19" s="27"/>
      <c r="S19" s="31"/>
      <c r="T19" s="2015" t="s">
        <v>2065</v>
      </c>
      <c r="U19" s="1940"/>
      <c r="V19" s="1940"/>
      <c r="W19" s="1941"/>
      <c r="X19" s="2030" t="s">
        <v>2066</v>
      </c>
      <c r="Y19" s="2031"/>
      <c r="Z19" s="2028">
        <v>61614</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2075</v>
      </c>
      <c r="B21" s="1940"/>
      <c r="C21" s="1940"/>
      <c r="D21" s="1940"/>
      <c r="E21" s="1940"/>
      <c r="F21" s="1940"/>
      <c r="G21" s="1940"/>
      <c r="H21" s="1941"/>
      <c r="I21" s="1995" t="s">
        <v>678</v>
      </c>
      <c r="J21" s="1990"/>
      <c r="K21" s="1990"/>
      <c r="L21" s="1990"/>
      <c r="M21" s="1990"/>
      <c r="N21" s="1990"/>
      <c r="O21" s="1990"/>
      <c r="P21" s="1990"/>
      <c r="Q21" s="1990"/>
      <c r="R21" s="1990"/>
      <c r="S21" s="1996"/>
      <c r="T21" s="2039" t="s">
        <v>2067</v>
      </c>
      <c r="U21" s="2040"/>
      <c r="V21" s="2040"/>
      <c r="W21" s="2040"/>
      <c r="X21" s="2045" t="s">
        <v>2068</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2076</v>
      </c>
      <c r="B23" s="1993"/>
      <c r="C23" s="1993"/>
      <c r="D23" s="1993"/>
      <c r="E23" s="1993"/>
      <c r="F23" s="1993"/>
      <c r="G23" s="1993"/>
      <c r="H23" s="1994"/>
      <c r="T23" s="1975" t="s">
        <v>2069</v>
      </c>
      <c r="U23" s="2038"/>
      <c r="V23" s="2038"/>
      <c r="W23" s="2038"/>
      <c r="X23" s="2042">
        <v>44501</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61548</v>
      </c>
      <c r="B25" s="1940"/>
      <c r="C25" s="1940"/>
      <c r="D25" s="1940"/>
      <c r="E25" s="1940"/>
      <c r="F25" s="1940"/>
      <c r="G25" s="1940"/>
      <c r="H25" s="1941"/>
      <c r="I25" s="113"/>
      <c r="J25" s="1964"/>
      <c r="K25" s="1964"/>
      <c r="L25" s="1964"/>
      <c r="M25" s="1964"/>
      <c r="N25" s="1964"/>
      <c r="O25" s="1964"/>
      <c r="P25" s="1964"/>
      <c r="Q25" s="1964"/>
      <c r="R25" s="1964"/>
      <c r="S25" s="1965"/>
      <c r="T25" s="2035" t="s">
        <v>2078</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2079</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2076</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2080</v>
      </c>
      <c r="B42" s="1959"/>
      <c r="C42" s="1960"/>
      <c r="D42" s="1958" t="s">
        <v>2081</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81" t="s">
        <v>1802</v>
      </c>
      <c r="B2" s="1524" t="s">
        <v>1951</v>
      </c>
      <c r="C2" s="711" t="s">
        <v>1952</v>
      </c>
      <c r="D2" s="711" t="s">
        <v>1953</v>
      </c>
      <c r="E2" s="711" t="s">
        <v>1954</v>
      </c>
      <c r="F2" s="711" t="s">
        <v>1955</v>
      </c>
    </row>
    <row r="3" spans="1:6" ht="12" customHeight="1" x14ac:dyDescent="0.2">
      <c r="A3" s="2182"/>
      <c r="B3" s="1521"/>
      <c r="C3" s="1522"/>
      <c r="D3" s="1523" t="s">
        <v>256</v>
      </c>
      <c r="E3" s="1522"/>
      <c r="F3" s="1523" t="s">
        <v>257</v>
      </c>
    </row>
    <row r="4" spans="1:6" ht="13.7" customHeight="1" x14ac:dyDescent="0.2">
      <c r="A4" s="712" t="s">
        <v>1155</v>
      </c>
      <c r="B4" s="1745">
        <f>'Revenues 9-14'!C5</f>
        <v>2820699</v>
      </c>
      <c r="C4" s="1520"/>
      <c r="D4" s="1748">
        <f>B4-C4</f>
        <v>2820699</v>
      </c>
      <c r="E4" s="1520">
        <v>2820494</v>
      </c>
      <c r="F4" s="1748">
        <f>E4-C4</f>
        <v>2820494</v>
      </c>
    </row>
    <row r="5" spans="1:6" ht="13.7" customHeight="1" x14ac:dyDescent="0.2">
      <c r="A5" s="712" t="s">
        <v>870</v>
      </c>
      <c r="B5" s="1746">
        <f>'Revenues 9-14'!D5</f>
        <v>498764</v>
      </c>
      <c r="C5" s="582"/>
      <c r="D5" s="1749">
        <f t="shared" ref="D5:D18" si="0">B5-C5</f>
        <v>498764</v>
      </c>
      <c r="E5" s="582">
        <v>500026</v>
      </c>
      <c r="F5" s="1749">
        <f>E5-C5</f>
        <v>500026</v>
      </c>
    </row>
    <row r="6" spans="1:6" ht="13.7" customHeight="1" x14ac:dyDescent="0.2">
      <c r="A6" s="712" t="s">
        <v>411</v>
      </c>
      <c r="B6" s="1746">
        <f>'Revenues 9-14'!E5</f>
        <v>1092082</v>
      </c>
      <c r="C6" s="582"/>
      <c r="D6" s="1749">
        <f t="shared" si="0"/>
        <v>1092082</v>
      </c>
      <c r="E6" s="582">
        <v>1113525</v>
      </c>
      <c r="F6" s="1749">
        <f t="shared" ref="F6:F18" si="1">E6-C6</f>
        <v>1113525</v>
      </c>
    </row>
    <row r="7" spans="1:6" ht="13.7" customHeight="1" x14ac:dyDescent="0.2">
      <c r="A7" s="712" t="s">
        <v>155</v>
      </c>
      <c r="B7" s="1746">
        <f>'Revenues 9-14'!F5</f>
        <v>195655</v>
      </c>
      <c r="C7" s="582"/>
      <c r="D7" s="1749">
        <f t="shared" si="0"/>
        <v>195655</v>
      </c>
      <c r="E7" s="582">
        <v>195641</v>
      </c>
      <c r="F7" s="1749">
        <f t="shared" si="1"/>
        <v>195641</v>
      </c>
    </row>
    <row r="8" spans="1:6" ht="13.7" customHeight="1" x14ac:dyDescent="0.2">
      <c r="A8" s="712" t="s">
        <v>1179</v>
      </c>
      <c r="B8" s="1746">
        <f>'Revenues 9-14'!G5</f>
        <v>76794</v>
      </c>
      <c r="C8" s="582"/>
      <c r="D8" s="1749">
        <f t="shared" si="0"/>
        <v>76794</v>
      </c>
      <c r="E8" s="582">
        <v>130101</v>
      </c>
      <c r="F8" s="1749">
        <f t="shared" si="1"/>
        <v>130101</v>
      </c>
    </row>
    <row r="9" spans="1:6" ht="13.7" customHeight="1" x14ac:dyDescent="0.2">
      <c r="A9" s="712" t="s">
        <v>408</v>
      </c>
      <c r="B9" s="1746">
        <f>'Revenues 9-14'!H5</f>
        <v>0</v>
      </c>
      <c r="C9" s="582"/>
      <c r="D9" s="1749">
        <f t="shared" si="0"/>
        <v>0</v>
      </c>
      <c r="E9" s="582"/>
      <c r="F9" s="1749">
        <f t="shared" si="1"/>
        <v>0</v>
      </c>
    </row>
    <row r="10" spans="1:6" ht="13.7" customHeight="1" x14ac:dyDescent="0.2">
      <c r="A10" s="712" t="s">
        <v>407</v>
      </c>
      <c r="B10" s="1746">
        <f>'Revenues 9-14'!I5</f>
        <v>0</v>
      </c>
      <c r="C10" s="582"/>
      <c r="D10" s="1749">
        <f t="shared" si="0"/>
        <v>0</v>
      </c>
      <c r="E10" s="582"/>
      <c r="F10" s="1749">
        <f t="shared" si="1"/>
        <v>0</v>
      </c>
    </row>
    <row r="11" spans="1:6" x14ac:dyDescent="0.2">
      <c r="A11" s="712" t="s">
        <v>409</v>
      </c>
      <c r="B11" s="1746">
        <f>'Revenues 9-14'!J5</f>
        <v>279299</v>
      </c>
      <c r="C11" s="582"/>
      <c r="D11" s="1749">
        <f t="shared" si="0"/>
        <v>279299</v>
      </c>
      <c r="E11" s="582">
        <v>305037</v>
      </c>
      <c r="F11" s="1749">
        <f t="shared" si="1"/>
        <v>305037</v>
      </c>
    </row>
    <row r="12" spans="1:6" ht="13.7" customHeight="1" x14ac:dyDescent="0.2">
      <c r="A12" s="712" t="s">
        <v>157</v>
      </c>
      <c r="B12" s="1746">
        <f>'Revenues 9-14'!K5</f>
        <v>0</v>
      </c>
      <c r="C12" s="582"/>
      <c r="D12" s="1749">
        <f t="shared" si="0"/>
        <v>0</v>
      </c>
      <c r="E12" s="582"/>
      <c r="F12" s="1749">
        <f t="shared" si="1"/>
        <v>0</v>
      </c>
    </row>
    <row r="13" spans="1:6" ht="13.7" customHeight="1" x14ac:dyDescent="0.2">
      <c r="A13" s="712" t="s">
        <v>936</v>
      </c>
      <c r="B13" s="1746">
        <f>SUM('Revenues 9-14'!C6:D6)</f>
        <v>16957</v>
      </c>
      <c r="C13" s="582"/>
      <c r="D13" s="1749">
        <f t="shared" si="0"/>
        <v>16957</v>
      </c>
      <c r="E13" s="582">
        <v>17119</v>
      </c>
      <c r="F13" s="1749">
        <f t="shared" si="1"/>
        <v>17119</v>
      </c>
    </row>
    <row r="14" spans="1:6" ht="13.7" customHeight="1" x14ac:dyDescent="0.2">
      <c r="A14" s="712" t="s">
        <v>410</v>
      </c>
      <c r="B14" s="1746">
        <f>SUM('Revenues 9-14'!C7:D7,'Revenues 9-14'!F7:H7)</f>
        <v>32609</v>
      </c>
      <c r="C14" s="582"/>
      <c r="D14" s="1749">
        <f t="shared" si="0"/>
        <v>32609</v>
      </c>
      <c r="E14" s="582">
        <v>32607</v>
      </c>
      <c r="F14" s="1749">
        <f t="shared" si="1"/>
        <v>32607</v>
      </c>
    </row>
    <row r="15" spans="1:6" ht="13.7" customHeight="1" x14ac:dyDescent="0.2">
      <c r="A15" s="712" t="s">
        <v>1158</v>
      </c>
      <c r="B15" s="1746">
        <f>SUM('Revenues 9-14'!D9:E9,'Revenues 9-14'!H9)</f>
        <v>0</v>
      </c>
      <c r="C15" s="582"/>
      <c r="D15" s="1749">
        <f t="shared" si="0"/>
        <v>0</v>
      </c>
      <c r="E15" s="582"/>
      <c r="F15" s="1749">
        <f t="shared" si="1"/>
        <v>0</v>
      </c>
    </row>
    <row r="16" spans="1:6" ht="13.7" customHeight="1" x14ac:dyDescent="0.2">
      <c r="A16" s="712" t="s">
        <v>1159</v>
      </c>
      <c r="B16" s="1746">
        <f>'Revenues 9-14'!G8</f>
        <v>101741</v>
      </c>
      <c r="C16" s="582"/>
      <c r="D16" s="1749">
        <f t="shared" si="0"/>
        <v>101741</v>
      </c>
      <c r="E16" s="582">
        <v>40106</v>
      </c>
      <c r="F16" s="1749">
        <f t="shared" si="1"/>
        <v>40106</v>
      </c>
    </row>
    <row r="17" spans="1:6" ht="13.7" customHeight="1" x14ac:dyDescent="0.2">
      <c r="A17" s="712" t="s">
        <v>1160</v>
      </c>
      <c r="B17" s="1746">
        <f>'Revenues 9-14'!C10</f>
        <v>0</v>
      </c>
      <c r="C17" s="582"/>
      <c r="D17" s="1749">
        <f t="shared" si="0"/>
        <v>0</v>
      </c>
      <c r="E17" s="582"/>
      <c r="F17" s="1749">
        <f t="shared" si="1"/>
        <v>0</v>
      </c>
    </row>
    <row r="18" spans="1:6" ht="13.7" customHeight="1" x14ac:dyDescent="0.2">
      <c r="A18" s="712" t="s">
        <v>762</v>
      </c>
      <c r="B18" s="1746">
        <f>SUM('Revenues 9-14'!C11:K11)</f>
        <v>0</v>
      </c>
      <c r="C18" s="582"/>
      <c r="D18" s="1749">
        <f t="shared" si="0"/>
        <v>0</v>
      </c>
      <c r="E18" s="582"/>
      <c r="F18" s="1749">
        <f t="shared" si="1"/>
        <v>0</v>
      </c>
    </row>
    <row r="19" spans="1:6" ht="13.7" customHeight="1" thickBot="1" x14ac:dyDescent="0.25">
      <c r="A19" s="1750" t="s">
        <v>1161</v>
      </c>
      <c r="B19" s="1747">
        <f>SUM(B4:B18)</f>
        <v>5114600</v>
      </c>
      <c r="C19" s="1747">
        <f>SUM(C4:C18)</f>
        <v>0</v>
      </c>
      <c r="D19" s="1747">
        <f>SUM(D4:D18)</f>
        <v>5114600</v>
      </c>
      <c r="E19" s="1747">
        <f>SUM(E4:E18)</f>
        <v>5154656</v>
      </c>
      <c r="F19" s="1747">
        <f>SUM(F4:F18)</f>
        <v>5154656</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18"/>
    </row>
    <row r="2" spans="1:7" ht="33.75" x14ac:dyDescent="0.2">
      <c r="A2" s="2208" t="s">
        <v>1802</v>
      </c>
      <c r="B2" s="2209"/>
      <c r="C2" s="1880" t="s">
        <v>1956</v>
      </c>
      <c r="D2" s="720" t="s">
        <v>1957</v>
      </c>
      <c r="E2" s="720" t="s">
        <v>1958</v>
      </c>
      <c r="F2" s="1880" t="s">
        <v>1959</v>
      </c>
    </row>
    <row r="3" spans="1:7" ht="15.75" customHeight="1" x14ac:dyDescent="0.2">
      <c r="A3" s="2210" t="s">
        <v>1114</v>
      </c>
      <c r="B3" s="2211"/>
      <c r="C3" s="2204"/>
      <c r="D3" s="2205"/>
      <c r="E3" s="2205"/>
      <c r="F3" s="2206"/>
    </row>
    <row r="4" spans="1:7" ht="12.75" customHeight="1" thickBot="1" x14ac:dyDescent="0.25">
      <c r="A4" s="2198" t="s">
        <v>630</v>
      </c>
      <c r="B4" s="2199"/>
      <c r="C4" s="578"/>
      <c r="D4" s="578"/>
      <c r="E4" s="578"/>
      <c r="F4" s="1751">
        <f>SUM(C4+D4)-E4</f>
        <v>0</v>
      </c>
    </row>
    <row r="5" spans="1:7" ht="15.75" customHeight="1" thickTop="1" x14ac:dyDescent="0.2">
      <c r="A5" s="2202" t="s">
        <v>1110</v>
      </c>
      <c r="B5" s="2197"/>
      <c r="C5" s="2191"/>
      <c r="D5" s="2192"/>
      <c r="E5" s="2192"/>
      <c r="F5" s="2193"/>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194" t="s">
        <v>631</v>
      </c>
      <c r="B15" s="2195"/>
      <c r="C15" s="1751">
        <f>SUM(C6:C14)</f>
        <v>0</v>
      </c>
      <c r="D15" s="1751">
        <f>SUM(D6:D14)</f>
        <v>0</v>
      </c>
      <c r="E15" s="1751">
        <f>SUM(E6:E14)</f>
        <v>0</v>
      </c>
      <c r="F15" s="1751">
        <f>SUM(F6:F14)</f>
        <v>0</v>
      </c>
      <c r="G15" s="549"/>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3"/>
      <c r="D17" s="582"/>
      <c r="E17" s="723"/>
      <c r="F17" s="1751">
        <f>SUM(C17+D17)-E17</f>
        <v>0</v>
      </c>
    </row>
    <row r="18" spans="1:11" ht="12.75" customHeight="1" thickTop="1" thickBot="1" x14ac:dyDescent="0.25">
      <c r="A18" s="2189" t="s">
        <v>6</v>
      </c>
      <c r="B18" s="2190"/>
      <c r="C18" s="723"/>
      <c r="D18" s="582"/>
      <c r="E18" s="723"/>
      <c r="F18" s="1751">
        <f>SUM(C18+D18)-E18</f>
        <v>0</v>
      </c>
    </row>
    <row r="19" spans="1:11" ht="12.75" customHeight="1" thickTop="1" thickBot="1" x14ac:dyDescent="0.25">
      <c r="A19" s="2189" t="s">
        <v>388</v>
      </c>
      <c r="B19" s="2190"/>
      <c r="C19" s="723"/>
      <c r="D19" s="582"/>
      <c r="E19" s="723"/>
      <c r="F19" s="1751">
        <f>SUM(C19+D19)-E19</f>
        <v>0</v>
      </c>
    </row>
    <row r="20" spans="1:11" ht="12.75" customHeight="1" thickTop="1" thickBot="1" x14ac:dyDescent="0.25">
      <c r="A20" s="2189" t="s">
        <v>448</v>
      </c>
      <c r="B20" s="2190"/>
      <c r="C20" s="723"/>
      <c r="D20" s="582"/>
      <c r="E20" s="723"/>
      <c r="F20" s="1751">
        <f>SUM(C20+D20)-E20</f>
        <v>0</v>
      </c>
    </row>
    <row r="21" spans="1:11" ht="14.25" thickTop="1" thickBot="1" x14ac:dyDescent="0.25">
      <c r="A21" s="2194" t="s">
        <v>632</v>
      </c>
      <c r="B21" s="2195"/>
      <c r="C21" s="1751">
        <f>SUM(C17:C20)</f>
        <v>0</v>
      </c>
      <c r="D21" s="1751">
        <f>SUM(D17:D20)</f>
        <v>0</v>
      </c>
      <c r="E21" s="1751">
        <f>SUM(E17:E20)</f>
        <v>0</v>
      </c>
      <c r="F21" s="1751">
        <f>SUM(F17:F20)</f>
        <v>0</v>
      </c>
      <c r="G21" s="549"/>
    </row>
    <row r="22" spans="1:11" ht="15.75" customHeight="1" thickTop="1" x14ac:dyDescent="0.2">
      <c r="A22" s="2196" t="s">
        <v>1112</v>
      </c>
      <c r="B22" s="2197"/>
      <c r="C22" s="2191"/>
      <c r="D22" s="2192"/>
      <c r="E22" s="2192"/>
      <c r="F22" s="2193"/>
    </row>
    <row r="23" spans="1:11" ht="13.5" thickBot="1" x14ac:dyDescent="0.25">
      <c r="A23" s="2198" t="s">
        <v>633</v>
      </c>
      <c r="B23" s="2199"/>
      <c r="C23" s="578"/>
      <c r="D23" s="578"/>
      <c r="E23" s="578"/>
      <c r="F23" s="1751">
        <f>SUM(C23+D23)-E23</f>
        <v>0</v>
      </c>
      <c r="G23" s="549"/>
    </row>
    <row r="24" spans="1:11" ht="15.75" customHeight="1" thickTop="1" x14ac:dyDescent="0.2">
      <c r="A24" s="2196" t="s">
        <v>1113</v>
      </c>
      <c r="B24" s="2197"/>
      <c r="C24" s="2191"/>
      <c r="D24" s="2192"/>
      <c r="E24" s="2192"/>
      <c r="F24" s="2193"/>
    </row>
    <row r="25" spans="1:11" ht="13.5" thickBot="1" x14ac:dyDescent="0.25">
      <c r="A25" s="2198" t="s">
        <v>634</v>
      </c>
      <c r="B25" s="2199"/>
      <c r="C25" s="578"/>
      <c r="D25" s="578"/>
      <c r="E25" s="578"/>
      <c r="F25" s="1751">
        <f>SUM(C25+D25)-E25</f>
        <v>0</v>
      </c>
      <c r="G25" s="549"/>
    </row>
    <row r="26" spans="1:11" ht="15.75" customHeight="1" thickTop="1" x14ac:dyDescent="0.2">
      <c r="A26" s="2202" t="s">
        <v>657</v>
      </c>
      <c r="B26" s="2197"/>
      <c r="C26" s="724"/>
      <c r="D26" s="724"/>
      <c r="E26" s="724"/>
      <c r="F26" s="725"/>
    </row>
    <row r="27" spans="1:11" ht="13.5" thickBot="1" x14ac:dyDescent="0.25">
      <c r="A27" s="2194" t="s">
        <v>1070</v>
      </c>
      <c r="B27" s="2195"/>
      <c r="C27" s="582"/>
      <c r="D27" s="582"/>
      <c r="E27" s="582"/>
      <c r="F27" s="1751">
        <f>SUM(C27+D27)-E27</f>
        <v>0</v>
      </c>
      <c r="G27" s="549"/>
    </row>
    <row r="28" spans="1:11" ht="7.5" customHeight="1" thickTop="1" x14ac:dyDescent="0.2">
      <c r="A28" s="590"/>
    </row>
    <row r="29" spans="1:11" ht="23.25" customHeight="1" x14ac:dyDescent="0.2">
      <c r="A29" s="2200" t="s">
        <v>582</v>
      </c>
      <c r="B29" s="2201"/>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t="s">
        <v>2083</v>
      </c>
      <c r="B31" s="730">
        <v>42367</v>
      </c>
      <c r="C31" s="731">
        <v>8735000</v>
      </c>
      <c r="D31" s="732" t="s">
        <v>2085</v>
      </c>
      <c r="E31" s="731">
        <v>7005000</v>
      </c>
      <c r="F31" s="731"/>
      <c r="G31" s="731"/>
      <c r="H31" s="731">
        <v>950000</v>
      </c>
      <c r="I31" s="1752">
        <f>((E31+F31)-H31)+G31</f>
        <v>6055000</v>
      </c>
      <c r="J31" s="731">
        <f>I31-204752</f>
        <v>5850248</v>
      </c>
      <c r="K31" s="733"/>
    </row>
    <row r="32" spans="1:11" ht="12" customHeight="1" x14ac:dyDescent="0.2">
      <c r="A32" s="729" t="s">
        <v>2084</v>
      </c>
      <c r="B32" s="730">
        <v>42690</v>
      </c>
      <c r="C32" s="731">
        <v>159877</v>
      </c>
      <c r="D32" s="732">
        <v>7</v>
      </c>
      <c r="E32" s="731">
        <v>95889</v>
      </c>
      <c r="F32" s="731"/>
      <c r="G32" s="731">
        <v>-31193</v>
      </c>
      <c r="H32" s="731"/>
      <c r="I32" s="1752">
        <f>((E32+F32)-H32)+G32</f>
        <v>64696</v>
      </c>
      <c r="J32" s="731">
        <v>64696</v>
      </c>
      <c r="K32" s="733"/>
    </row>
    <row r="33" spans="1:11" ht="12" customHeight="1" x14ac:dyDescent="0.2">
      <c r="A33" s="729"/>
      <c r="B33" s="730"/>
      <c r="C33" s="731"/>
      <c r="D33" s="732"/>
      <c r="E33" s="731"/>
      <c r="F33" s="731"/>
      <c r="G33" s="731"/>
      <c r="H33" s="731"/>
      <c r="I33" s="1752">
        <f t="shared" ref="I33:I48" si="1">((E33+F33)-H33)+G33</f>
        <v>0</v>
      </c>
      <c r="J33" s="731"/>
      <c r="K33" s="733"/>
    </row>
    <row r="34" spans="1:11" ht="12" customHeight="1" x14ac:dyDescent="0.2">
      <c r="A34" s="729"/>
      <c r="B34" s="730"/>
      <c r="C34" s="731"/>
      <c r="D34" s="732"/>
      <c r="E34" s="731"/>
      <c r="F34" s="731"/>
      <c r="G34" s="731"/>
      <c r="H34" s="731"/>
      <c r="I34" s="1752">
        <f t="shared" si="1"/>
        <v>0</v>
      </c>
      <c r="J34" s="731"/>
      <c r="K34" s="734"/>
    </row>
    <row r="35" spans="1:11" ht="12" customHeight="1" x14ac:dyDescent="0.2">
      <c r="A35" s="729"/>
      <c r="B35" s="730"/>
      <c r="C35" s="735"/>
      <c r="D35" s="732"/>
      <c r="E35" s="735"/>
      <c r="F35" s="735"/>
      <c r="G35" s="735"/>
      <c r="H35" s="735"/>
      <c r="I35" s="1752">
        <f t="shared" si="1"/>
        <v>0</v>
      </c>
      <c r="J35" s="735"/>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8894877</v>
      </c>
      <c r="D49" s="742"/>
      <c r="E49" s="1752">
        <f t="shared" ref="E49:J49" si="2">SUM(E31:E48)</f>
        <v>7100889</v>
      </c>
      <c r="F49" s="1752">
        <f t="shared" si="2"/>
        <v>0</v>
      </c>
      <c r="G49" s="1752">
        <f t="shared" si="2"/>
        <v>-31193</v>
      </c>
      <c r="H49" s="1752">
        <f t="shared" si="2"/>
        <v>950000</v>
      </c>
      <c r="I49" s="1752">
        <f t="shared" si="2"/>
        <v>6119696</v>
      </c>
      <c r="J49" s="1752">
        <f t="shared" si="2"/>
        <v>5914944</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83" t="s">
        <v>584</v>
      </c>
      <c r="C52" s="2184"/>
      <c r="D52" s="2184"/>
      <c r="E52" s="746" t="s">
        <v>845</v>
      </c>
      <c r="F52" s="2185" t="s">
        <v>2086</v>
      </c>
      <c r="G52" s="2186"/>
      <c r="H52" s="733"/>
      <c r="I52" s="733"/>
      <c r="J52" s="743"/>
    </row>
    <row r="53" spans="1:11" ht="11.25" customHeight="1" x14ac:dyDescent="0.2">
      <c r="A53" s="747" t="s">
        <v>913</v>
      </c>
      <c r="B53" s="748" t="s">
        <v>951</v>
      </c>
      <c r="C53" s="743"/>
      <c r="D53" s="734"/>
      <c r="E53" s="746" t="s">
        <v>497</v>
      </c>
      <c r="F53" s="2187"/>
      <c r="G53" s="2188"/>
      <c r="H53" s="733"/>
      <c r="I53" s="733"/>
      <c r="J53" s="743"/>
    </row>
    <row r="54" spans="1:11" ht="11.25" customHeight="1" x14ac:dyDescent="0.2">
      <c r="A54" s="749" t="s">
        <v>914</v>
      </c>
      <c r="B54" s="744" t="s">
        <v>952</v>
      </c>
      <c r="C54" s="743"/>
      <c r="D54" s="734"/>
      <c r="E54" s="746" t="s">
        <v>498</v>
      </c>
      <c r="F54" s="2187"/>
      <c r="G54" s="218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26"/>
      <c r="I1" s="757"/>
      <c r="J1" s="433"/>
    </row>
    <row r="2" spans="1:11" ht="26.25" x14ac:dyDescent="0.2">
      <c r="A2" s="2231" t="s">
        <v>1677</v>
      </c>
      <c r="B2" s="2232"/>
      <c r="C2" s="2232"/>
      <c r="D2" s="2232"/>
      <c r="E2" s="2233"/>
      <c r="F2" s="758" t="s">
        <v>904</v>
      </c>
      <c r="G2" s="759" t="s">
        <v>1674</v>
      </c>
      <c r="H2" s="759" t="s">
        <v>410</v>
      </c>
      <c r="I2" s="759" t="s">
        <v>1158</v>
      </c>
      <c r="J2" s="759" t="s">
        <v>1812</v>
      </c>
      <c r="K2" s="759" t="s">
        <v>138</v>
      </c>
    </row>
    <row r="3" spans="1:11" x14ac:dyDescent="0.2">
      <c r="A3" s="2234" t="s">
        <v>1964</v>
      </c>
      <c r="B3" s="2235"/>
      <c r="C3" s="2235"/>
      <c r="D3" s="2235"/>
      <c r="E3" s="2236"/>
      <c r="F3" s="760"/>
      <c r="G3" s="761"/>
      <c r="H3" s="761"/>
      <c r="I3" s="761"/>
      <c r="J3" s="762"/>
      <c r="K3" s="762"/>
    </row>
    <row r="4" spans="1:11" x14ac:dyDescent="0.2">
      <c r="A4" s="2237" t="s">
        <v>369</v>
      </c>
      <c r="B4" s="2238"/>
      <c r="C4" s="2238"/>
      <c r="D4" s="2238"/>
      <c r="E4" s="2184"/>
      <c r="F4" s="763"/>
      <c r="G4" s="764"/>
      <c r="H4" s="765"/>
      <c r="I4" s="764"/>
      <c r="J4" s="766"/>
      <c r="K4" s="766"/>
    </row>
    <row r="5" spans="1:11" x14ac:dyDescent="0.2">
      <c r="A5" s="2215" t="s">
        <v>1069</v>
      </c>
      <c r="B5" s="2216"/>
      <c r="C5" s="2216"/>
      <c r="D5" s="2216"/>
      <c r="E5" s="2217"/>
      <c r="F5" s="767" t="s">
        <v>848</v>
      </c>
      <c r="G5" s="768"/>
      <c r="H5" s="761">
        <v>32609</v>
      </c>
      <c r="I5" s="769"/>
      <c r="J5" s="770"/>
      <c r="K5" s="770"/>
    </row>
    <row r="6" spans="1:11" x14ac:dyDescent="0.2">
      <c r="A6" s="771" t="s">
        <v>720</v>
      </c>
      <c r="B6" s="772"/>
      <c r="C6" s="772"/>
      <c r="D6" s="772"/>
      <c r="E6" s="773"/>
      <c r="F6" s="774" t="s">
        <v>849</v>
      </c>
      <c r="G6" s="761"/>
      <c r="H6" s="761">
        <v>27</v>
      </c>
      <c r="I6" s="761"/>
      <c r="J6" s="762">
        <v>128</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170355</v>
      </c>
      <c r="K8" s="766"/>
    </row>
    <row r="9" spans="1:11" x14ac:dyDescent="0.2">
      <c r="A9" s="775" t="s">
        <v>138</v>
      </c>
      <c r="B9" s="776"/>
      <c r="C9" s="776"/>
      <c r="D9" s="776"/>
      <c r="E9" s="777"/>
      <c r="F9" s="774" t="s">
        <v>853</v>
      </c>
      <c r="G9" s="779"/>
      <c r="H9" s="768"/>
      <c r="I9" s="768"/>
      <c r="J9" s="778"/>
      <c r="K9" s="762"/>
    </row>
    <row r="10" spans="1:11" x14ac:dyDescent="0.2">
      <c r="A10" s="2215" t="s">
        <v>1813</v>
      </c>
      <c r="B10" s="2216"/>
      <c r="C10" s="2216"/>
      <c r="D10" s="2216"/>
      <c r="E10" s="2218"/>
      <c r="F10" s="780" t="s">
        <v>862</v>
      </c>
      <c r="G10" s="779"/>
      <c r="H10" s="781"/>
      <c r="I10" s="761"/>
      <c r="J10" s="762"/>
      <c r="K10" s="762"/>
    </row>
    <row r="11" spans="1:11" x14ac:dyDescent="0.2">
      <c r="A11" s="2215" t="s">
        <v>160</v>
      </c>
      <c r="B11" s="2216"/>
      <c r="C11" s="2216"/>
      <c r="D11" s="2216"/>
      <c r="E11" s="2217"/>
      <c r="F11" s="767" t="s">
        <v>852</v>
      </c>
      <c r="G11" s="768"/>
      <c r="H11" s="761"/>
      <c r="I11" s="761"/>
      <c r="J11" s="762"/>
      <c r="K11" s="770"/>
    </row>
    <row r="12" spans="1:11" ht="13.5" thickBot="1" x14ac:dyDescent="0.25">
      <c r="A12" s="2242" t="s">
        <v>905</v>
      </c>
      <c r="B12" s="2243"/>
      <c r="C12" s="2243"/>
      <c r="D12" s="2243"/>
      <c r="E12" s="2244"/>
      <c r="F12" s="1753"/>
      <c r="G12" s="1754">
        <f>SUM(G5:G11)</f>
        <v>0</v>
      </c>
      <c r="H12" s="1754">
        <f>SUM(H5:H11)</f>
        <v>32636</v>
      </c>
      <c r="I12" s="1754">
        <f>SUM(I5:I11)</f>
        <v>0</v>
      </c>
      <c r="J12" s="1754">
        <f>SUM(J5:J11)</f>
        <v>170483</v>
      </c>
      <c r="K12" s="1754">
        <f>SUM(K5:K11)</f>
        <v>0</v>
      </c>
    </row>
    <row r="13" spans="1:11" ht="13.5" thickTop="1" x14ac:dyDescent="0.2">
      <c r="A13" s="2239" t="s">
        <v>370</v>
      </c>
      <c r="B13" s="2240"/>
      <c r="C13" s="2240"/>
      <c r="D13" s="2240"/>
      <c r="E13" s="2241"/>
      <c r="F13" s="782"/>
      <c r="G13" s="783"/>
      <c r="H13" s="784"/>
      <c r="I13" s="785"/>
      <c r="J13" s="785"/>
      <c r="K13" s="785"/>
    </row>
    <row r="14" spans="1:11" x14ac:dyDescent="0.2">
      <c r="A14" s="2222" t="s">
        <v>456</v>
      </c>
      <c r="B14" s="2222"/>
      <c r="C14" s="2222"/>
      <c r="D14" s="2222"/>
      <c r="E14" s="2223"/>
      <c r="F14" s="786" t="s">
        <v>854</v>
      </c>
      <c r="G14" s="779"/>
      <c r="H14" s="761">
        <v>32636</v>
      </c>
      <c r="I14" s="768"/>
      <c r="J14" s="770"/>
      <c r="K14" s="762"/>
    </row>
    <row r="15" spans="1:11" x14ac:dyDescent="0.2">
      <c r="A15" s="2216" t="s">
        <v>4</v>
      </c>
      <c r="B15" s="2216"/>
      <c r="C15" s="2216"/>
      <c r="D15" s="2216"/>
      <c r="E15" s="2217"/>
      <c r="F15" s="786" t="s">
        <v>855</v>
      </c>
      <c r="G15" s="768"/>
      <c r="H15" s="761"/>
      <c r="I15" s="761"/>
      <c r="J15" s="762"/>
      <c r="K15" s="762"/>
    </row>
    <row r="16" spans="1:11" x14ac:dyDescent="0.2">
      <c r="A16" s="2216" t="s">
        <v>298</v>
      </c>
      <c r="B16" s="2216"/>
      <c r="C16" s="2216"/>
      <c r="D16" s="2216"/>
      <c r="E16" s="2217"/>
      <c r="F16" s="786" t="s">
        <v>923</v>
      </c>
      <c r="G16" s="769"/>
      <c r="H16" s="764"/>
      <c r="I16" s="764"/>
      <c r="J16" s="766"/>
      <c r="K16" s="766"/>
    </row>
    <row r="17" spans="1:11" x14ac:dyDescent="0.2">
      <c r="A17" s="2247" t="s">
        <v>935</v>
      </c>
      <c r="B17" s="2247"/>
      <c r="C17" s="2247"/>
      <c r="D17" s="2247"/>
      <c r="E17" s="2248"/>
      <c r="F17" s="787"/>
      <c r="G17" s="788"/>
      <c r="H17" s="789"/>
      <c r="I17" s="789"/>
      <c r="J17" s="790"/>
      <c r="K17" s="791"/>
    </row>
    <row r="18" spans="1:11" x14ac:dyDescent="0.2">
      <c r="A18" s="2226" t="s">
        <v>368</v>
      </c>
      <c r="B18" s="2227"/>
      <c r="C18" s="2227"/>
      <c r="D18" s="2227"/>
      <c r="E18" s="2228"/>
      <c r="F18" s="786" t="s">
        <v>932</v>
      </c>
      <c r="G18" s="779"/>
      <c r="H18" s="779"/>
      <c r="I18" s="779"/>
      <c r="J18" s="762"/>
      <c r="K18" s="792"/>
    </row>
    <row r="19" spans="1:11" ht="21.75" customHeight="1" x14ac:dyDescent="0.2">
      <c r="A19" s="2224" t="s">
        <v>1809</v>
      </c>
      <c r="B19" s="2224"/>
      <c r="C19" s="2224"/>
      <c r="D19" s="2224"/>
      <c r="E19" s="2225"/>
      <c r="F19" s="786" t="s">
        <v>933</v>
      </c>
      <c r="G19" s="779"/>
      <c r="H19" s="779"/>
      <c r="I19" s="779"/>
      <c r="J19" s="762"/>
      <c r="K19" s="792"/>
    </row>
    <row r="20" spans="1:11" x14ac:dyDescent="0.2">
      <c r="A20" s="2226" t="s">
        <v>1814</v>
      </c>
      <c r="B20" s="2227"/>
      <c r="C20" s="2227"/>
      <c r="D20" s="2227"/>
      <c r="E20" s="2228"/>
      <c r="F20" s="786" t="s">
        <v>934</v>
      </c>
      <c r="G20" s="779"/>
      <c r="H20" s="779"/>
      <c r="I20" s="779"/>
      <c r="J20" s="762"/>
      <c r="K20" s="792"/>
    </row>
    <row r="21" spans="1:11" ht="13.5" thickBot="1" x14ac:dyDescent="0.25">
      <c r="A21" s="2245" t="s">
        <v>638</v>
      </c>
      <c r="B21" s="2245"/>
      <c r="C21" s="2245"/>
      <c r="D21" s="2245"/>
      <c r="E21" s="2245"/>
      <c r="F21" s="1755"/>
      <c r="G21" s="789"/>
      <c r="H21" s="793"/>
      <c r="I21" s="793"/>
      <c r="J21" s="1756">
        <f>SUM(J18:J20)</f>
        <v>0</v>
      </c>
      <c r="K21" s="790"/>
    </row>
    <row r="22" spans="1:11" ht="13.5" thickTop="1" x14ac:dyDescent="0.2">
      <c r="A22" s="2216" t="s">
        <v>1815</v>
      </c>
      <c r="B22" s="2216"/>
      <c r="C22" s="2216"/>
      <c r="D22" s="2216"/>
      <c r="E22" s="2217"/>
      <c r="F22" s="786" t="s">
        <v>862</v>
      </c>
      <c r="G22" s="779"/>
      <c r="H22" s="761"/>
      <c r="I22" s="761"/>
      <c r="J22" s="794"/>
      <c r="K22" s="762"/>
    </row>
    <row r="23" spans="1:11" ht="13.5" thickBot="1" x14ac:dyDescent="0.25">
      <c r="A23" s="2246" t="s">
        <v>906</v>
      </c>
      <c r="B23" s="2245"/>
      <c r="C23" s="2245"/>
      <c r="D23" s="2245"/>
      <c r="E23" s="2245"/>
      <c r="F23" s="1757"/>
      <c r="G23" s="1754">
        <f>SUM(G14:G16,G21,G22)</f>
        <v>0</v>
      </c>
      <c r="H23" s="1754">
        <f>SUM(H14:H16,H21,H22)</f>
        <v>32636</v>
      </c>
      <c r="I23" s="1754">
        <f>SUM(I14:I16,I21,I22)</f>
        <v>0</v>
      </c>
      <c r="J23" s="1754">
        <f>SUM(J14:J16,J21,J22)</f>
        <v>0</v>
      </c>
      <c r="K23" s="1754">
        <f>SUM(K14:K16,K21,K22)</f>
        <v>0</v>
      </c>
    </row>
    <row r="24" spans="1:11" ht="14.25" thickTop="1" thickBot="1" x14ac:dyDescent="0.25">
      <c r="A24" s="2246" t="s">
        <v>1965</v>
      </c>
      <c r="B24" s="2245"/>
      <c r="C24" s="2245"/>
      <c r="D24" s="2245"/>
      <c r="E24" s="2245"/>
      <c r="F24" s="1758"/>
      <c r="G24" s="1759">
        <f>SUM(G3,G12)-G23</f>
        <v>0</v>
      </c>
      <c r="H24" s="1759">
        <f>SUM(H3,H12)-H23</f>
        <v>0</v>
      </c>
      <c r="I24" s="1759">
        <f>SUM(I3,I12)-I23</f>
        <v>0</v>
      </c>
      <c r="J24" s="1759">
        <f>SUM(J3,J12)-J23</f>
        <v>170483</v>
      </c>
      <c r="K24" s="1759">
        <f>SUM(K3,K12)-K23</f>
        <v>0</v>
      </c>
    </row>
    <row r="25" spans="1:11" ht="13.5" thickTop="1" x14ac:dyDescent="0.2">
      <c r="A25" s="795" t="s">
        <v>420</v>
      </c>
      <c r="B25" s="796"/>
      <c r="C25" s="796"/>
      <c r="D25" s="796"/>
      <c r="E25" s="797"/>
      <c r="F25" s="798">
        <v>714</v>
      </c>
      <c r="G25" s="799"/>
      <c r="H25" s="799"/>
      <c r="I25" s="799"/>
      <c r="J25" s="794">
        <v>170483</v>
      </c>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9"/>
      <c r="I31" s="2220"/>
      <c r="J31" s="2220"/>
      <c r="K31" s="2220"/>
    </row>
    <row r="32" spans="1:11" x14ac:dyDescent="0.2">
      <c r="A32" s="806"/>
      <c r="B32" s="237"/>
      <c r="C32" s="237"/>
      <c r="D32" s="237"/>
      <c r="E32" s="802"/>
      <c r="F32" s="808" t="s">
        <v>540</v>
      </c>
      <c r="G32" s="761"/>
      <c r="H32" s="2221"/>
      <c r="I32" s="2220"/>
      <c r="J32" s="2220"/>
      <c r="K32" s="2220"/>
    </row>
    <row r="33" spans="1:11" ht="1.5" customHeight="1" x14ac:dyDescent="0.2">
      <c r="A33" s="809" t="s">
        <v>1169</v>
      </c>
      <c r="B33" s="364"/>
      <c r="C33" s="364"/>
      <c r="D33" s="364"/>
      <c r="E33" s="364"/>
      <c r="F33" s="364"/>
      <c r="G33" s="810"/>
      <c r="H33" s="2221"/>
      <c r="I33" s="2220"/>
      <c r="J33" s="2220"/>
      <c r="K33" s="222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6" t="s">
        <v>541</v>
      </c>
      <c r="B41" s="2229"/>
      <c r="C41" s="2229"/>
      <c r="D41" s="2229"/>
      <c r="E41" s="2229"/>
      <c r="F41" s="223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3"/>
      <c r="E1" s="824"/>
      <c r="F1" s="824"/>
      <c r="G1" s="825"/>
      <c r="H1" s="826"/>
      <c r="I1" s="827"/>
      <c r="J1" s="2249"/>
      <c r="K1" s="2250"/>
      <c r="L1" s="225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137521</v>
      </c>
      <c r="D5" s="838"/>
      <c r="E5" s="838"/>
      <c r="F5" s="1756">
        <f>(C5+D5)-E5</f>
        <v>137521</v>
      </c>
      <c r="G5" s="834"/>
      <c r="H5" s="839"/>
      <c r="I5" s="839"/>
      <c r="J5" s="839"/>
      <c r="K5" s="790"/>
      <c r="L5" s="1765">
        <f>F5-K5</f>
        <v>137521</v>
      </c>
    </row>
    <row r="6" spans="1:14" ht="14.25" thickTop="1" thickBot="1" x14ac:dyDescent="0.25">
      <c r="A6" s="775" t="s">
        <v>1117</v>
      </c>
      <c r="B6" s="837">
        <v>222</v>
      </c>
      <c r="C6" s="762">
        <v>0</v>
      </c>
      <c r="D6" s="762"/>
      <c r="E6" s="762"/>
      <c r="F6" s="1756">
        <f>(C6+D6)-E6</f>
        <v>0</v>
      </c>
      <c r="G6" s="834">
        <v>50</v>
      </c>
      <c r="H6" s="762">
        <v>0</v>
      </c>
      <c r="I6" s="762"/>
      <c r="J6" s="762"/>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18178674</v>
      </c>
      <c r="D8" s="841">
        <v>15947</v>
      </c>
      <c r="E8" s="841"/>
      <c r="F8" s="1756">
        <f>(C8+D8)-E8</f>
        <v>18194621</v>
      </c>
      <c r="G8" s="840">
        <v>50</v>
      </c>
      <c r="H8" s="762">
        <v>4692115</v>
      </c>
      <c r="I8" s="762">
        <v>357554</v>
      </c>
      <c r="J8" s="762"/>
      <c r="K8" s="1765">
        <f>(H8+I8)-J8</f>
        <v>5049669</v>
      </c>
      <c r="L8" s="1765">
        <f>F8-K8</f>
        <v>13144952</v>
      </c>
    </row>
    <row r="9" spans="1:14" ht="14.25" thickTop="1" thickBot="1" x14ac:dyDescent="0.25">
      <c r="A9" s="775" t="s">
        <v>1119</v>
      </c>
      <c r="B9" s="837">
        <v>232</v>
      </c>
      <c r="C9" s="762">
        <v>0</v>
      </c>
      <c r="D9" s="762"/>
      <c r="E9" s="762"/>
      <c r="F9" s="1756">
        <f>(C9+D9)-E9</f>
        <v>0</v>
      </c>
      <c r="G9" s="840">
        <v>20</v>
      </c>
      <c r="H9" s="762">
        <v>0</v>
      </c>
      <c r="I9" s="762"/>
      <c r="J9" s="762"/>
      <c r="K9" s="1765">
        <f>(H9+I9)-J9</f>
        <v>0</v>
      </c>
      <c r="L9" s="1765">
        <f>F9-K9</f>
        <v>0</v>
      </c>
    </row>
    <row r="10" spans="1:14" ht="24" thickTop="1" thickBot="1" x14ac:dyDescent="0.25">
      <c r="A10" s="842" t="s">
        <v>1120</v>
      </c>
      <c r="B10" s="837">
        <v>240</v>
      </c>
      <c r="C10" s="843">
        <v>112808</v>
      </c>
      <c r="D10" s="843">
        <v>21752</v>
      </c>
      <c r="E10" s="843"/>
      <c r="F10" s="1760">
        <f>(C10+D10)-E10</f>
        <v>134560</v>
      </c>
      <c r="G10" s="840">
        <v>20</v>
      </c>
      <c r="H10" s="844">
        <v>32080</v>
      </c>
      <c r="I10" s="844">
        <v>6433</v>
      </c>
      <c r="J10" s="844"/>
      <c r="K10" s="1765">
        <f>(H10+I10)-J10</f>
        <v>38513</v>
      </c>
      <c r="L10" s="1765">
        <f>F10-K10</f>
        <v>96047</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729820</v>
      </c>
      <c r="D12" s="841">
        <v>39515</v>
      </c>
      <c r="E12" s="841">
        <v>20509</v>
      </c>
      <c r="F12" s="1756">
        <f>(C12+D12)-E12</f>
        <v>748826</v>
      </c>
      <c r="G12" s="840">
        <v>10</v>
      </c>
      <c r="H12" s="762">
        <v>170384</v>
      </c>
      <c r="I12" s="762">
        <v>72600</v>
      </c>
      <c r="J12" s="762">
        <v>20509</v>
      </c>
      <c r="K12" s="1765">
        <f>(H12+I12)-J12</f>
        <v>222475</v>
      </c>
      <c r="L12" s="1765">
        <f>F12-K12</f>
        <v>526351</v>
      </c>
    </row>
    <row r="13" spans="1:14" ht="14.25" thickTop="1" thickBot="1" x14ac:dyDescent="0.25">
      <c r="A13" s="845" t="s">
        <v>1122</v>
      </c>
      <c r="B13" s="837">
        <v>252</v>
      </c>
      <c r="C13" s="841">
        <v>594104</v>
      </c>
      <c r="D13" s="841">
        <v>94000</v>
      </c>
      <c r="E13" s="841"/>
      <c r="F13" s="1756">
        <f>(C13+D13)-E13</f>
        <v>688104</v>
      </c>
      <c r="G13" s="840">
        <v>5</v>
      </c>
      <c r="H13" s="762">
        <v>440597</v>
      </c>
      <c r="I13" s="762">
        <v>76649</v>
      </c>
      <c r="J13" s="762"/>
      <c r="K13" s="1765">
        <f>(H13+I13)-J13</f>
        <v>517246</v>
      </c>
      <c r="L13" s="1765">
        <f>F13-K13</f>
        <v>170858</v>
      </c>
    </row>
    <row r="14" spans="1:14" ht="14.25" thickTop="1" thickBot="1" x14ac:dyDescent="0.25">
      <c r="A14" s="845" t="s">
        <v>1123</v>
      </c>
      <c r="B14" s="837">
        <v>253</v>
      </c>
      <c r="C14" s="762">
        <v>0</v>
      </c>
      <c r="D14" s="762"/>
      <c r="E14" s="762"/>
      <c r="F14" s="1756">
        <f>(C14+D14)-E14</f>
        <v>0</v>
      </c>
      <c r="G14" s="840">
        <v>3</v>
      </c>
      <c r="H14" s="762">
        <v>0</v>
      </c>
      <c r="I14" s="762"/>
      <c r="J14" s="762"/>
      <c r="K14" s="1765">
        <f>(H14+I14)-J14</f>
        <v>0</v>
      </c>
      <c r="L14" s="1765">
        <f>F14-K14</f>
        <v>0</v>
      </c>
    </row>
    <row r="15" spans="1:14" ht="15" customHeight="1" thickTop="1" thickBot="1" x14ac:dyDescent="0.25">
      <c r="A15" s="1627" t="s">
        <v>528</v>
      </c>
      <c r="B15" s="1626">
        <v>260</v>
      </c>
      <c r="C15" s="841">
        <v>0</v>
      </c>
      <c r="D15" s="841"/>
      <c r="E15" s="841"/>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19752927</v>
      </c>
      <c r="D16" s="1756">
        <f>SUM(D3,D5:D6,D8:D10,D12:D15)</f>
        <v>171214</v>
      </c>
      <c r="E16" s="1756">
        <f>SUM(E3,E5:E6,E8:E10,E12:E15)</f>
        <v>20509</v>
      </c>
      <c r="F16" s="1756">
        <f>SUM(F3,F5:F6,F8:F10,F12:F15)</f>
        <v>19903632</v>
      </c>
      <c r="G16" s="840"/>
      <c r="H16" s="1756">
        <f>SUM(H3,H6,H8:H10,H12:H14,)</f>
        <v>5335176</v>
      </c>
      <c r="I16" s="1756">
        <f>SUM(I3,I6,I8:I10,I12:I14,)</f>
        <v>513236</v>
      </c>
      <c r="J16" s="1756">
        <f>SUM(J3,J6,J8:J10,J12:J14,)</f>
        <v>20509</v>
      </c>
      <c r="K16" s="1756">
        <f>(H16+I16)-J16</f>
        <v>5827903</v>
      </c>
      <c r="L16" s="1756">
        <f>F16-K16</f>
        <v>14075729</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513236</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H13" sqref="H13"/>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7" t="s">
        <v>1975</v>
      </c>
      <c r="B1" s="2258"/>
      <c r="C1" s="2258"/>
      <c r="D1" s="2258"/>
      <c r="E1" s="2258"/>
      <c r="F1" s="2259"/>
      <c r="G1" s="852"/>
    </row>
    <row r="2" spans="1:7" ht="15" customHeight="1" thickBot="1" x14ac:dyDescent="0.25">
      <c r="A2" s="2260" t="s">
        <v>477</v>
      </c>
      <c r="B2" s="2261"/>
      <c r="C2" s="2261"/>
      <c r="D2" s="2261"/>
      <c r="E2" s="2261"/>
      <c r="F2" s="226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5657978</v>
      </c>
      <c r="G8" s="862"/>
    </row>
    <row r="9" spans="1:7" x14ac:dyDescent="0.2">
      <c r="A9" s="866" t="s">
        <v>460</v>
      </c>
      <c r="B9" s="867" t="s">
        <v>1877</v>
      </c>
      <c r="C9" s="868"/>
      <c r="D9" s="866" t="s">
        <v>501</v>
      </c>
      <c r="E9" s="865"/>
      <c r="F9" s="1905">
        <f>'Expenditures 15-22'!K151</f>
        <v>488058</v>
      </c>
      <c r="G9" s="869"/>
    </row>
    <row r="10" spans="1:7" x14ac:dyDescent="0.2">
      <c r="A10" s="866" t="s">
        <v>499</v>
      </c>
      <c r="B10" s="867" t="s">
        <v>1878</v>
      </c>
      <c r="C10" s="868"/>
      <c r="D10" s="866" t="s">
        <v>501</v>
      </c>
      <c r="E10" s="865"/>
      <c r="F10" s="1905">
        <f>'Expenditures 15-22'!K174</f>
        <v>1094966</v>
      </c>
      <c r="G10" s="869"/>
    </row>
    <row r="11" spans="1:7" x14ac:dyDescent="0.2">
      <c r="A11" s="866" t="s">
        <v>461</v>
      </c>
      <c r="B11" s="867" t="s">
        <v>1879</v>
      </c>
      <c r="C11" s="868"/>
      <c r="D11" s="866" t="s">
        <v>501</v>
      </c>
      <c r="E11" s="865"/>
      <c r="F11" s="1905">
        <f>'Expenditures 15-22'!K210</f>
        <v>415195</v>
      </c>
      <c r="G11" s="869"/>
    </row>
    <row r="12" spans="1:7" x14ac:dyDescent="0.2">
      <c r="A12" s="866" t="s">
        <v>462</v>
      </c>
      <c r="B12" s="867" t="s">
        <v>1880</v>
      </c>
      <c r="C12" s="868"/>
      <c r="D12" s="866" t="s">
        <v>501</v>
      </c>
      <c r="E12" s="865"/>
      <c r="F12" s="1905">
        <f>'Expenditures 15-22'!K295</f>
        <v>218985</v>
      </c>
      <c r="G12" s="869"/>
    </row>
    <row r="13" spans="1:7" x14ac:dyDescent="0.2">
      <c r="A13" s="866" t="s">
        <v>106</v>
      </c>
      <c r="B13" s="867" t="s">
        <v>1881</v>
      </c>
      <c r="C13" s="868"/>
      <c r="D13" s="866" t="s">
        <v>501</v>
      </c>
      <c r="E13" s="865"/>
      <c r="F13" s="1905">
        <f>'Expenditures 15-22'!K342</f>
        <v>277620</v>
      </c>
      <c r="G13" s="870"/>
    </row>
    <row r="14" spans="1:7" ht="12" customHeight="1" thickBot="1" x14ac:dyDescent="0.25">
      <c r="A14" s="1766"/>
      <c r="B14" s="1767"/>
      <c r="C14" s="1768"/>
      <c r="D14" s="1769" t="s">
        <v>501</v>
      </c>
      <c r="E14" s="1770" t="s">
        <v>958</v>
      </c>
      <c r="F14" s="1771">
        <f>SUM(F8:F13)</f>
        <v>8152802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0</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44844</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09">
        <f>'Expenditures 15-22'!K102</f>
        <v>485717</v>
      </c>
      <c r="G53" s="862"/>
    </row>
    <row r="54" spans="1:7" x14ac:dyDescent="0.2">
      <c r="A54" s="866" t="s">
        <v>459</v>
      </c>
      <c r="B54" s="866" t="s">
        <v>1476</v>
      </c>
      <c r="C54" s="886" t="s">
        <v>982</v>
      </c>
      <c r="D54" s="882" t="s">
        <v>1095</v>
      </c>
      <c r="E54" s="865"/>
      <c r="F54" s="1909">
        <f>'Expenditures 15-22'!G114</f>
        <v>33782</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29257</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950000</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0</v>
      </c>
      <c r="G63" s="862"/>
    </row>
    <row r="64" spans="1:7" x14ac:dyDescent="0.2">
      <c r="A64" s="892" t="s">
        <v>461</v>
      </c>
      <c r="B64" s="892" t="s">
        <v>1889</v>
      </c>
      <c r="C64" s="893" t="str">
        <f>'Expenditures 15-22'!B206</f>
        <v>5300</v>
      </c>
      <c r="D64" s="889" t="s">
        <v>311</v>
      </c>
      <c r="E64" s="865"/>
      <c r="F64" s="1909">
        <f>'Expenditures 15-22'!K206</f>
        <v>31193</v>
      </c>
      <c r="G64" s="862"/>
    </row>
    <row r="65" spans="1:8" x14ac:dyDescent="0.2">
      <c r="A65" s="866" t="s">
        <v>461</v>
      </c>
      <c r="B65" s="866" t="s">
        <v>1890</v>
      </c>
      <c r="C65" s="883" t="s">
        <v>982</v>
      </c>
      <c r="D65" s="882" t="s">
        <v>1095</v>
      </c>
      <c r="E65" s="865"/>
      <c r="F65" s="1909">
        <f>'Expenditures 15-22'!G210</f>
        <v>94000</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0</v>
      </c>
      <c r="G67" s="862"/>
    </row>
    <row r="68" spans="1:8" x14ac:dyDescent="0.2">
      <c r="A68" s="866" t="s">
        <v>462</v>
      </c>
      <c r="B68" s="866" t="s">
        <v>1479</v>
      </c>
      <c r="C68" s="883" t="str">
        <f>'Expenditures 15-22'!B218</f>
        <v>1225</v>
      </c>
      <c r="D68" s="889" t="str">
        <f>'Expenditures 15-22'!A218</f>
        <v>Special Education Programs - Pre-K</v>
      </c>
      <c r="E68" s="865"/>
      <c r="F68" s="1909">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0</v>
      </c>
      <c r="G71" s="862"/>
    </row>
    <row r="72" spans="1:8" x14ac:dyDescent="0.2">
      <c r="A72" s="866" t="s">
        <v>462</v>
      </c>
      <c r="B72" s="866" t="s">
        <v>1896</v>
      </c>
      <c r="C72" s="883">
        <f>'Expenditures 15-22'!B280</f>
        <v>3000</v>
      </c>
      <c r="D72" s="873" t="s">
        <v>449</v>
      </c>
      <c r="E72" s="865"/>
      <c r="F72" s="1909">
        <f>'Expenditures 15-22'!K280</f>
        <v>0</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1668793</v>
      </c>
      <c r="G76" s="862"/>
    </row>
    <row r="77" spans="1:8" s="890" customFormat="1" ht="12" customHeight="1" thickTop="1" thickBot="1" x14ac:dyDescent="0.25">
      <c r="A77" s="1775"/>
      <c r="B77" s="1772"/>
      <c r="C77" s="1768"/>
      <c r="D77" s="1773" t="s">
        <v>1900</v>
      </c>
      <c r="E77" s="1770"/>
      <c r="F77" s="1776">
        <f>(F14-F76)</f>
        <v>6484009</v>
      </c>
      <c r="G77" s="866"/>
    </row>
    <row r="78" spans="1:8" s="890" customFormat="1" ht="12" customHeight="1" thickTop="1" x14ac:dyDescent="0.2">
      <c r="A78" s="1777"/>
      <c r="B78" s="1772"/>
      <c r="C78" s="1768"/>
      <c r="D78" s="1773" t="s">
        <v>2062</v>
      </c>
      <c r="E78" s="1770"/>
      <c r="F78" s="895">
        <v>790.1</v>
      </c>
      <c r="G78" s="896"/>
      <c r="H78" s="866"/>
    </row>
    <row r="79" spans="1:8" s="890" customFormat="1" ht="12" customHeight="1" thickBot="1" x14ac:dyDescent="0.25">
      <c r="A79" s="1778"/>
      <c r="B79" s="1772"/>
      <c r="C79" s="1768"/>
      <c r="D79" s="1773" t="s">
        <v>1901</v>
      </c>
      <c r="E79" s="1770" t="s">
        <v>958</v>
      </c>
      <c r="F79" s="1779">
        <f>IF(F78&gt;0,F77/F78," Complete Line 78")</f>
        <v>8206.5675230983416</v>
      </c>
      <c r="G79" s="866"/>
    </row>
    <row r="80" spans="1:8" s="890" customFormat="1" ht="8.25" customHeight="1" thickTop="1" x14ac:dyDescent="0.2">
      <c r="A80" s="897"/>
      <c r="B80" s="866"/>
      <c r="C80" s="868"/>
      <c r="D80" s="898"/>
      <c r="E80" s="865"/>
      <c r="F80" s="899"/>
      <c r="G80" s="866"/>
    </row>
    <row r="81" spans="1:7" s="890" customFormat="1" ht="12" thickBot="1" x14ac:dyDescent="0.25">
      <c r="A81" s="2254" t="s">
        <v>1105</v>
      </c>
      <c r="B81" s="2255"/>
      <c r="C81" s="2255"/>
      <c r="D81" s="2255"/>
      <c r="E81" s="2255"/>
      <c r="F81" s="225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223306</v>
      </c>
      <c r="G94" s="909"/>
    </row>
    <row r="95" spans="1:7" x14ac:dyDescent="0.2">
      <c r="A95" s="905" t="s">
        <v>140</v>
      </c>
      <c r="B95" s="905" t="s">
        <v>175</v>
      </c>
      <c r="C95" s="907">
        <v>1700</v>
      </c>
      <c r="D95" s="915" t="str">
        <f>'Revenues 9-14'!A82</f>
        <v>Total District/School Activity Income</v>
      </c>
      <c r="E95" s="903"/>
      <c r="F95" s="1785">
        <f>SUM('Revenues 9-14'!C82,'Revenues 9-14'!D82)</f>
        <v>65647</v>
      </c>
      <c r="G95" s="909"/>
    </row>
    <row r="96" spans="1:7" x14ac:dyDescent="0.2">
      <c r="A96" s="905" t="s">
        <v>459</v>
      </c>
      <c r="B96" s="905" t="s">
        <v>176</v>
      </c>
      <c r="C96" s="907">
        <f>'Revenues 9-14'!B84</f>
        <v>1811</v>
      </c>
      <c r="D96" s="908" t="str">
        <f>'Revenues 9-14'!A84</f>
        <v>Rentals - Regular Textbooks</v>
      </c>
      <c r="E96" s="903"/>
      <c r="F96" s="1785">
        <f>'Revenues 9-14'!C84</f>
        <v>67930</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103</v>
      </c>
      <c r="G100" s="909"/>
    </row>
    <row r="101" spans="1:7" x14ac:dyDescent="0.2">
      <c r="A101" s="905" t="s">
        <v>140</v>
      </c>
      <c r="B101" s="905" t="s">
        <v>181</v>
      </c>
      <c r="C101" s="907">
        <f>'Revenues 9-14'!B95</f>
        <v>1910</v>
      </c>
      <c r="D101" s="908" t="str">
        <f>'Revenues 9-14'!A95</f>
        <v>Rentals</v>
      </c>
      <c r="E101" s="903"/>
      <c r="F101" s="1785">
        <f>SUM('Revenues 9-14'!C95:D95)</f>
        <v>53080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36157</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5">
        <f>('Revenues 9-14'!C106)</f>
        <v>6225</v>
      </c>
      <c r="G104" s="909"/>
    </row>
    <row r="105" spans="1:7" x14ac:dyDescent="0.2">
      <c r="A105" s="905" t="s">
        <v>503</v>
      </c>
      <c r="B105" s="905" t="s">
        <v>2003</v>
      </c>
      <c r="C105" s="910">
        <v>3100</v>
      </c>
      <c r="D105" s="916" t="str">
        <f>'Revenues 9-14'!A132</f>
        <v>Total Special Education</v>
      </c>
      <c r="E105" s="903"/>
      <c r="F105" s="1785">
        <f>SUM('Revenues 9-14'!C132:D132,'Revenues 9-14'!F132)</f>
        <v>2694</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0</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991</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0</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183901</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0</v>
      </c>
      <c r="G123" s="927"/>
    </row>
    <row r="124" spans="1:7" x14ac:dyDescent="0.2">
      <c r="A124" s="924" t="s">
        <v>668</v>
      </c>
      <c r="B124" s="924" t="s">
        <v>2022</v>
      </c>
      <c r="C124" s="929">
        <v>4100</v>
      </c>
      <c r="D124" s="930" t="str">
        <f>'Revenues 9-14'!A188</f>
        <v>Total Title V</v>
      </c>
      <c r="E124" s="903"/>
      <c r="F124" s="1785">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5">
        <f>SUM('Revenues 9-14'!C198,'Revenues 9-14'!G198)</f>
        <v>97604</v>
      </c>
      <c r="G125" s="927"/>
    </row>
    <row r="126" spans="1:7" x14ac:dyDescent="0.2">
      <c r="A126" s="924" t="s">
        <v>668</v>
      </c>
      <c r="B126" s="924" t="s">
        <v>2024</v>
      </c>
      <c r="C126" s="929">
        <v>4300</v>
      </c>
      <c r="D126" s="930" t="str">
        <f>'Revenues 9-14'!A204</f>
        <v>Total Title I</v>
      </c>
      <c r="E126" s="903"/>
      <c r="F126" s="1785">
        <f>SUM('Revenues 9-14'!C204,'Revenues 9-14'!D204,'Revenues 9-14'!F204,'Revenues 9-14'!G204)</f>
        <v>63979</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164469</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26690</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6534</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4792</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237683.85</v>
      </c>
      <c r="G171" s="924"/>
    </row>
    <row r="172" spans="1:7" x14ac:dyDescent="0.2">
      <c r="A172" s="1914" t="s">
        <v>664</v>
      </c>
      <c r="B172" s="1915" t="s">
        <v>1920</v>
      </c>
      <c r="C172" s="1916">
        <v>3300</v>
      </c>
      <c r="D172" s="1917" t="s">
        <v>1923</v>
      </c>
      <c r="E172" s="903"/>
      <c r="F172" s="1902">
        <v>21.04</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1241806.8900000001</v>
      </c>
    </row>
    <row r="175" spans="1:7" ht="12" customHeight="1" x14ac:dyDescent="0.2">
      <c r="A175" s="1766"/>
      <c r="B175" s="1780"/>
      <c r="C175" s="1781"/>
      <c r="D175" s="1782" t="s">
        <v>2057</v>
      </c>
      <c r="E175" s="1783"/>
      <c r="F175" s="1785">
        <f>'PCTC-OEPP 27-28'!F77-F174</f>
        <v>5242202.1099999994</v>
      </c>
    </row>
    <row r="176" spans="1:7" ht="12" customHeight="1" x14ac:dyDescent="0.2">
      <c r="A176" s="1766"/>
      <c r="B176" s="1780"/>
      <c r="C176" s="1781"/>
      <c r="D176" s="1782" t="s">
        <v>1817</v>
      </c>
      <c r="E176" s="1783"/>
      <c r="F176" s="1785">
        <f>'Cap Outlay Deprec 26'!I18</f>
        <v>513236</v>
      </c>
    </row>
    <row r="177" spans="1:7" ht="12" customHeight="1" x14ac:dyDescent="0.2">
      <c r="A177" s="1766"/>
      <c r="B177" s="1780"/>
      <c r="C177" s="1781"/>
      <c r="D177" s="1782" t="s">
        <v>2058</v>
      </c>
      <c r="E177" s="1783"/>
      <c r="F177" s="1785">
        <f>F175+F176</f>
        <v>5755438.1099999994</v>
      </c>
    </row>
    <row r="178" spans="1:7" ht="12" customHeight="1" x14ac:dyDescent="0.2">
      <c r="A178" s="1766"/>
      <c r="B178" s="1786"/>
      <c r="C178" s="1781"/>
      <c r="D178" s="1782" t="str">
        <f>D78</f>
        <v>9 Month ADA from District Average Daily Attendance/Prior General State Aid Inquiry 2018-2019</v>
      </c>
      <c r="E178" s="1783"/>
      <c r="F178" s="1787">
        <f>'PCTC-OEPP 27-28'!F78</f>
        <v>790.1</v>
      </c>
      <c r="G178" s="927"/>
    </row>
    <row r="179" spans="1:7" ht="12" customHeight="1" thickBot="1" x14ac:dyDescent="0.25">
      <c r="A179" s="1766"/>
      <c r="B179" s="1786"/>
      <c r="C179" s="1781"/>
      <c r="D179" s="1782" t="s">
        <v>2059</v>
      </c>
      <c r="E179" s="1783" t="s">
        <v>1545</v>
      </c>
      <c r="F179" s="1788">
        <f>F177/F178</f>
        <v>7284.4426148588773</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9" sqref="A19"/>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0" t="s">
        <v>1819</v>
      </c>
      <c r="B6" s="1531"/>
      <c r="C6" s="1531"/>
      <c r="D6" s="1531"/>
      <c r="E6" s="1531"/>
      <c r="F6" s="1531"/>
      <c r="G6" s="1532"/>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3" t="s">
        <v>1820</v>
      </c>
      <c r="B10" s="1534"/>
      <c r="C10" s="1534"/>
      <c r="D10" s="1534"/>
      <c r="E10" s="1534"/>
      <c r="F10" s="1534"/>
      <c r="G10" s="1535"/>
    </row>
    <row r="11" spans="1:7" ht="17.25" customHeight="1" x14ac:dyDescent="0.25">
      <c r="A11" s="2274" t="s">
        <v>1934</v>
      </c>
      <c r="B11" s="2275"/>
      <c r="C11" s="2275"/>
      <c r="D11" s="2275"/>
      <c r="E11" s="2275"/>
      <c r="F11" s="2275"/>
      <c r="G11" s="2276"/>
    </row>
    <row r="12" spans="1:7" ht="15" customHeight="1" x14ac:dyDescent="0.25">
      <c r="A12" s="1533" t="s">
        <v>1825</v>
      </c>
      <c r="B12" s="1534"/>
      <c r="C12" s="1534"/>
      <c r="D12" s="1534"/>
      <c r="E12" s="1534"/>
      <c r="F12" s="1534"/>
      <c r="G12" s="1535"/>
    </row>
    <row r="13" spans="1:7" ht="32.25" customHeight="1" x14ac:dyDescent="0.25">
      <c r="A13" s="2265" t="s">
        <v>1976</v>
      </c>
      <c r="B13" s="2266"/>
      <c r="C13" s="2266"/>
      <c r="D13" s="2266"/>
      <c r="E13" s="2266"/>
      <c r="F13" s="2266"/>
      <c r="G13" s="2267"/>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33" t="s">
        <v>2089</v>
      </c>
      <c r="B17" s="1934" t="s">
        <v>2090</v>
      </c>
      <c r="C17" s="1935" t="s">
        <v>2091</v>
      </c>
      <c r="D17" s="1840">
        <v>34367</v>
      </c>
      <c r="E17" s="1536">
        <f t="shared" ref="E17:E141" si="0">IF(D17&lt;=25000,D17,IF(D17&gt;25000,25000,0))</f>
        <v>25000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9367</v>
      </c>
      <c r="H17" s="1643"/>
    </row>
    <row r="18" spans="1:8" x14ac:dyDescent="0.25">
      <c r="A18" s="1933" t="s">
        <v>1100</v>
      </c>
      <c r="B18" s="1930"/>
      <c r="C18" s="1652"/>
      <c r="D18" s="1840"/>
      <c r="E18" s="1536">
        <f t="shared" ref="E18:E140" si="2">IF(D18&lt;=25000,D18,IF(D18&gt;25000,25000,0))</f>
        <v>0</v>
      </c>
      <c r="F18" s="1928">
        <f t="shared" si="1"/>
        <v>0</v>
      </c>
      <c r="G18" s="1789">
        <f t="shared" ref="G18:G140" si="3">IF(F18=0,0,D18-F18)</f>
        <v>0</v>
      </c>
    </row>
    <row r="19" spans="1:8" x14ac:dyDescent="0.25">
      <c r="A19" s="1938" t="s">
        <v>2104</v>
      </c>
      <c r="B19" s="1936" t="s">
        <v>1824</v>
      </c>
      <c r="C19" s="1937" t="s">
        <v>2093</v>
      </c>
      <c r="D19" s="1840">
        <v>44844</v>
      </c>
      <c r="E19" s="1536">
        <f t="shared" si="2"/>
        <v>25000</v>
      </c>
      <c r="F19" s="1928">
        <f t="shared" si="1"/>
        <v>25000</v>
      </c>
      <c r="G19" s="1789">
        <f t="shared" si="3"/>
        <v>19844</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79211</v>
      </c>
      <c r="E141" s="1537">
        <f t="shared" si="0"/>
        <v>25000</v>
      </c>
      <c r="F141" s="1929">
        <f>SUM(F17:F140)</f>
        <v>50000</v>
      </c>
      <c r="G141" s="1791">
        <f>SUM(G17:G140)</f>
        <v>29211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80" t="s">
        <v>1679</v>
      </c>
      <c r="B5" s="2281"/>
      <c r="C5" s="2281"/>
      <c r="D5" s="2281"/>
      <c r="E5" s="2281"/>
      <c r="F5" s="2281"/>
      <c r="G5" s="2282"/>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156262</v>
      </c>
      <c r="F10" s="971"/>
      <c r="G10" s="972"/>
      <c r="H10" s="162"/>
      <c r="I10" s="162"/>
    </row>
    <row r="11" spans="1:9" s="665" customFormat="1" ht="22.5" customHeight="1" x14ac:dyDescent="0.2">
      <c r="A11" s="2285" t="s">
        <v>1977</v>
      </c>
      <c r="B11" s="2286"/>
      <c r="C11" s="2286"/>
      <c r="D11" s="2287"/>
      <c r="E11" s="974">
        <v>39884</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3934202</v>
      </c>
      <c r="F19" s="1795"/>
      <c r="G19" s="1797">
        <f>'Expenditures 15-22'!K33-SUM('Expenditures 15-22'!G33,'Expenditures 15-22'!I33)+'Expenditures 15-22'!D229</f>
        <v>3934202</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180313</v>
      </c>
      <c r="F21" s="1798"/>
      <c r="G21" s="1801">
        <f>'Expenditures 15-22'!K42-SUM('Expenditures 15-22'!G42,'Expenditures 15-22'!I42)+'Expenditures 15-22'!K120-SUM('Expenditures 15-22'!G120,'Expenditures 15-22'!I120)+'Expenditures 15-22'!K180-SUM('Expenditures 15-22'!G180,'Expenditures 15-22'!I180)+'Expenditures 15-22'!D238</f>
        <v>180313</v>
      </c>
      <c r="H21" s="984"/>
      <c r="I21" s="162"/>
    </row>
    <row r="22" spans="1:9" s="665" customFormat="1" ht="12" customHeight="1" x14ac:dyDescent="0.2">
      <c r="A22" s="991" t="s">
        <v>564</v>
      </c>
      <c r="B22" s="992"/>
      <c r="C22" s="990">
        <v>2200</v>
      </c>
      <c r="D22" s="1798"/>
      <c r="E22" s="1800">
        <f>'Expenditures 15-22'!K47-SUM('Expenditures 15-22'!G47,'Expenditures 15-22'!I47)+'Expenditures 15-22'!D243</f>
        <v>143548</v>
      </c>
      <c r="F22" s="1798"/>
      <c r="G22" s="1801">
        <f>'Expenditures 15-22'!K47-SUM('Expenditures 15-22'!G47,'Expenditures 15-22'!I47)+'Expenditures 15-22'!D243</f>
        <v>143548</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497904</v>
      </c>
      <c r="F23" s="1798"/>
      <c r="G23" s="1800">
        <f>'Expenditures 15-22'!K53-SUM('Expenditures 15-22'!G53,'Expenditures 15-22'!I53)+'Expenditures 15-22'!D257+'Expenditures 15-22'!K330-SUM('Expenditures 15-22'!G330,'Expenditures 15-22'!I330)</f>
        <v>497904</v>
      </c>
      <c r="H23" s="984"/>
      <c r="I23" s="162"/>
    </row>
    <row r="24" spans="1:9" s="665" customFormat="1" ht="12" customHeight="1" x14ac:dyDescent="0.2">
      <c r="A24" s="991" t="s">
        <v>566</v>
      </c>
      <c r="B24" s="992"/>
      <c r="C24" s="990">
        <v>2400</v>
      </c>
      <c r="D24" s="1798"/>
      <c r="E24" s="1800">
        <f>'Expenditures 15-22'!K57-SUM('Expenditures 15-22'!G57,'Expenditures 15-22'!I57)+'Expenditures 15-22'!D261</f>
        <v>324116</v>
      </c>
      <c r="F24" s="1798"/>
      <c r="G24" s="1801">
        <f>'Expenditures 15-22'!K57-SUM('Expenditures 15-22'!G57,'Expenditures 15-22'!I57)+'Expenditures 15-22'!D261</f>
        <v>324116</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63385</v>
      </c>
      <c r="E27" s="1800">
        <f>E8</f>
        <v>0</v>
      </c>
      <c r="F27" s="1800">
        <f>'Expenditures 15-22'!K60-SUM('Expenditures 15-22'!G60,'Expenditures 15-22'!I60)+'Expenditures 15-22'!D264-E8</f>
        <v>63385</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489035</v>
      </c>
      <c r="F28" s="1802">
        <f>'Expenditures 15-22'!K61-SUM('Expenditures 15-22'!G61,'Expenditures 15-22'!I61)+'Expenditures 15-22'!K124-SUM('Expenditures 15-22'!G124,'Expenditures 15-22'!I124)+'Expenditures 15-22'!D266-E9</f>
        <v>489035</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309459</v>
      </c>
      <c r="F29" s="1798"/>
      <c r="G29" s="1801">
        <f>'Expenditures 15-22'!K62-SUM('Expenditures 15-22'!G62,'Expenditures 15-22'!I62)+'Expenditures 15-22'!K125-SUM('Expenditures 15-22'!G125,'Expenditures 15-22'!I125)+'Expenditures 15-22'!K182-SUM('Expenditures 15-22'!G182,'Expenditures 15-22'!I182)+'Expenditures 15-22'!D267</f>
        <v>309459</v>
      </c>
      <c r="H29" s="982"/>
    </row>
    <row r="30" spans="1:9" ht="12" customHeight="1" x14ac:dyDescent="0.2">
      <c r="A30" s="991" t="s">
        <v>100</v>
      </c>
      <c r="B30" s="994"/>
      <c r="C30" s="990">
        <v>2560</v>
      </c>
      <c r="D30" s="1798"/>
      <c r="E30" s="1800">
        <f>'Expenditures 15-22'!K63-SUM('Expenditures 15-22'!G63,'Expenditures 15-22'!I63)+'Expenditures 15-22'!D268-E10</f>
        <v>160823</v>
      </c>
      <c r="F30" s="1798"/>
      <c r="G30" s="1800">
        <f>'Expenditures 15-22'!K63-SUM('Expenditures 15-22'!G63,'Expenditures 15-22'!I63)+'Expenditures 15-22'!D268-E10</f>
        <v>160823</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4061</v>
      </c>
      <c r="F35" s="1798"/>
      <c r="G35" s="1800">
        <f>'Expenditures 15-22'!K69-SUM('Expenditures 15-22'!G69,'Expenditures 15-22'!I69)+'Expenditures 15-22'!D274</f>
        <v>4061</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102065</v>
      </c>
      <c r="E37" s="1800">
        <f>E14</f>
        <v>0</v>
      </c>
      <c r="F37" s="1800">
        <f>'Expenditures 15-22'!K71-SUM('Expenditures 15-22'!G71,'Expenditures 15-22'!I71)+'Expenditures 15-22'!D276-E14</f>
        <v>102065</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8"/>
      <c r="E40" s="1802">
        <f>-'Contracts Paid in CY 29'!G141</f>
        <v>-29211</v>
      </c>
      <c r="F40" s="1798"/>
      <c r="G40" s="1802">
        <f>-'Contracts Paid in CY 29'!G141</f>
        <v>-29211</v>
      </c>
    </row>
    <row r="41" spans="1:7" ht="12" customHeight="1" x14ac:dyDescent="0.2">
      <c r="A41" s="995" t="s">
        <v>156</v>
      </c>
      <c r="B41" s="996"/>
      <c r="C41" s="997"/>
      <c r="D41" s="1802">
        <f>SUM(D19:D39)</f>
        <v>165450</v>
      </c>
      <c r="E41" s="1802">
        <f>SUM(E19:E40)</f>
        <v>6014250</v>
      </c>
      <c r="F41" s="1802">
        <f>SUM(F19:F39)</f>
        <v>654485</v>
      </c>
      <c r="G41" s="1802">
        <f>SUM(G19:G40)</f>
        <v>5525215</v>
      </c>
    </row>
    <row r="42" spans="1:7" x14ac:dyDescent="0.2">
      <c r="A42" s="984"/>
      <c r="B42" s="162"/>
      <c r="C42" s="998"/>
      <c r="D42" s="2283" t="s">
        <v>522</v>
      </c>
      <c r="E42" s="2284"/>
      <c r="F42" s="999" t="s">
        <v>523</v>
      </c>
      <c r="G42" s="1000"/>
    </row>
    <row r="43" spans="1:7" ht="12" customHeight="1" x14ac:dyDescent="0.2">
      <c r="A43" s="984"/>
      <c r="B43" s="162"/>
      <c r="C43" s="998"/>
      <c r="D43" s="1803" t="s">
        <v>473</v>
      </c>
      <c r="E43" s="1804">
        <f>D41</f>
        <v>165450</v>
      </c>
      <c r="F43" s="1803" t="s">
        <v>473</v>
      </c>
      <c r="G43" s="1804">
        <f>F41</f>
        <v>654485</v>
      </c>
    </row>
    <row r="44" spans="1:7" ht="12" customHeight="1" x14ac:dyDescent="0.2">
      <c r="A44" s="984"/>
      <c r="B44" s="162"/>
      <c r="C44" s="998"/>
      <c r="D44" s="1803" t="s">
        <v>474</v>
      </c>
      <c r="E44" s="1804">
        <f>E41</f>
        <v>6014250</v>
      </c>
      <c r="F44" s="1803" t="s">
        <v>474</v>
      </c>
      <c r="G44" s="1804">
        <f>G41</f>
        <v>5525215</v>
      </c>
    </row>
    <row r="45" spans="1:7" ht="12" customHeight="1" x14ac:dyDescent="0.2">
      <c r="A45" s="984"/>
      <c r="B45" s="162"/>
      <c r="C45" s="162"/>
      <c r="D45" s="1805" t="s">
        <v>1006</v>
      </c>
      <c r="E45" s="1806">
        <f>(E43/E44)</f>
        <v>2.7509664546701583E-2</v>
      </c>
      <c r="F45" s="1805" t="s">
        <v>1006</v>
      </c>
      <c r="G45" s="1806">
        <f>(G43/G44)</f>
        <v>0.11845421399891226</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H13" sqref="H13"/>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02" t="s">
        <v>1379</v>
      </c>
      <c r="B1" s="2302"/>
      <c r="C1" s="2302"/>
      <c r="D1" s="2302"/>
      <c r="E1" s="2302"/>
      <c r="F1" s="2302"/>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03" t="s">
        <v>1546</v>
      </c>
      <c r="B5" s="2304"/>
      <c r="C5" s="2305"/>
      <c r="D5" s="2305"/>
      <c r="E5" s="2305"/>
      <c r="F5" s="2305"/>
    </row>
    <row r="6" spans="1:10" ht="12" customHeight="1" x14ac:dyDescent="0.25">
      <c r="A6" s="1846"/>
      <c r="B6" s="1847"/>
      <c r="C6" s="2306" t="str">
        <f>COVER!A17</f>
        <v>Germantown Hills SD 69</v>
      </c>
      <c r="D6" s="2306"/>
      <c r="E6" s="2306"/>
      <c r="F6" s="1848"/>
    </row>
    <row r="7" spans="1:10" ht="11.25" customHeight="1" thickBot="1" x14ac:dyDescent="0.3">
      <c r="A7" s="1846"/>
      <c r="B7" s="1847"/>
      <c r="C7" s="2307">
        <f>COVER!A13</f>
        <v>53102069002</v>
      </c>
      <c r="D7" s="2307"/>
      <c r="E7" s="2307"/>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2070</v>
      </c>
      <c r="D26" s="1861" t="s">
        <v>2070</v>
      </c>
      <c r="E26" s="1864"/>
      <c r="F26" s="1863" t="s">
        <v>2087</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5</v>
      </c>
      <c r="I34" s="1874">
        <f>SUM(I11:I32)</f>
        <v>5</v>
      </c>
      <c r="J34" s="1874">
        <f>SUM(J11:J32)</f>
        <v>0</v>
      </c>
      <c r="K34" s="1874">
        <f>SUM(H34:J34)</f>
        <v>10</v>
      </c>
    </row>
    <row r="35" spans="1:11" ht="12" customHeight="1" x14ac:dyDescent="0.2">
      <c r="A35" s="1867" t="s">
        <v>1392</v>
      </c>
      <c r="B35" s="1868"/>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69"/>
      <c r="B39" s="1869"/>
      <c r="C39" s="1869"/>
      <c r="D39" s="1869"/>
      <c r="E39" s="1869"/>
      <c r="F39" s="1869"/>
    </row>
    <row r="40" spans="1:11" s="1866" customFormat="1" ht="12" customHeight="1" x14ac:dyDescent="0.25">
      <c r="A40" s="1870" t="s">
        <v>1391</v>
      </c>
      <c r="B40" s="1871"/>
      <c r="C40" s="2297"/>
      <c r="D40" s="2297"/>
      <c r="E40" s="2297"/>
      <c r="F40" s="2298"/>
      <c r="H40" s="1875"/>
      <c r="I40" s="1875"/>
      <c r="J40" s="1875"/>
      <c r="K40" s="1875"/>
    </row>
    <row r="41" spans="1:11" s="1866" customFormat="1" ht="12" customHeight="1" x14ac:dyDescent="0.25">
      <c r="A41" s="2299"/>
      <c r="B41" s="2300"/>
      <c r="C41" s="2300"/>
      <c r="D41" s="2300"/>
      <c r="E41" s="2300"/>
      <c r="F41" s="2301"/>
      <c r="H41" s="1875"/>
      <c r="I41" s="1875"/>
      <c r="J41" s="1875"/>
      <c r="K41" s="1875"/>
    </row>
    <row r="42" spans="1:11" s="1866" customFormat="1" ht="12" customHeight="1" x14ac:dyDescent="0.25">
      <c r="A42" s="2299"/>
      <c r="B42" s="2300"/>
      <c r="C42" s="2300"/>
      <c r="D42" s="2300"/>
      <c r="E42" s="2300"/>
      <c r="F42" s="2301"/>
      <c r="H42" s="1875"/>
      <c r="I42" s="1875"/>
      <c r="J42" s="1875"/>
      <c r="K42" s="1875"/>
    </row>
    <row r="43" spans="1:11" s="1866" customFormat="1" ht="15" x14ac:dyDescent="0.25">
      <c r="A43" s="2288"/>
      <c r="B43" s="2289"/>
      <c r="C43" s="2289"/>
      <c r="D43" s="2289"/>
      <c r="E43" s="2289"/>
      <c r="F43" s="2290"/>
      <c r="H43" s="1875"/>
      <c r="I43" s="1875"/>
      <c r="J43" s="1875"/>
      <c r="K43" s="1875"/>
    </row>
    <row r="44" spans="1:11" s="1866" customFormat="1" ht="12" hidden="1" customHeight="1" x14ac:dyDescent="0.25">
      <c r="A44" s="2288"/>
      <c r="B44" s="2289"/>
      <c r="C44" s="2289"/>
      <c r="D44" s="2289"/>
      <c r="E44" s="2289"/>
      <c r="F44" s="2290"/>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15" t="str">
        <f>COVER!A17</f>
        <v>Germantown Hills SD 69</v>
      </c>
      <c r="J6" s="2316"/>
      <c r="Q6" s="1660"/>
    </row>
    <row r="7" spans="1:17" x14ac:dyDescent="0.2">
      <c r="A7" s="2317" t="s">
        <v>869</v>
      </c>
      <c r="B7" s="2318"/>
      <c r="C7" s="2318"/>
      <c r="D7" s="2318"/>
      <c r="E7" s="2319"/>
      <c r="F7" s="1014"/>
      <c r="G7" s="1006"/>
      <c r="H7" s="1013" t="s">
        <v>372</v>
      </c>
      <c r="I7" s="2320">
        <f>COVER!A13</f>
        <v>53102069002</v>
      </c>
      <c r="J7" s="2320"/>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21" t="s">
        <v>481</v>
      </c>
      <c r="B11" s="2322"/>
      <c r="C11" s="232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162840</v>
      </c>
      <c r="F12" s="1036"/>
      <c r="G12" s="1807">
        <f t="shared" ref="G12:G18" si="0">SUM(E12:F12)</f>
        <v>162840</v>
      </c>
      <c r="H12" s="1037">
        <v>168021</v>
      </c>
      <c r="I12" s="1036"/>
      <c r="J12" s="1807">
        <f t="shared" ref="J12:J18" si="1">SUM(H12:I12)</f>
        <v>168021</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24" t="s">
        <v>7</v>
      </c>
      <c r="C18" s="2325"/>
      <c r="D18" s="2326"/>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162840</v>
      </c>
      <c r="F19" s="1809">
        <f t="shared" si="2"/>
        <v>0</v>
      </c>
      <c r="G19" s="1809">
        <f t="shared" si="2"/>
        <v>162840</v>
      </c>
      <c r="H19" s="1809">
        <f t="shared" si="2"/>
        <v>168021</v>
      </c>
      <c r="I19" s="1809">
        <f t="shared" si="2"/>
        <v>0</v>
      </c>
      <c r="J19" s="1809">
        <f t="shared" si="2"/>
        <v>168021</v>
      </c>
    </row>
    <row r="20" spans="1:10" ht="13.5" thickTop="1" x14ac:dyDescent="0.2">
      <c r="A20" s="1032">
        <v>9</v>
      </c>
      <c r="B20" s="2327" t="s">
        <v>1981</v>
      </c>
      <c r="C20" s="2327"/>
      <c r="D20" s="2328"/>
      <c r="E20" s="1043"/>
      <c r="F20" s="1043"/>
      <c r="G20" s="1043"/>
      <c r="H20" s="1043"/>
      <c r="I20" s="1043"/>
      <c r="J20" s="1810">
        <f>IF(AND(G19&gt;0,J19&gt;0),(((J19-G19)/G19)),"Enter Budget Data")</f>
        <v>3.1816507000736918E-2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3"/>
      <c r="D26" s="2333"/>
      <c r="E26" s="1047"/>
      <c r="F26" s="2332"/>
      <c r="G26" s="2332"/>
    </row>
    <row r="27" spans="1:10" x14ac:dyDescent="0.2">
      <c r="B27" s="1044"/>
      <c r="C27" s="1048" t="s">
        <v>1033</v>
      </c>
      <c r="D27" s="1049"/>
      <c r="E27" s="1050"/>
      <c r="F27" s="2329" t="s">
        <v>1509</v>
      </c>
      <c r="G27" s="2329"/>
    </row>
    <row r="28" spans="1:10" ht="28.5" customHeight="1" x14ac:dyDescent="0.2">
      <c r="B28" s="1044"/>
      <c r="C28" s="2331"/>
      <c r="D28" s="2331"/>
      <c r="E28" s="1051"/>
      <c r="F28" s="2331"/>
      <c r="G28" s="2331"/>
    </row>
    <row r="29" spans="1:10" x14ac:dyDescent="0.2">
      <c r="B29" s="1044"/>
      <c r="C29" s="1052" t="s">
        <v>1561</v>
      </c>
      <c r="E29" s="1053"/>
      <c r="F29" s="2330" t="s">
        <v>1510</v>
      </c>
      <c r="G29" s="233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59"/>
    </row>
    <row r="36" spans="1:10" ht="13.5" customHeight="1" x14ac:dyDescent="0.2">
      <c r="B36" s="1058"/>
      <c r="C36" s="2314" t="s">
        <v>1983</v>
      </c>
      <c r="D36" s="2313"/>
      <c r="E36" s="2313"/>
      <c r="F36" s="2313"/>
      <c r="G36" s="2313"/>
      <c r="H36" s="2313"/>
      <c r="I36" s="2313"/>
      <c r="J36" s="1060"/>
    </row>
    <row r="37" spans="1:10" ht="22.5" customHeight="1" x14ac:dyDescent="0.2">
      <c r="C37" s="2313"/>
      <c r="D37" s="2313"/>
      <c r="E37" s="2313"/>
      <c r="F37" s="2313"/>
      <c r="G37" s="2313"/>
      <c r="H37" s="2313"/>
      <c r="I37" s="2313"/>
      <c r="J37" s="1060"/>
    </row>
    <row r="38" spans="1:10" ht="7.5" customHeight="1" x14ac:dyDescent="0.2">
      <c r="C38" s="1059"/>
      <c r="D38" s="1061"/>
      <c r="E38" s="1062"/>
      <c r="F38" s="1063"/>
      <c r="G38" s="1062"/>
    </row>
    <row r="39" spans="1:10" ht="13.5" customHeight="1" x14ac:dyDescent="0.2">
      <c r="B39" s="1058"/>
      <c r="C39" s="2310" t="s">
        <v>882</v>
      </c>
      <c r="D39" s="2311"/>
      <c r="E39" s="2311"/>
      <c r="F39" s="2311"/>
      <c r="G39" s="2311"/>
      <c r="H39" s="2311"/>
      <c r="I39" s="231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2094</v>
      </c>
    </row>
    <row r="6" spans="1:2" x14ac:dyDescent="0.2">
      <c r="A6" s="1065">
        <v>2</v>
      </c>
      <c r="B6" s="329" t="s">
        <v>2095</v>
      </c>
    </row>
    <row r="7" spans="1:2" x14ac:dyDescent="0.2">
      <c r="A7" s="1065">
        <v>3</v>
      </c>
      <c r="B7" s="329" t="s">
        <v>2096</v>
      </c>
    </row>
    <row r="8" spans="1:2" x14ac:dyDescent="0.2">
      <c r="A8" s="1065">
        <v>4</v>
      </c>
      <c r="B8" s="329" t="s">
        <v>2097</v>
      </c>
    </row>
    <row r="9" spans="1:2" x14ac:dyDescent="0.2">
      <c r="A9" s="1065">
        <v>5</v>
      </c>
      <c r="B9" s="329" t="s">
        <v>2098</v>
      </c>
    </row>
    <row r="10" spans="1:2" x14ac:dyDescent="0.2">
      <c r="A10" s="1065">
        <v>6</v>
      </c>
      <c r="B10" s="329" t="s">
        <v>2099</v>
      </c>
    </row>
    <row r="11" spans="1:2" x14ac:dyDescent="0.2">
      <c r="A11" s="1065"/>
      <c r="B11" s="329" t="s">
        <v>2100</v>
      </c>
    </row>
    <row r="12" spans="1:2" x14ac:dyDescent="0.2">
      <c r="A12" s="1065">
        <v>7</v>
      </c>
      <c r="B12" s="329" t="s">
        <v>2101</v>
      </c>
    </row>
    <row r="13" spans="1:2" x14ac:dyDescent="0.2">
      <c r="A13" s="1065">
        <v>8</v>
      </c>
      <c r="B13" s="329" t="s">
        <v>2102</v>
      </c>
    </row>
    <row r="14" spans="1:2" x14ac:dyDescent="0.2">
      <c r="A14" s="1065">
        <v>9</v>
      </c>
      <c r="B14" s="329" t="s">
        <v>2103</v>
      </c>
    </row>
    <row r="15" spans="1:2" x14ac:dyDescent="0.2">
      <c r="A15" s="1065"/>
    </row>
    <row r="16" spans="1:2" x14ac:dyDescent="0.2">
      <c r="A16" s="1065"/>
    </row>
    <row r="17" spans="1:1" x14ac:dyDescent="0.2">
      <c r="A17" s="1065"/>
    </row>
    <row r="18" spans="1:1" x14ac:dyDescent="0.2">
      <c r="A18" s="1065"/>
    </row>
    <row r="19" spans="1:1" x14ac:dyDescent="0.2">
      <c r="A19" s="1065"/>
    </row>
    <row r="20" spans="1:1" x14ac:dyDescent="0.2">
      <c r="A20" s="1065"/>
    </row>
    <row r="21" spans="1:1" x14ac:dyDescent="0.2">
      <c r="A21" s="1065"/>
    </row>
    <row r="22" spans="1:1" x14ac:dyDescent="0.2">
      <c r="A22" s="1065"/>
    </row>
    <row r="23" spans="1:1" x14ac:dyDescent="0.2">
      <c r="A23" s="1065"/>
    </row>
    <row r="24" spans="1:1" x14ac:dyDescent="0.2">
      <c r="A24" s="1065"/>
    </row>
    <row r="25" spans="1:1" x14ac:dyDescent="0.2">
      <c r="A25" s="1065"/>
    </row>
    <row r="26" spans="1:1" x14ac:dyDescent="0.2">
      <c r="A26" s="1065"/>
    </row>
    <row r="27" spans="1:1" x14ac:dyDescent="0.2">
      <c r="A27" s="1065"/>
    </row>
    <row r="28" spans="1:1" x14ac:dyDescent="0.2">
      <c r="A28" s="1065"/>
    </row>
    <row r="29" spans="1:1" x14ac:dyDescent="0.2">
      <c r="A29" s="1065"/>
    </row>
    <row r="30" spans="1:1" x14ac:dyDescent="0.2">
      <c r="A30" s="1065"/>
    </row>
    <row r="31" spans="1:1" x14ac:dyDescent="0.2">
      <c r="A31" s="1065"/>
    </row>
    <row r="32" spans="1:1"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row>
    <row r="56" spans="1:2" x14ac:dyDescent="0.2">
      <c r="A56" s="1065"/>
    </row>
    <row r="57" spans="1:2" x14ac:dyDescent="0.2">
      <c r="A57" s="1065"/>
    </row>
    <row r="58" spans="1:2" x14ac:dyDescent="0.2">
      <c r="A58" s="1065"/>
    </row>
    <row r="59" spans="1:2" x14ac:dyDescent="0.2">
      <c r="A59" s="1065"/>
    </row>
    <row r="60" spans="1:2" x14ac:dyDescent="0.2">
      <c r="A60" s="1065"/>
    </row>
    <row r="61" spans="1:2" x14ac:dyDescent="0.2">
      <c r="A61" s="1065"/>
    </row>
    <row r="62" spans="1:2" x14ac:dyDescent="0.2">
      <c r="A62" s="1065"/>
    </row>
    <row r="63" spans="1:2" x14ac:dyDescent="0.2">
      <c r="A63" s="1065"/>
    </row>
    <row r="64" spans="1:2" x14ac:dyDescent="0.2">
      <c r="A64" s="1065"/>
      <c r="B64" s="258" t="str">
        <f>COVER!A17</f>
        <v>Germantown Hills SD 69</v>
      </c>
    </row>
    <row r="65" spans="2:2" x14ac:dyDescent="0.2">
      <c r="B65" s="1066">
        <f>COVER!A13</f>
        <v>53102069002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34" t="s">
        <v>1685</v>
      </c>
      <c r="B18" s="233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428625</xdr:colOff>
                <xdr:row>4</xdr:row>
                <xdr:rowOff>57150</xdr:rowOff>
              </from>
              <to>
                <xdr:col>1</xdr:col>
                <xdr:colOff>1343025</xdr:colOff>
                <xdr:row>8</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1514475</xdr:colOff>
                <xdr:row>4</xdr:row>
                <xdr:rowOff>66675</xdr:rowOff>
              </from>
              <to>
                <xdr:col>1</xdr:col>
                <xdr:colOff>2428875</xdr:colOff>
                <xdr:row>8</xdr:row>
                <xdr:rowOff>104775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0"/>
      <c r="H2" s="1070"/>
    </row>
    <row r="3" spans="1:8" ht="57" customHeight="1" x14ac:dyDescent="0.2">
      <c r="A3" s="2348" t="s">
        <v>1686</v>
      </c>
      <c r="B3" s="2349"/>
      <c r="C3" s="2349"/>
      <c r="D3" s="2349"/>
      <c r="E3" s="2349"/>
      <c r="F3" s="2350"/>
      <c r="G3" s="1070"/>
      <c r="H3" s="1070"/>
    </row>
    <row r="4" spans="1:8" ht="14.25" customHeight="1" x14ac:dyDescent="0.2">
      <c r="A4" s="2354" t="s">
        <v>1988</v>
      </c>
      <c r="B4" s="2355"/>
      <c r="C4" s="2355"/>
      <c r="D4" s="2355"/>
      <c r="E4" s="2355"/>
      <c r="F4" s="2356"/>
      <c r="G4" s="1070"/>
      <c r="H4" s="1070"/>
    </row>
    <row r="5" spans="1:8" ht="14.25" customHeight="1" x14ac:dyDescent="0.2">
      <c r="A5" s="2357" t="s">
        <v>1984</v>
      </c>
      <c r="B5" s="2358"/>
      <c r="C5" s="2358"/>
      <c r="D5" s="2358"/>
      <c r="E5" s="2358"/>
      <c r="F5" s="2359"/>
      <c r="G5" s="1070"/>
      <c r="H5" s="1070"/>
    </row>
    <row r="6" spans="1:8" s="1071" customFormat="1" ht="41.25" customHeight="1" x14ac:dyDescent="0.2">
      <c r="A6" s="2351" t="s">
        <v>1691</v>
      </c>
      <c r="B6" s="2352"/>
      <c r="C6" s="2352"/>
      <c r="D6" s="2352"/>
      <c r="E6" s="2352"/>
      <c r="F6" s="2353"/>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5789311</v>
      </c>
      <c r="C8" s="1811">
        <f>'Acct Summary 7-8'!D8</f>
        <v>648168</v>
      </c>
      <c r="D8" s="1811">
        <f>'Acct Summary 7-8'!F8</f>
        <v>395444</v>
      </c>
      <c r="E8" s="1811">
        <f>'Acct Summary 7-8'!I8</f>
        <v>19981</v>
      </c>
      <c r="F8" s="1811">
        <f>SUM(B8:E8)</f>
        <v>6852904</v>
      </c>
    </row>
    <row r="9" spans="1:8" s="1075" customFormat="1" ht="14.25" customHeight="1" thickBot="1" x14ac:dyDescent="0.25">
      <c r="A9" s="1074" t="s">
        <v>1369</v>
      </c>
      <c r="B9" s="1812">
        <f>'Acct Summary 7-8'!C17</f>
        <v>5657978</v>
      </c>
      <c r="C9" s="1812">
        <f>'Acct Summary 7-8'!D17</f>
        <v>488058</v>
      </c>
      <c r="D9" s="1812">
        <f>'Acct Summary 7-8'!F17</f>
        <v>415195</v>
      </c>
      <c r="E9" s="1811"/>
      <c r="F9" s="1811">
        <f>SUM(B9:E9)</f>
        <v>6561231</v>
      </c>
    </row>
    <row r="10" spans="1:8" s="1075" customFormat="1" ht="14.25" thickTop="1" thickBot="1" x14ac:dyDescent="0.25">
      <c r="A10" s="1076" t="s">
        <v>1370</v>
      </c>
      <c r="B10" s="1813">
        <f>(B8-B9)</f>
        <v>131333</v>
      </c>
      <c r="C10" s="1813">
        <f>(C8-C9)</f>
        <v>160110</v>
      </c>
      <c r="D10" s="1813">
        <f>(D8-D9)</f>
        <v>-19751</v>
      </c>
      <c r="E10" s="1812">
        <f>(E8-E9)</f>
        <v>19981</v>
      </c>
      <c r="F10" s="1814">
        <f>SUM(F8-F9)</f>
        <v>291673</v>
      </c>
    </row>
    <row r="11" spans="1:8" s="1075" customFormat="1" ht="14.25" thickTop="1" thickBot="1" x14ac:dyDescent="0.25">
      <c r="A11" s="1077" t="s">
        <v>1985</v>
      </c>
      <c r="B11" s="1815">
        <f>'Acct Summary 7-8'!C81</f>
        <v>3116006</v>
      </c>
      <c r="C11" s="1815">
        <f>'Acct Summary 7-8'!D81</f>
        <v>2378299</v>
      </c>
      <c r="D11" s="1815">
        <f>'Acct Summary 7-8'!F81</f>
        <v>500498</v>
      </c>
      <c r="E11" s="1815">
        <f>'Acct Summary 7-8'!I81</f>
        <v>1027848</v>
      </c>
      <c r="F11" s="1816">
        <f>SUM(B11:E11)</f>
        <v>7022651</v>
      </c>
    </row>
    <row r="12" spans="1:8" ht="16.5" customHeight="1" thickTop="1" x14ac:dyDescent="0.2">
      <c r="A12" s="1078"/>
      <c r="B12" s="1079"/>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0"/>
      <c r="B13" s="1081"/>
      <c r="C13" s="2339"/>
      <c r="D13" s="2340"/>
      <c r="E13" s="2340"/>
      <c r="F13" s="2341"/>
      <c r="H13" s="1070"/>
    </row>
    <row r="14" spans="1:8" ht="19.5" customHeight="1" x14ac:dyDescent="0.2">
      <c r="A14" s="1080"/>
      <c r="B14" s="1081"/>
      <c r="C14" s="2339"/>
      <c r="D14" s="2340"/>
      <c r="E14" s="2340"/>
      <c r="F14" s="2341"/>
      <c r="H14" s="1070"/>
    </row>
    <row r="15" spans="1:8" ht="17.25" customHeight="1" x14ac:dyDescent="0.2">
      <c r="A15" s="1080"/>
      <c r="B15" s="1081"/>
      <c r="C15" s="2342"/>
      <c r="D15" s="2343"/>
      <c r="E15" s="2343"/>
      <c r="F15" s="2344"/>
      <c r="H15" s="1070"/>
    </row>
    <row r="16" spans="1:8" s="310" customFormat="1" ht="51.75" hidden="1" customHeight="1" x14ac:dyDescent="0.2">
      <c r="A16" s="2338" t="s">
        <v>1687</v>
      </c>
      <c r="B16" s="2338"/>
      <c r="C16" s="2338"/>
      <c r="D16" s="2338"/>
      <c r="E16" s="2338"/>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60" t="s">
        <v>665</v>
      </c>
      <c r="B3" s="2361"/>
      <c r="C3" s="2361"/>
      <c r="D3" s="2362"/>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71" t="s">
        <v>1504</v>
      </c>
      <c r="D7" s="2372"/>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63" t="s">
        <v>1008</v>
      </c>
      <c r="B15" s="2364"/>
      <c r="C15" s="2364"/>
      <c r="D15" s="2365"/>
    </row>
    <row r="16" spans="1:4" s="665" customFormat="1" ht="24" customHeight="1" x14ac:dyDescent="0.2">
      <c r="A16" s="2366" t="s">
        <v>663</v>
      </c>
      <c r="B16" s="2367"/>
      <c r="C16" s="2367"/>
      <c r="D16" s="2368"/>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75" t="s">
        <v>314</v>
      </c>
      <c r="D21" s="2376"/>
    </row>
    <row r="22" spans="1:10" ht="12.75" x14ac:dyDescent="0.2">
      <c r="A22" s="1135"/>
      <c r="B22" s="1136">
        <v>2</v>
      </c>
      <c r="C22" s="2373" t="s">
        <v>1524</v>
      </c>
      <c r="D22" s="2374"/>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OK</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77" t="s">
        <v>536</v>
      </c>
      <c r="D43" s="2378"/>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69" t="s">
        <v>784</v>
      </c>
      <c r="D56" s="2370"/>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69" t="s">
        <v>1696</v>
      </c>
      <c r="D70" s="2370"/>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OK</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53102069002</v>
      </c>
    </row>
    <row r="3" spans="1:2" x14ac:dyDescent="0.2">
      <c r="A3" t="s">
        <v>956</v>
      </c>
      <c r="B3" s="138" t="str">
        <f>COVER!A15</f>
        <v>Woodford</v>
      </c>
    </row>
    <row r="4" spans="1:2" x14ac:dyDescent="0.2">
      <c r="A4" t="s">
        <v>1007</v>
      </c>
      <c r="B4" s="138" t="str">
        <f>COVER!A17</f>
        <v>Germantown Hills SD 69</v>
      </c>
    </row>
    <row r="5" spans="1:2" x14ac:dyDescent="0.2">
      <c r="A5" t="s">
        <v>704</v>
      </c>
      <c r="B5" s="138" t="str">
        <f>COVER!A38</f>
        <v>Dan Mair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3116006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3116006</v>
      </c>
      <c r="D92" s="2" t="str">
        <f t="shared" si="0"/>
        <v>Error?</v>
      </c>
    </row>
    <row r="93" spans="1:4" x14ac:dyDescent="0.2">
      <c r="A93" s="5">
        <v>32</v>
      </c>
      <c r="B93" s="138">
        <f>'Assets-Liab 5-6'!C41</f>
        <v>3116006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2378299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2378299</v>
      </c>
      <c r="D123" s="2" t="str">
        <f t="shared" si="0"/>
        <v>Error?</v>
      </c>
    </row>
    <row r="124" spans="1:4" x14ac:dyDescent="0.2">
      <c r="A124" s="5">
        <v>63</v>
      </c>
      <c r="B124" s="138">
        <f>'Assets-Liab 5-6'!D41</f>
        <v>2378299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364752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160000</v>
      </c>
      <c r="C139" s="2" t="s">
        <v>573</v>
      </c>
      <c r="D139" s="2" t="str">
        <f t="shared" si="1"/>
        <v>Error?</v>
      </c>
    </row>
    <row r="140" spans="1:4" x14ac:dyDescent="0.2">
      <c r="A140" s="5">
        <v>79</v>
      </c>
      <c r="B140" s="138">
        <f>'Assets-Liab 5-6'!E39</f>
        <v>34269</v>
      </c>
      <c r="D140" s="2" t="str">
        <f t="shared" si="1"/>
        <v>Error?</v>
      </c>
    </row>
    <row r="141" spans="1:4" x14ac:dyDescent="0.2">
      <c r="A141" s="5">
        <v>80</v>
      </c>
      <c r="B141" s="138">
        <f>'Assets-Liab 5-6'!E41</f>
        <v>364752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500498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500498</v>
      </c>
      <c r="D170" s="2" t="str">
        <f t="shared" si="1"/>
        <v>Error?</v>
      </c>
    </row>
    <row r="171" spans="1:4" x14ac:dyDescent="0.2">
      <c r="A171" s="5">
        <v>110</v>
      </c>
      <c r="B171" s="138">
        <f>'Assets-Liab 5-6'!F41</f>
        <v>500498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134407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63483</v>
      </c>
      <c r="D189" s="2" t="str">
        <f t="shared" si="1"/>
        <v>Error?</v>
      </c>
    </row>
    <row r="190" spans="1:4" x14ac:dyDescent="0.2">
      <c r="A190" s="5">
        <v>129</v>
      </c>
      <c r="B190" s="138">
        <f>'Assets-Liab 5-6'!G41</f>
        <v>134407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137521</v>
      </c>
      <c r="D273" s="2" t="str">
        <f t="shared" si="3"/>
        <v>Error?</v>
      </c>
    </row>
    <row r="274" spans="1:4" x14ac:dyDescent="0.2">
      <c r="A274" s="5">
        <v>213</v>
      </c>
      <c r="B274" s="138">
        <f>'Assets-Liab 5-6'!M17</f>
        <v>18194621</v>
      </c>
      <c r="D274" s="2" t="str">
        <f t="shared" si="3"/>
        <v>Error?</v>
      </c>
    </row>
    <row r="275" spans="1:4" x14ac:dyDescent="0.2">
      <c r="A275" s="5">
        <v>214</v>
      </c>
      <c r="B275" s="138">
        <f>'Assets-Liab 5-6'!M18</f>
        <v>134560</v>
      </c>
      <c r="D275" s="2" t="str">
        <f t="shared" si="3"/>
        <v>Error?</v>
      </c>
    </row>
    <row r="276" spans="1:4" x14ac:dyDescent="0.2">
      <c r="A276" s="5">
        <v>215</v>
      </c>
      <c r="B276" s="138">
        <f>'Assets-Liab 5-6'!M19</f>
        <v>1436930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19903632</v>
      </c>
      <c r="C279" s="2" t="s">
        <v>573</v>
      </c>
      <c r="D279" s="2" t="str">
        <f t="shared" si="3"/>
        <v>Error?</v>
      </c>
    </row>
    <row r="280" spans="1:4" x14ac:dyDescent="0.2">
      <c r="A280" s="5">
        <v>219</v>
      </c>
      <c r="B280" s="138">
        <f>'Assets-Liab 5-6'!M40</f>
        <v>19903632</v>
      </c>
      <c r="D280" s="2" t="str">
        <f t="shared" si="3"/>
        <v>Error?</v>
      </c>
    </row>
    <row r="281" spans="1:4" x14ac:dyDescent="0.2">
      <c r="A281" s="5">
        <v>220</v>
      </c>
      <c r="B281" s="138">
        <f>'Assets-Liab 5-6'!M41</f>
        <v>19903632</v>
      </c>
      <c r="C281" s="2" t="s">
        <v>573</v>
      </c>
      <c r="D281" s="2" t="str">
        <f t="shared" si="3"/>
        <v>Error?</v>
      </c>
    </row>
    <row r="282" spans="1:4" x14ac:dyDescent="0.2">
      <c r="A282" s="5">
        <v>221</v>
      </c>
      <c r="B282" s="138">
        <f>'Assets-Liab 5-6'!N21</f>
        <v>204752</v>
      </c>
      <c r="D282" s="2" t="str">
        <f t="shared" si="3"/>
        <v>Error?</v>
      </c>
    </row>
    <row r="283" spans="1:4" x14ac:dyDescent="0.2">
      <c r="A283" s="5">
        <v>222</v>
      </c>
      <c r="B283" s="138">
        <f>'Assets-Liab 5-6'!N22</f>
        <v>5914944</v>
      </c>
      <c r="D283" s="2" t="str">
        <f t="shared" si="3"/>
        <v>Error?</v>
      </c>
    </row>
    <row r="284" spans="1:4" x14ac:dyDescent="0.2">
      <c r="A284" s="5">
        <v>223</v>
      </c>
      <c r="B284" s="138">
        <f>'Assets-Liab 5-6'!N23</f>
        <v>6119696</v>
      </c>
      <c r="C284" s="2" t="s">
        <v>573</v>
      </c>
      <c r="D284" s="2" t="str">
        <f t="shared" si="3"/>
        <v>Error?</v>
      </c>
    </row>
    <row r="285" spans="1:4" x14ac:dyDescent="0.2">
      <c r="A285" s="5">
        <v>224</v>
      </c>
      <c r="B285" s="138">
        <f>'Assets-Liab 5-6'!N36</f>
        <v>6119696</v>
      </c>
      <c r="D285" s="2" t="str">
        <f t="shared" si="3"/>
        <v>Error?</v>
      </c>
    </row>
    <row r="286" spans="1:4" x14ac:dyDescent="0.2">
      <c r="A286" s="10">
        <v>225</v>
      </c>
      <c r="D286" s="2" t="str">
        <f t="shared" si="3"/>
        <v>OK</v>
      </c>
    </row>
    <row r="287" spans="1:4" x14ac:dyDescent="0.2">
      <c r="A287" s="5">
        <v>226</v>
      </c>
      <c r="B287" s="138">
        <f>'Assets-Liab 5-6'!N37</f>
        <v>6119696</v>
      </c>
      <c r="C287" s="2" t="s">
        <v>573</v>
      </c>
      <c r="D287" s="2" t="str">
        <f t="shared" si="3"/>
        <v>Error?</v>
      </c>
    </row>
    <row r="288" spans="1:4" x14ac:dyDescent="0.2">
      <c r="A288" s="5">
        <v>227</v>
      </c>
      <c r="B288" s="138">
        <f>'Assets-Liab 5-6'!N41</f>
        <v>6119696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2257109</v>
      </c>
      <c r="D705" s="2" t="str">
        <f t="shared" si="10"/>
        <v>Error?</v>
      </c>
    </row>
    <row r="706" spans="1:4" x14ac:dyDescent="0.2">
      <c r="A706" s="5">
        <v>645</v>
      </c>
      <c r="B706" s="138">
        <f>'Expenditures 15-22'!C16</f>
        <v>1200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81127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2970405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79268</v>
      </c>
      <c r="D722" s="2" t="str">
        <f t="shared" si="10"/>
        <v>Error?</v>
      </c>
    </row>
    <row r="723" spans="1:4" x14ac:dyDescent="0.2">
      <c r="A723" s="5">
        <v>662</v>
      </c>
      <c r="B723" s="138">
        <f>'Expenditures 15-22'!C38</f>
        <v>6210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57253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142731</v>
      </c>
      <c r="C727" s="2" t="s">
        <v>573</v>
      </c>
      <c r="D727" s="2" t="str">
        <f t="shared" si="10"/>
        <v>Error?</v>
      </c>
    </row>
    <row r="728" spans="1:4" x14ac:dyDescent="0.2">
      <c r="A728" s="5">
        <v>667</v>
      </c>
      <c r="B728" s="138">
        <f>'Expenditures 15-22'!C44</f>
        <v>44577</v>
      </c>
      <c r="D728" s="2" t="str">
        <f t="shared" si="10"/>
        <v>Error?</v>
      </c>
    </row>
    <row r="729" spans="1:4" x14ac:dyDescent="0.2">
      <c r="A729" s="5">
        <v>668</v>
      </c>
      <c r="B729" s="138">
        <f>'Expenditures 15-22'!C45</f>
        <v>65925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110502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131205</v>
      </c>
      <c r="D733" s="2" t="str">
        <f t="shared" si="10"/>
        <v>Error?</v>
      </c>
    </row>
    <row r="734" spans="1:4" x14ac:dyDescent="0.2">
      <c r="A734" s="5">
        <v>673</v>
      </c>
      <c r="B734" s="138">
        <f>'Expenditures 15-22'!C53</f>
        <v>131205</v>
      </c>
      <c r="C734" s="2" t="s">
        <v>573</v>
      </c>
      <c r="D734" s="2" t="str">
        <f t="shared" si="10"/>
        <v>Error?</v>
      </c>
    </row>
    <row r="735" spans="1:4" x14ac:dyDescent="0.2">
      <c r="A735" s="5">
        <v>674</v>
      </c>
      <c r="B735" s="138">
        <f>'Expenditures 15-22'!C55</f>
        <v>214860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214860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48180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118842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167022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3587</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72907</v>
      </c>
      <c r="D751" s="2" t="str">
        <f t="shared" si="10"/>
        <v>Error?</v>
      </c>
    </row>
    <row r="752" spans="1:4" x14ac:dyDescent="0.2">
      <c r="A752" s="10">
        <v>691</v>
      </c>
      <c r="D752" s="2" t="str">
        <f t="shared" si="10"/>
        <v>OK</v>
      </c>
    </row>
    <row r="753" spans="1:4" x14ac:dyDescent="0.2">
      <c r="A753" s="5">
        <v>692</v>
      </c>
      <c r="B753" s="138">
        <f>'Expenditures 15-22'!C72</f>
        <v>76494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842814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3813219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485808</v>
      </c>
      <c r="D763" s="2" t="str">
        <f t="shared" si="10"/>
        <v>Error?</v>
      </c>
    </row>
    <row r="764" spans="1:4" x14ac:dyDescent="0.2">
      <c r="A764" s="5">
        <v>703</v>
      </c>
      <c r="B764" s="138">
        <f>'Expenditures 15-22'!D16</f>
        <v>140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7699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632176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15966</v>
      </c>
      <c r="D780" s="2" t="str">
        <f t="shared" si="11"/>
        <v>Error?</v>
      </c>
    </row>
    <row r="781" spans="1:4" x14ac:dyDescent="0.2">
      <c r="A781" s="5">
        <v>720</v>
      </c>
      <c r="B781" s="138">
        <f>'Expenditures 15-22'!D38</f>
        <v>2048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7595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25609</v>
      </c>
      <c r="C785" s="2" t="s">
        <v>573</v>
      </c>
      <c r="D785" s="2" t="str">
        <f t="shared" si="11"/>
        <v>Error?</v>
      </c>
    </row>
    <row r="786" spans="1:4" x14ac:dyDescent="0.2">
      <c r="A786" s="5">
        <v>725</v>
      </c>
      <c r="B786" s="138">
        <f>'Expenditures 15-22'!D44</f>
        <v>8352</v>
      </c>
      <c r="D786" s="2" t="str">
        <f t="shared" si="11"/>
        <v>Error?</v>
      </c>
    </row>
    <row r="787" spans="1:4" x14ac:dyDescent="0.2">
      <c r="A787" s="5">
        <v>726</v>
      </c>
      <c r="B787" s="138">
        <f>'Expenditures 15-22'!D45</f>
        <v>15116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23468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26443</v>
      </c>
      <c r="D791" s="2" t="str">
        <f t="shared" si="11"/>
        <v>Error?</v>
      </c>
    </row>
    <row r="792" spans="1:4" x14ac:dyDescent="0.2">
      <c r="A792" s="5">
        <v>731</v>
      </c>
      <c r="B792" s="138">
        <f>'Expenditures 15-22'!D53</f>
        <v>26443</v>
      </c>
      <c r="C792" s="2" t="s">
        <v>573</v>
      </c>
      <c r="D792" s="2" t="str">
        <f t="shared" si="11"/>
        <v>Error?</v>
      </c>
    </row>
    <row r="793" spans="1:4" x14ac:dyDescent="0.2">
      <c r="A793" s="5">
        <v>732</v>
      </c>
      <c r="B793" s="138">
        <f>'Expenditures 15-22'!D55</f>
        <v>60064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60064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13626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13783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422</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15982</v>
      </c>
      <c r="D809" s="2" t="str">
        <f t="shared" si="11"/>
        <v>Error?</v>
      </c>
    </row>
    <row r="810" spans="1:4" x14ac:dyDescent="0.2">
      <c r="A810" s="10">
        <v>749</v>
      </c>
      <c r="D810" s="2" t="str">
        <f t="shared" si="11"/>
        <v>OK</v>
      </c>
    </row>
    <row r="811" spans="1:4" x14ac:dyDescent="0.2">
      <c r="A811" s="5">
        <v>750</v>
      </c>
      <c r="B811" s="138">
        <f>'Expenditures 15-22'!D72</f>
        <v>16404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165771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797947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27390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9995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61451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1350</v>
      </c>
      <c r="C843" s="2" t="s">
        <v>573</v>
      </c>
      <c r="D843" s="2" t="str">
        <f t="shared" si="12"/>
        <v>Error?</v>
      </c>
    </row>
    <row r="844" spans="1:4" x14ac:dyDescent="0.2">
      <c r="A844" s="5">
        <v>783</v>
      </c>
      <c r="B844" s="138">
        <f>'Expenditures 15-22'!E44</f>
        <v>650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650</v>
      </c>
      <c r="C847" s="2" t="s">
        <v>573</v>
      </c>
      <c r="D847" s="2" t="str">
        <f t="shared" si="12"/>
        <v>Error?</v>
      </c>
    </row>
    <row r="848" spans="1:4" x14ac:dyDescent="0.2">
      <c r="A848" s="5">
        <v>787</v>
      </c>
      <c r="B848" s="138">
        <f>'Expenditures 15-22'!E49</f>
        <v>25355</v>
      </c>
      <c r="D848" s="2" t="str">
        <f t="shared" si="12"/>
        <v>Error?</v>
      </c>
    </row>
    <row r="849" spans="1:4" x14ac:dyDescent="0.2">
      <c r="A849" s="5">
        <v>788</v>
      </c>
      <c r="B849" s="138">
        <f>'Expenditures 15-22'!E50</f>
        <v>1712</v>
      </c>
      <c r="D849" s="2" t="str">
        <f t="shared" si="12"/>
        <v>Error?</v>
      </c>
    </row>
    <row r="850" spans="1:4" x14ac:dyDescent="0.2">
      <c r="A850" s="5">
        <v>789</v>
      </c>
      <c r="B850" s="138">
        <f>'Expenditures 15-22'!E53</f>
        <v>27067</v>
      </c>
      <c r="C850" s="2" t="s">
        <v>573</v>
      </c>
      <c r="D850" s="2" t="str">
        <f t="shared" si="12"/>
        <v>Error?</v>
      </c>
    </row>
    <row r="851" spans="1:4" x14ac:dyDescent="0.2">
      <c r="A851" s="5">
        <v>790</v>
      </c>
      <c r="B851" s="138">
        <f>'Expenditures 15-22'!E55</f>
        <v>25644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25644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2336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2336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57047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334862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80417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33762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128725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582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1142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1724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4292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4292</v>
      </c>
      <c r="C905" s="2" t="s">
        <v>573</v>
      </c>
      <c r="D905" s="2" t="str">
        <f t="shared" si="13"/>
        <v>Error?</v>
      </c>
    </row>
    <row r="906" spans="1:4" x14ac:dyDescent="0.2">
      <c r="A906" s="5">
        <v>845</v>
      </c>
      <c r="B906" s="138">
        <f>'Expenditures 15-22'!F49</f>
        <v>1895</v>
      </c>
      <c r="D906" s="2" t="str">
        <f t="shared" si="13"/>
        <v>Error?</v>
      </c>
    </row>
    <row r="907" spans="1:4" x14ac:dyDescent="0.2">
      <c r="A907" s="5">
        <v>846</v>
      </c>
      <c r="B907" s="138">
        <f>'Expenditures 15-22'!F50</f>
        <v>895</v>
      </c>
      <c r="D907" s="2" t="str">
        <f t="shared" si="13"/>
        <v>Error?</v>
      </c>
    </row>
    <row r="908" spans="1:4" x14ac:dyDescent="0.2">
      <c r="A908" s="5">
        <v>847</v>
      </c>
      <c r="B908" s="138">
        <f>'Expenditures 15-22'!F53</f>
        <v>2790</v>
      </c>
      <c r="C908" s="2" t="s">
        <v>573</v>
      </c>
      <c r="D908" s="2" t="str">
        <f t="shared" si="13"/>
        <v>Error?</v>
      </c>
    </row>
    <row r="909" spans="1:4" x14ac:dyDescent="0.2">
      <c r="A909" s="5">
        <v>848</v>
      </c>
      <c r="B909" s="138">
        <f>'Expenditures 15-22'!F55</f>
        <v>3336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3336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5973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165809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171782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183924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312649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33782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33782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33782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18830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68771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4296</v>
      </c>
      <c r="D1016" s="2" t="str">
        <f t="shared" si="14"/>
        <v>Error?</v>
      </c>
    </row>
    <row r="1017" spans="1:4" x14ac:dyDescent="0.2">
      <c r="A1017" s="5">
        <v>956</v>
      </c>
      <c r="B1017" s="138">
        <f>'Expenditures 15-22'!H42</f>
        <v>4296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19511</v>
      </c>
      <c r="D1022" s="2" t="str">
        <f t="shared" si="14"/>
        <v>Error?</v>
      </c>
    </row>
    <row r="1023" spans="1:4" x14ac:dyDescent="0.2">
      <c r="A1023" s="5">
        <v>962</v>
      </c>
      <c r="B1023" s="138">
        <f>'Expenditures 15-22'!H50</f>
        <v>2585</v>
      </c>
      <c r="D1023" s="2" t="str">
        <f t="shared" ref="D1023:D1086" si="15">IF(ISBLANK(B1023),"OK",IF(A1023-B1023=0,"OK","Error?"))</f>
        <v>Error?</v>
      </c>
    </row>
    <row r="1024" spans="1:4" x14ac:dyDescent="0.2">
      <c r="A1024" s="5">
        <v>963</v>
      </c>
      <c r="B1024" s="138">
        <f>'Expenditures 15-22'!H53</f>
        <v>22096</v>
      </c>
      <c r="C1024" s="2" t="s">
        <v>573</v>
      </c>
      <c r="D1024" s="2" t="str">
        <f t="shared" si="15"/>
        <v>Error?</v>
      </c>
    </row>
    <row r="1025" spans="1:4" x14ac:dyDescent="0.2">
      <c r="A1025" s="5">
        <v>964</v>
      </c>
      <c r="B1025" s="138">
        <f>'Expenditures 15-22'!H55</f>
        <v>433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433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570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27395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269353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365519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2903336</v>
      </c>
      <c r="C1093" s="2" t="s">
        <v>573</v>
      </c>
      <c r="D1093" s="2" t="str">
        <f t="shared" si="16"/>
        <v>Error?</v>
      </c>
    </row>
    <row r="1094" spans="1:4" x14ac:dyDescent="0.2">
      <c r="A1094" s="5">
        <v>1033</v>
      </c>
      <c r="B1094" s="138">
        <f>'Expenditures 15-22'!K16</f>
        <v>1340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137680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3895310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95234</v>
      </c>
      <c r="C1110" s="2" t="s">
        <v>573</v>
      </c>
      <c r="D1110" s="2" t="str">
        <f t="shared" si="16"/>
        <v>Error?</v>
      </c>
    </row>
    <row r="1111" spans="1:4" x14ac:dyDescent="0.2">
      <c r="A1111" s="5">
        <v>1050</v>
      </c>
      <c r="B1111" s="138">
        <f>'Expenditures 15-22'!K38</f>
        <v>10190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65990</v>
      </c>
      <c r="C1113" s="2" t="s">
        <v>573</v>
      </c>
      <c r="D1113" s="2" t="str">
        <f t="shared" si="16"/>
        <v>Error?</v>
      </c>
    </row>
    <row r="1114" spans="1:4" x14ac:dyDescent="0.2">
      <c r="A1114" s="5">
        <v>1053</v>
      </c>
      <c r="B1114" s="138">
        <f>'Expenditures 15-22'!K41</f>
        <v>4296</v>
      </c>
      <c r="C1114" s="2" t="s">
        <v>573</v>
      </c>
      <c r="D1114" s="2" t="str">
        <f t="shared" si="16"/>
        <v>Error?</v>
      </c>
    </row>
    <row r="1115" spans="1:4" x14ac:dyDescent="0.2">
      <c r="A1115" s="5">
        <v>1054</v>
      </c>
      <c r="B1115" s="138">
        <f>'Expenditures 15-22'!K42</f>
        <v>175710</v>
      </c>
      <c r="C1115" s="2" t="s">
        <v>573</v>
      </c>
      <c r="D1115" s="2" t="str">
        <f t="shared" si="16"/>
        <v>Error?</v>
      </c>
    </row>
    <row r="1116" spans="1:4" x14ac:dyDescent="0.2">
      <c r="A1116" s="5">
        <v>1055</v>
      </c>
      <c r="B1116" s="138">
        <f>'Expenditures 15-22'!K44</f>
        <v>53579</v>
      </c>
      <c r="C1116" s="2" t="s">
        <v>573</v>
      </c>
      <c r="D1116" s="2" t="str">
        <f t="shared" si="16"/>
        <v>Error?</v>
      </c>
    </row>
    <row r="1117" spans="1:4" x14ac:dyDescent="0.2">
      <c r="A1117" s="5">
        <v>1056</v>
      </c>
      <c r="B1117" s="138">
        <f>'Expenditures 15-22'!K45</f>
        <v>85333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138912</v>
      </c>
      <c r="C1119" s="2" t="s">
        <v>573</v>
      </c>
      <c r="D1119" s="2" t="str">
        <f t="shared" si="16"/>
        <v>Error?</v>
      </c>
    </row>
    <row r="1120" spans="1:4" x14ac:dyDescent="0.2">
      <c r="A1120" s="5">
        <v>1059</v>
      </c>
      <c r="B1120" s="138">
        <f>'Expenditures 15-22'!K49</f>
        <v>46761</v>
      </c>
      <c r="C1120" s="2" t="s">
        <v>573</v>
      </c>
      <c r="D1120" s="2" t="str">
        <f t="shared" si="16"/>
        <v>Error?</v>
      </c>
    </row>
    <row r="1121" spans="1:4" x14ac:dyDescent="0.2">
      <c r="A1121" s="5">
        <v>1060</v>
      </c>
      <c r="B1121" s="138">
        <f>'Expenditures 15-22'!K50</f>
        <v>162840</v>
      </c>
      <c r="C1121" s="2" t="s">
        <v>573</v>
      </c>
      <c r="D1121" s="2" t="str">
        <f t="shared" si="16"/>
        <v>Error?</v>
      </c>
    </row>
    <row r="1122" spans="1:4" x14ac:dyDescent="0.2">
      <c r="A1122" s="5">
        <v>1061</v>
      </c>
      <c r="B1122" s="138">
        <f>'Expenditures 15-22'!K53</f>
        <v>209601</v>
      </c>
      <c r="C1122" s="2" t="s">
        <v>573</v>
      </c>
      <c r="D1122" s="2" t="str">
        <f t="shared" si="16"/>
        <v>Error?</v>
      </c>
    </row>
    <row r="1123" spans="1:4" x14ac:dyDescent="0.2">
      <c r="A1123" s="5">
        <v>1062</v>
      </c>
      <c r="B1123" s="138">
        <f>'Expenditures 15-22'!K55</f>
        <v>304337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304337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54310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301183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355493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4009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88889</v>
      </c>
      <c r="C1139" s="2" t="s">
        <v>573</v>
      </c>
      <c r="D1139" s="2" t="str">
        <f t="shared" si="16"/>
        <v>Error?</v>
      </c>
    </row>
    <row r="1140" spans="1:4" x14ac:dyDescent="0.2">
      <c r="A1140" s="10">
        <v>1079</v>
      </c>
      <c r="D1140" s="2" t="str">
        <f t="shared" si="16"/>
        <v>OK</v>
      </c>
    </row>
    <row r="1141" spans="1:4" x14ac:dyDescent="0.2">
      <c r="A1141" s="5">
        <v>1080</v>
      </c>
      <c r="B1141" s="138">
        <f>'Expenditures 15-22'!K72</f>
        <v>92898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1276951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485717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5657978</v>
      </c>
      <c r="C1152" s="2" t="s">
        <v>573</v>
      </c>
      <c r="D1152" s="2" t="str">
        <f t="shared" si="17"/>
        <v>Error?</v>
      </c>
    </row>
    <row r="1153" spans="1:4" x14ac:dyDescent="0.2">
      <c r="A1153" s="5">
        <v>1092</v>
      </c>
      <c r="B1153" s="138">
        <f>'Expenditures 15-22'!K115</f>
        <v>131333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175972</v>
      </c>
      <c r="D1221" s="2" t="str">
        <f t="shared" si="18"/>
        <v>Error?</v>
      </c>
    </row>
    <row r="1222" spans="1:4" x14ac:dyDescent="0.2">
      <c r="A1222" s="10">
        <v>1161</v>
      </c>
      <c r="D1222" s="2" t="str">
        <f t="shared" si="18"/>
        <v>OK</v>
      </c>
    </row>
    <row r="1223" spans="1:4" x14ac:dyDescent="0.2">
      <c r="A1223" s="5">
        <v>1162</v>
      </c>
      <c r="B1223" s="138">
        <f>'Expenditures 15-22'!C127</f>
        <v>175972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175972</v>
      </c>
      <c r="C1225" s="2" t="s">
        <v>573</v>
      </c>
      <c r="D1225" s="2" t="str">
        <f t="shared" si="18"/>
        <v>Error?</v>
      </c>
    </row>
    <row r="1226" spans="1:4" x14ac:dyDescent="0.2">
      <c r="A1226" s="5">
        <v>1165</v>
      </c>
      <c r="B1226" s="138">
        <f>'Expenditures 15-22'!C151</f>
        <v>175972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25831</v>
      </c>
      <c r="D1229" s="2" t="str">
        <f t="shared" si="18"/>
        <v>Error?</v>
      </c>
    </row>
    <row r="1230" spans="1:4" x14ac:dyDescent="0.2">
      <c r="A1230" s="10">
        <v>1169</v>
      </c>
      <c r="D1230" s="2" t="str">
        <f t="shared" si="18"/>
        <v>OK</v>
      </c>
    </row>
    <row r="1231" spans="1:4" x14ac:dyDescent="0.2">
      <c r="A1231" s="5">
        <v>1170</v>
      </c>
      <c r="B1231" s="138">
        <f>'Expenditures 15-22'!D127</f>
        <v>25831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25831</v>
      </c>
      <c r="C1233" s="2" t="s">
        <v>573</v>
      </c>
      <c r="D1233" s="2" t="str">
        <f t="shared" si="18"/>
        <v>Error?</v>
      </c>
    </row>
    <row r="1234" spans="1:4" x14ac:dyDescent="0.2">
      <c r="A1234" s="5">
        <v>1173</v>
      </c>
      <c r="B1234" s="138">
        <f>'Expenditures 15-22'!D151</f>
        <v>25831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7130</v>
      </c>
      <c r="D1236" s="2" t="str">
        <f t="shared" si="18"/>
        <v>Error?</v>
      </c>
    </row>
    <row r="1237" spans="1:4" x14ac:dyDescent="0.2">
      <c r="A1237" s="5">
        <v>1176</v>
      </c>
      <c r="B1237" s="138">
        <f>'Expenditures 15-22'!E124</f>
        <v>76670</v>
      </c>
      <c r="D1237" s="2" t="str">
        <f t="shared" si="18"/>
        <v>Error?</v>
      </c>
    </row>
    <row r="1238" spans="1:4" x14ac:dyDescent="0.2">
      <c r="A1238" s="10">
        <v>1177</v>
      </c>
      <c r="D1238" s="2" t="str">
        <f t="shared" si="18"/>
        <v>OK</v>
      </c>
    </row>
    <row r="1239" spans="1:4" x14ac:dyDescent="0.2">
      <c r="A1239" s="5">
        <v>1178</v>
      </c>
      <c r="B1239" s="138">
        <f>'Expenditures 15-22'!E127</f>
        <v>83800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83800</v>
      </c>
      <c r="C1241" s="2" t="s">
        <v>573</v>
      </c>
      <c r="D1241" s="2" t="str">
        <f t="shared" si="18"/>
        <v>Error?</v>
      </c>
    </row>
    <row r="1242" spans="1:4" x14ac:dyDescent="0.2">
      <c r="A1242" s="5">
        <v>1181</v>
      </c>
      <c r="B1242" s="138">
        <f>'Expenditures 15-22'!E151</f>
        <v>83800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9235</v>
      </c>
      <c r="D1244" s="2" t="str">
        <f t="shared" si="18"/>
        <v>Error?</v>
      </c>
    </row>
    <row r="1245" spans="1:4" x14ac:dyDescent="0.2">
      <c r="A1245" s="5">
        <v>1184</v>
      </c>
      <c r="B1245" s="138">
        <f>'Expenditures 15-22'!F124</f>
        <v>162363</v>
      </c>
      <c r="D1245" s="2" t="str">
        <f t="shared" si="18"/>
        <v>Error?</v>
      </c>
    </row>
    <row r="1246" spans="1:4" x14ac:dyDescent="0.2">
      <c r="A1246" s="10">
        <v>1185</v>
      </c>
      <c r="D1246" s="2" t="str">
        <f t="shared" si="18"/>
        <v>OK</v>
      </c>
    </row>
    <row r="1247" spans="1:4" x14ac:dyDescent="0.2">
      <c r="A1247" s="5">
        <v>1186</v>
      </c>
      <c r="B1247" s="138">
        <f>'Expenditures 15-22'!F127</f>
        <v>171598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173198</v>
      </c>
      <c r="C1249" s="2" t="s">
        <v>573</v>
      </c>
      <c r="D1249" s="2" t="str">
        <f t="shared" si="18"/>
        <v>Error?</v>
      </c>
    </row>
    <row r="1250" spans="1:4" x14ac:dyDescent="0.2">
      <c r="A1250" s="5">
        <v>1189</v>
      </c>
      <c r="B1250" s="138">
        <f>'Expenditures 15-22'!F151</f>
        <v>173198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25499</v>
      </c>
      <c r="D1252" s="2" t="str">
        <f t="shared" si="18"/>
        <v>Error?</v>
      </c>
    </row>
    <row r="1253" spans="1:4" x14ac:dyDescent="0.2">
      <c r="A1253" s="5">
        <v>1192</v>
      </c>
      <c r="B1253" s="138">
        <f>'Expenditures 15-22'!G124</f>
        <v>3758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29257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29257</v>
      </c>
      <c r="C1258" s="2" t="s">
        <v>573</v>
      </c>
      <c r="D1258" s="2" t="str">
        <f t="shared" si="18"/>
        <v>Error?</v>
      </c>
    </row>
    <row r="1259" spans="1:4" x14ac:dyDescent="0.2">
      <c r="A1259" s="5">
        <v>1198</v>
      </c>
      <c r="B1259" s="138">
        <f>'Expenditures 15-22'!G151</f>
        <v>29257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41864</v>
      </c>
      <c r="C1275" s="2" t="s">
        <v>573</v>
      </c>
      <c r="D1275" s="2" t="str">
        <f t="shared" si="18"/>
        <v>Error?</v>
      </c>
    </row>
    <row r="1276" spans="1:4" x14ac:dyDescent="0.2">
      <c r="A1276" s="5">
        <v>1215</v>
      </c>
      <c r="B1276" s="138">
        <f>'Expenditures 15-22'!K124</f>
        <v>444594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486458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488058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488058</v>
      </c>
      <c r="C1288" s="2" t="s">
        <v>573</v>
      </c>
      <c r="D1288" s="2" t="str">
        <f t="shared" si="19"/>
        <v>Error?</v>
      </c>
    </row>
    <row r="1289" spans="1:4" x14ac:dyDescent="0.2">
      <c r="A1289" s="5">
        <v>1228</v>
      </c>
      <c r="B1289" s="138">
        <f>'Expenditures 15-22'!K152</f>
        <v>160110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144966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1094966</v>
      </c>
      <c r="C1317" s="2" t="s">
        <v>573</v>
      </c>
      <c r="D1317" s="2" t="str">
        <f t="shared" si="19"/>
        <v>Error?</v>
      </c>
    </row>
    <row r="1318" spans="1:4" x14ac:dyDescent="0.2">
      <c r="A1318" s="5">
        <v>1257</v>
      </c>
      <c r="B1318" s="138">
        <f>'Expenditures 15-22'!H174</f>
        <v>1094966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144966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950000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1094966</v>
      </c>
      <c r="C1331" s="2" t="s">
        <v>573</v>
      </c>
      <c r="D1331" s="2" t="str">
        <f t="shared" si="19"/>
        <v>Error?</v>
      </c>
    </row>
    <row r="1332" spans="1:4" x14ac:dyDescent="0.2">
      <c r="A1332" s="5">
        <v>1271</v>
      </c>
      <c r="B1332" s="138">
        <f>'Expenditures 15-22'!K174</f>
        <v>1094966</v>
      </c>
      <c r="C1332" s="2" t="s">
        <v>573</v>
      </c>
      <c r="D1332" s="2" t="str">
        <f t="shared" si="19"/>
        <v>Error?</v>
      </c>
    </row>
    <row r="1333" spans="1:4" x14ac:dyDescent="0.2">
      <c r="A1333" s="5">
        <v>1272</v>
      </c>
      <c r="B1333" s="138">
        <f>'Expenditures 15-22'!K175</f>
        <v>174457</v>
      </c>
      <c r="C1333" s="2" t="s">
        <v>573</v>
      </c>
      <c r="D1333" s="2" t="str">
        <f t="shared" si="19"/>
        <v>Error?</v>
      </c>
    </row>
    <row r="1334" spans="1:4" x14ac:dyDescent="0.2">
      <c r="A1334" s="10">
        <v>1273</v>
      </c>
      <c r="D1334" s="2" t="str">
        <f t="shared" si="19"/>
        <v>OK</v>
      </c>
    </row>
    <row r="1335" spans="1:4" x14ac:dyDescent="0.2">
      <c r="A1335" s="5">
        <v>1274</v>
      </c>
      <c r="B1335" s="138">
        <f>'Expenditures 15-22'!C182</f>
        <v>186323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186323</v>
      </c>
      <c r="C1339" s="2" t="s">
        <v>573</v>
      </c>
      <c r="D1339" s="2" t="str">
        <f t="shared" si="19"/>
        <v>Error?</v>
      </c>
    </row>
    <row r="1340" spans="1:4" x14ac:dyDescent="0.2">
      <c r="A1340" s="5">
        <v>1279</v>
      </c>
      <c r="B1340" s="138">
        <f>'Expenditures 15-22'!C210</f>
        <v>186323</v>
      </c>
      <c r="C1340" s="2" t="s">
        <v>573</v>
      </c>
      <c r="D1340" s="2" t="str">
        <f t="shared" si="19"/>
        <v>Error?</v>
      </c>
    </row>
    <row r="1341" spans="1:4" x14ac:dyDescent="0.2">
      <c r="A1341" s="5">
        <v>1280</v>
      </c>
      <c r="B1341" s="138">
        <f>'Expenditures 15-22'!D182</f>
        <v>17919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17919</v>
      </c>
      <c r="C1345" s="2" t="s">
        <v>573</v>
      </c>
      <c r="D1345" s="2" t="str">
        <f t="shared" si="20"/>
        <v>Error?</v>
      </c>
    </row>
    <row r="1346" spans="1:4" x14ac:dyDescent="0.2">
      <c r="A1346" s="5">
        <v>1285</v>
      </c>
      <c r="B1346" s="138">
        <f>'Expenditures 15-22'!D210</f>
        <v>17919</v>
      </c>
      <c r="C1346" s="2" t="s">
        <v>573</v>
      </c>
      <c r="D1346" s="2" t="str">
        <f t="shared" si="20"/>
        <v>Error?</v>
      </c>
    </row>
    <row r="1347" spans="1:4" x14ac:dyDescent="0.2">
      <c r="A1347" s="5">
        <v>1286</v>
      </c>
      <c r="B1347" s="138">
        <f>'Expenditures 15-22'!E182</f>
        <v>4565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4565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4565</v>
      </c>
      <c r="C1353" s="2" t="s">
        <v>573</v>
      </c>
      <c r="D1353" s="2" t="str">
        <f t="shared" si="20"/>
        <v>Error?</v>
      </c>
    </row>
    <row r="1354" spans="1:4" x14ac:dyDescent="0.2">
      <c r="A1354" s="5">
        <v>1293</v>
      </c>
      <c r="B1354" s="138">
        <f>'Expenditures 15-22'!F182</f>
        <v>78846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78846</v>
      </c>
      <c r="C1358" s="2" t="s">
        <v>573</v>
      </c>
      <c r="D1358" s="2" t="str">
        <f t="shared" si="20"/>
        <v>Error?</v>
      </c>
    </row>
    <row r="1359" spans="1:4" x14ac:dyDescent="0.2">
      <c r="A1359" s="5">
        <v>1298</v>
      </c>
      <c r="B1359" s="138">
        <f>'Expenditures 15-22'!F210</f>
        <v>78846</v>
      </c>
      <c r="C1359" s="2" t="s">
        <v>573</v>
      </c>
      <c r="D1359" s="2" t="str">
        <f t="shared" si="20"/>
        <v>Error?</v>
      </c>
    </row>
    <row r="1360" spans="1:4" x14ac:dyDescent="0.2">
      <c r="A1360" s="5">
        <v>1299</v>
      </c>
      <c r="B1360" s="138">
        <f>'Expenditures 15-22'!G182</f>
        <v>94000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94000</v>
      </c>
      <c r="C1364" s="2" t="s">
        <v>573</v>
      </c>
      <c r="D1364" s="2" t="str">
        <f t="shared" si="20"/>
        <v>Error?</v>
      </c>
    </row>
    <row r="1365" spans="1:4" x14ac:dyDescent="0.2">
      <c r="A1365" s="5">
        <v>1304</v>
      </c>
      <c r="B1365" s="138">
        <f>'Expenditures 15-22'!G210</f>
        <v>94000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33542</v>
      </c>
      <c r="C1375" s="2" t="s">
        <v>573</v>
      </c>
      <c r="D1375" s="2" t="str">
        <f t="shared" si="20"/>
        <v>Error?</v>
      </c>
    </row>
    <row r="1376" spans="1:4" x14ac:dyDescent="0.2">
      <c r="A1376" s="5">
        <v>1315</v>
      </c>
      <c r="B1376" s="138">
        <f>'Expenditures 15-22'!H210</f>
        <v>33542</v>
      </c>
      <c r="C1376" s="2" t="s">
        <v>573</v>
      </c>
      <c r="D1376" s="2" t="str">
        <f t="shared" si="20"/>
        <v>Error?</v>
      </c>
    </row>
    <row r="1377" spans="1:4" x14ac:dyDescent="0.2">
      <c r="A1377" s="5">
        <v>1316</v>
      </c>
      <c r="B1377" s="138">
        <f>'Expenditures 15-22'!K182</f>
        <v>381653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381653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33542</v>
      </c>
      <c r="C1387" s="2" t="s">
        <v>573</v>
      </c>
      <c r="D1387" s="2" t="str">
        <f t="shared" si="20"/>
        <v>Error?</v>
      </c>
    </row>
    <row r="1388" spans="1:4" x14ac:dyDescent="0.2">
      <c r="A1388" s="5">
        <v>1327</v>
      </c>
      <c r="B1388" s="138">
        <f>'Expenditures 15-22'!K210</f>
        <v>415195</v>
      </c>
      <c r="C1388" s="2" t="s">
        <v>573</v>
      </c>
      <c r="D1388" s="2" t="str">
        <f t="shared" si="20"/>
        <v>Error?</v>
      </c>
    </row>
    <row r="1389" spans="1:4" x14ac:dyDescent="0.2">
      <c r="A1389" s="5">
        <v>1328</v>
      </c>
      <c r="B1389" s="138">
        <f>'Expenditures 15-22'!K211</f>
        <v>-19751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72674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1130</v>
      </c>
      <c r="D1412" s="2" t="str">
        <f t="shared" si="21"/>
        <v>Error?</v>
      </c>
    </row>
    <row r="1413" spans="1:4" x14ac:dyDescent="0.2">
      <c r="A1413" s="5">
        <v>1352</v>
      </c>
      <c r="B1413" s="138">
        <f>'Expenditures 15-22'!D234</f>
        <v>1144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729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3003</v>
      </c>
      <c r="C1417" s="2" t="s">
        <v>573</v>
      </c>
      <c r="D1417" s="2" t="str">
        <f t="shared" si="21"/>
        <v>Error?</v>
      </c>
    </row>
    <row r="1418" spans="1:4" x14ac:dyDescent="0.2">
      <c r="A1418" s="5">
        <v>1357</v>
      </c>
      <c r="B1418" s="138">
        <f>'Expenditures 15-22'!D240</f>
        <v>642</v>
      </c>
      <c r="D1418" s="2" t="str">
        <f t="shared" si="21"/>
        <v>Error?</v>
      </c>
    </row>
    <row r="1419" spans="1:4" x14ac:dyDescent="0.2">
      <c r="A1419" s="5">
        <v>1358</v>
      </c>
      <c r="B1419" s="138">
        <f>'Expenditures 15-22'!D241</f>
        <v>3994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4636</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10683</v>
      </c>
      <c r="D1423" s="2" t="str">
        <f t="shared" si="21"/>
        <v>Error?</v>
      </c>
    </row>
    <row r="1424" spans="1:4" x14ac:dyDescent="0.2">
      <c r="A1424" s="5">
        <v>1363</v>
      </c>
      <c r="B1424" s="138">
        <f>'Expenditures 15-22'!D257</f>
        <v>10683</v>
      </c>
      <c r="C1424" s="2" t="s">
        <v>573</v>
      </c>
      <c r="D1424" s="2" t="str">
        <f t="shared" si="21"/>
        <v>Error?</v>
      </c>
    </row>
    <row r="1425" spans="1:4" x14ac:dyDescent="0.2">
      <c r="A1425" s="5">
        <v>1364</v>
      </c>
      <c r="B1425" s="138">
        <f>'Expenditures 15-22'!D259</f>
        <v>19779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19779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9075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48199</v>
      </c>
      <c r="D1431" s="2" t="str">
        <f t="shared" si="21"/>
        <v>Error?</v>
      </c>
    </row>
    <row r="1432" spans="1:4" x14ac:dyDescent="0.2">
      <c r="A1432" s="5">
        <v>1371</v>
      </c>
      <c r="B1432" s="138">
        <f>'Expenditures 15-22'!D267</f>
        <v>21806</v>
      </c>
      <c r="D1432" s="2" t="str">
        <f t="shared" si="21"/>
        <v>Error?</v>
      </c>
    </row>
    <row r="1433" spans="1:4" x14ac:dyDescent="0.2">
      <c r="A1433" s="5">
        <v>1372</v>
      </c>
      <c r="B1433" s="138">
        <f>'Expenditures 15-22'!D268</f>
        <v>15902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94982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52</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13176</v>
      </c>
      <c r="D1442" s="2" t="str">
        <f t="shared" si="21"/>
        <v>Error?</v>
      </c>
    </row>
    <row r="1443" spans="1:4" x14ac:dyDescent="0.2">
      <c r="A1443" s="10">
        <v>1382</v>
      </c>
      <c r="D1443" s="2" t="str">
        <f t="shared" si="21"/>
        <v>OK</v>
      </c>
    </row>
    <row r="1444" spans="1:4" x14ac:dyDescent="0.2">
      <c r="A1444" s="5">
        <v>1383</v>
      </c>
      <c r="B1444" s="138">
        <f>'Expenditures 15-22'!D277</f>
        <v>13228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146311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218985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17</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2791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72674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1130</v>
      </c>
      <c r="C1476" s="2" t="s">
        <v>573</v>
      </c>
      <c r="D1476" s="2" t="str">
        <f t="shared" si="22"/>
        <v>Error?</v>
      </c>
    </row>
    <row r="1477" spans="1:4" x14ac:dyDescent="0.2">
      <c r="A1477" s="5">
        <v>1416</v>
      </c>
      <c r="B1477" s="138">
        <f>'Expenditures 15-22'!K234</f>
        <v>1144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729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3003</v>
      </c>
      <c r="C1481" s="2" t="s">
        <v>573</v>
      </c>
      <c r="D1481" s="2" t="str">
        <f t="shared" si="22"/>
        <v>Error?</v>
      </c>
    </row>
    <row r="1482" spans="1:4" x14ac:dyDescent="0.2">
      <c r="A1482" s="5">
        <v>1421</v>
      </c>
      <c r="B1482" s="138">
        <f>'Expenditures 15-22'!K240</f>
        <v>642</v>
      </c>
      <c r="C1482" s="2" t="s">
        <v>573</v>
      </c>
      <c r="D1482" s="2" t="str">
        <f t="shared" si="22"/>
        <v>Error?</v>
      </c>
    </row>
    <row r="1483" spans="1:4" x14ac:dyDescent="0.2">
      <c r="A1483" s="5">
        <v>1422</v>
      </c>
      <c r="B1483" s="138">
        <f>'Expenditures 15-22'!K241</f>
        <v>3994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4636</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10683</v>
      </c>
      <c r="C1487" s="2" t="s">
        <v>573</v>
      </c>
      <c r="D1487" s="2" t="str">
        <f t="shared" si="22"/>
        <v>Error?</v>
      </c>
    </row>
    <row r="1488" spans="1:4" x14ac:dyDescent="0.2">
      <c r="A1488" s="5">
        <v>1427</v>
      </c>
      <c r="B1488" s="138">
        <f>'Expenditures 15-22'!K257</f>
        <v>10683</v>
      </c>
      <c r="C1488" s="2" t="s">
        <v>573</v>
      </c>
      <c r="D1488" s="2" t="str">
        <f t="shared" si="22"/>
        <v>Error?</v>
      </c>
    </row>
    <row r="1489" spans="1:4" x14ac:dyDescent="0.2">
      <c r="A1489" s="5">
        <v>1428</v>
      </c>
      <c r="B1489" s="138">
        <f>'Expenditures 15-22'!K259</f>
        <v>19779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19779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9075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48199</v>
      </c>
      <c r="C1495" s="2" t="s">
        <v>573</v>
      </c>
      <c r="D1495" s="2" t="str">
        <f t="shared" si="22"/>
        <v>Error?</v>
      </c>
    </row>
    <row r="1496" spans="1:4" x14ac:dyDescent="0.2">
      <c r="A1496" s="5">
        <v>1435</v>
      </c>
      <c r="B1496" s="138">
        <f>'Expenditures 15-22'!K267</f>
        <v>21806</v>
      </c>
      <c r="C1496" s="2" t="s">
        <v>573</v>
      </c>
      <c r="D1496" s="2" t="str">
        <f t="shared" si="22"/>
        <v>Error?</v>
      </c>
    </row>
    <row r="1497" spans="1:4" x14ac:dyDescent="0.2">
      <c r="A1497" s="5">
        <v>1436</v>
      </c>
      <c r="B1497" s="138">
        <f>'Expenditures 15-22'!K268</f>
        <v>15902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94982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52</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13176</v>
      </c>
      <c r="C1506" s="2" t="s">
        <v>573</v>
      </c>
      <c r="D1506" s="2" t="str">
        <f t="shared" si="22"/>
        <v>Error?</v>
      </c>
    </row>
    <row r="1507" spans="1:4" x14ac:dyDescent="0.2">
      <c r="A1507" s="10">
        <v>1446</v>
      </c>
      <c r="D1507" s="2" t="str">
        <f t="shared" si="22"/>
        <v>OK</v>
      </c>
    </row>
    <row r="1508" spans="1:4" x14ac:dyDescent="0.2">
      <c r="A1508" s="5">
        <v>1447</v>
      </c>
      <c r="B1508" s="138">
        <f>'Expenditures 15-22'!K277</f>
        <v>13228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146311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218985</v>
      </c>
      <c r="C1517" s="2" t="s">
        <v>573</v>
      </c>
      <c r="D1517" s="2" t="str">
        <f t="shared" si="22"/>
        <v>Error?</v>
      </c>
    </row>
    <row r="1518" spans="1:4" x14ac:dyDescent="0.2">
      <c r="A1518" s="5">
        <v>1457</v>
      </c>
      <c r="B1518" s="138">
        <f>'Expenditures 15-22'!K296</f>
        <v>-30790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2984673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3116006</v>
      </c>
      <c r="C1630" s="2" t="s">
        <v>573</v>
      </c>
      <c r="D1630" s="2" t="str">
        <f t="shared" si="24"/>
        <v>Error?</v>
      </c>
    </row>
    <row r="1631" spans="1:4" x14ac:dyDescent="0.2">
      <c r="A1631" s="5">
        <v>1570</v>
      </c>
      <c r="B1631" s="138">
        <f>'Acct Summary 7-8'!D79</f>
        <v>2218189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2378299</v>
      </c>
      <c r="C1644" s="2" t="s">
        <v>573</v>
      </c>
      <c r="D1644" s="2" t="str">
        <f t="shared" si="24"/>
        <v>Error?</v>
      </c>
    </row>
    <row r="1645" spans="1:4" x14ac:dyDescent="0.2">
      <c r="A1645" s="5">
        <v>1584</v>
      </c>
      <c r="B1645" s="138">
        <f>'Acct Summary 7-8'!E79</f>
        <v>30295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204752</v>
      </c>
      <c r="C1658" s="2" t="s">
        <v>573</v>
      </c>
      <c r="D1658" s="2" t="str">
        <f t="shared" si="24"/>
        <v>Error?</v>
      </c>
    </row>
    <row r="1659" spans="1:4" x14ac:dyDescent="0.2">
      <c r="A1659" s="5">
        <v>1598</v>
      </c>
      <c r="B1659" s="138">
        <f>'Acct Summary 7-8'!F79</f>
        <v>518499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500498</v>
      </c>
      <c r="C1672" s="2" t="s">
        <v>573</v>
      </c>
      <c r="D1672" s="2" t="str">
        <f t="shared" si="25"/>
        <v>Error?</v>
      </c>
    </row>
    <row r="1673" spans="1:4" x14ac:dyDescent="0.2">
      <c r="A1673" s="5">
        <v>1612</v>
      </c>
      <c r="B1673" s="138">
        <f>'Acct Summary 7-8'!G79</f>
        <v>165197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134407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2820699</v>
      </c>
      <c r="C1744" s="2" t="s">
        <v>573</v>
      </c>
      <c r="D1744" s="2" t="str">
        <f t="shared" si="26"/>
        <v>Error?</v>
      </c>
    </row>
    <row r="1745" spans="1:5" x14ac:dyDescent="0.2">
      <c r="A1745" s="5">
        <v>1684</v>
      </c>
      <c r="B1745" s="138">
        <f>'Tax Sched 23'!B5</f>
        <v>498764</v>
      </c>
      <c r="C1745" s="2" t="s">
        <v>573</v>
      </c>
      <c r="D1745" s="2" t="str">
        <f t="shared" si="26"/>
        <v>Error?</v>
      </c>
    </row>
    <row r="1746" spans="1:5" x14ac:dyDescent="0.2">
      <c r="A1746" s="5">
        <v>1685</v>
      </c>
      <c r="B1746" s="138">
        <f>'Tax Sched 23'!B6</f>
        <v>1092082</v>
      </c>
      <c r="C1746" s="2" t="s">
        <v>573</v>
      </c>
      <c r="D1746" s="2" t="str">
        <f t="shared" si="26"/>
        <v>Error?</v>
      </c>
    </row>
    <row r="1747" spans="1:5" x14ac:dyDescent="0.2">
      <c r="A1747" s="5">
        <v>1686</v>
      </c>
      <c r="B1747" s="138">
        <f>'Tax Sched 23'!B7</f>
        <v>195655</v>
      </c>
      <c r="C1747" s="2" t="s">
        <v>573</v>
      </c>
      <c r="D1747" s="2" t="str">
        <f t="shared" si="26"/>
        <v>Error?</v>
      </c>
    </row>
    <row r="1748" spans="1:5" x14ac:dyDescent="0.2">
      <c r="A1748" s="5">
        <v>1687</v>
      </c>
      <c r="B1748" s="138">
        <f>'Tax Sched 23'!B8</f>
        <v>76794</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279299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32609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5114600</v>
      </c>
      <c r="C1759" s="2" t="s">
        <v>573</v>
      </c>
      <c r="D1759" s="2" t="str">
        <f t="shared" si="26"/>
        <v>Error?</v>
      </c>
    </row>
    <row r="1760" spans="1:5" x14ac:dyDescent="0.2">
      <c r="A1760" s="5">
        <v>1699</v>
      </c>
      <c r="B1760" s="138">
        <f>'Tax Sched 23'!D4</f>
        <v>2820699</v>
      </c>
      <c r="C1760" s="2" t="s">
        <v>573</v>
      </c>
      <c r="D1760" s="2" t="str">
        <f t="shared" si="26"/>
        <v>Error?</v>
      </c>
    </row>
    <row r="1761" spans="1:5" x14ac:dyDescent="0.2">
      <c r="A1761" s="5">
        <v>1700</v>
      </c>
      <c r="B1761" s="138">
        <f>'Tax Sched 23'!D5</f>
        <v>498764</v>
      </c>
      <c r="C1761" s="2" t="s">
        <v>573</v>
      </c>
      <c r="D1761" s="2" t="str">
        <f t="shared" si="26"/>
        <v>Error?</v>
      </c>
    </row>
    <row r="1762" spans="1:5" s="8" customFormat="1" x14ac:dyDescent="0.2">
      <c r="A1762" s="5">
        <v>1701</v>
      </c>
      <c r="B1762" s="138">
        <f>'Tax Sched 23'!D6</f>
        <v>1092082</v>
      </c>
      <c r="C1762" s="2" t="s">
        <v>573</v>
      </c>
      <c r="D1762" s="2" t="str">
        <f t="shared" si="26"/>
        <v>Error?</v>
      </c>
      <c r="E1762" s="9"/>
    </row>
    <row r="1763" spans="1:5" x14ac:dyDescent="0.2">
      <c r="A1763" s="5">
        <v>1702</v>
      </c>
      <c r="B1763" s="138">
        <f>'Tax Sched 23'!D7</f>
        <v>195655</v>
      </c>
      <c r="C1763" s="2" t="s">
        <v>573</v>
      </c>
      <c r="D1763" s="2" t="str">
        <f t="shared" si="26"/>
        <v>Error?</v>
      </c>
    </row>
    <row r="1764" spans="1:5" x14ac:dyDescent="0.2">
      <c r="A1764" s="5">
        <v>1703</v>
      </c>
      <c r="B1764" s="138">
        <f>'Tax Sched 23'!D8</f>
        <v>76794</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279299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32609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5114600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2820494</v>
      </c>
      <c r="C1792" s="2" t="s">
        <v>573</v>
      </c>
      <c r="D1792" s="2" t="str">
        <f t="shared" si="27"/>
        <v>Error?</v>
      </c>
    </row>
    <row r="1793" spans="1:4" x14ac:dyDescent="0.2">
      <c r="A1793" s="5">
        <v>1732</v>
      </c>
      <c r="B1793" s="138">
        <f>'Tax Sched 23'!F5</f>
        <v>500026</v>
      </c>
      <c r="C1793" s="2" t="s">
        <v>573</v>
      </c>
      <c r="D1793" s="2" t="str">
        <f t="shared" si="27"/>
        <v>Error?</v>
      </c>
    </row>
    <row r="1794" spans="1:4" x14ac:dyDescent="0.2">
      <c r="A1794" s="5">
        <v>1733</v>
      </c>
      <c r="B1794" s="138">
        <f>'Tax Sched 23'!F6</f>
        <v>1113525</v>
      </c>
      <c r="C1794" s="2" t="s">
        <v>573</v>
      </c>
      <c r="D1794" s="2" t="str">
        <f t="shared" si="27"/>
        <v>Error?</v>
      </c>
    </row>
    <row r="1795" spans="1:4" x14ac:dyDescent="0.2">
      <c r="A1795" s="5">
        <v>1734</v>
      </c>
      <c r="B1795" s="138">
        <f>'Tax Sched 23'!F7</f>
        <v>195641</v>
      </c>
      <c r="C1795" s="2" t="s">
        <v>573</v>
      </c>
      <c r="D1795" s="2" t="str">
        <f t="shared" si="27"/>
        <v>Error?</v>
      </c>
    </row>
    <row r="1796" spans="1:4" x14ac:dyDescent="0.2">
      <c r="A1796" s="5">
        <v>1735</v>
      </c>
      <c r="B1796" s="138">
        <f>'Tax Sched 23'!F8</f>
        <v>130101</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305037</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32607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5154656</v>
      </c>
      <c r="C1807" s="2" t="s">
        <v>573</v>
      </c>
      <c r="D1807" s="2" t="str">
        <f t="shared" si="27"/>
        <v>Error?</v>
      </c>
    </row>
    <row r="1808" spans="1:4" x14ac:dyDescent="0.2">
      <c r="A1808" s="5">
        <v>1747</v>
      </c>
      <c r="B1808" s="138">
        <f>'Tax Sched 23'!E4</f>
        <v>2820494</v>
      </c>
      <c r="D1808" s="2" t="str">
        <f t="shared" si="27"/>
        <v>Error?</v>
      </c>
    </row>
    <row r="1809" spans="1:4" x14ac:dyDescent="0.2">
      <c r="A1809" s="5">
        <v>1748</v>
      </c>
      <c r="B1809" s="138">
        <f>'Tax Sched 23'!E5</f>
        <v>500026</v>
      </c>
      <c r="D1809" s="2" t="str">
        <f t="shared" si="27"/>
        <v>Error?</v>
      </c>
    </row>
    <row r="1810" spans="1:4" x14ac:dyDescent="0.2">
      <c r="A1810" s="5">
        <v>1749</v>
      </c>
      <c r="B1810" s="138">
        <f>'Tax Sched 23'!E6</f>
        <v>1113525</v>
      </c>
      <c r="D1810" s="2" t="str">
        <f t="shared" si="27"/>
        <v>Error?</v>
      </c>
    </row>
    <row r="1811" spans="1:4" x14ac:dyDescent="0.2">
      <c r="A1811" s="5">
        <v>1750</v>
      </c>
      <c r="B1811" s="138">
        <f>'Tax Sched 23'!E7</f>
        <v>195641</v>
      </c>
      <c r="D1811" s="2" t="str">
        <f t="shared" si="27"/>
        <v>Error?</v>
      </c>
    </row>
    <row r="1812" spans="1:4" x14ac:dyDescent="0.2">
      <c r="A1812" s="5">
        <v>1751</v>
      </c>
      <c r="B1812" s="138">
        <f>'Tax Sched 23'!E8</f>
        <v>130101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305037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32607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5154656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7100889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32609</v>
      </c>
      <c r="D1972" s="2" t="str">
        <f t="shared" si="29"/>
        <v>Error?</v>
      </c>
    </row>
    <row r="1973" spans="1:5" x14ac:dyDescent="0.2">
      <c r="A1973" s="5">
        <v>1912</v>
      </c>
      <c r="B1973" s="138">
        <f>'Rest Tax Levies-Tort Im 25'!H6</f>
        <v>27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32636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32636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137521</v>
      </c>
      <c r="D2008" s="2" t="str">
        <f t="shared" si="30"/>
        <v>Error?</v>
      </c>
    </row>
    <row r="2009" spans="1:4" x14ac:dyDescent="0.2">
      <c r="A2009" s="5">
        <v>1948</v>
      </c>
      <c r="B2009" s="138">
        <f>'Cap Outlay Deprec 26'!C8</f>
        <v>18178674</v>
      </c>
      <c r="D2009" s="2" t="str">
        <f t="shared" si="30"/>
        <v>Error?</v>
      </c>
    </row>
    <row r="2010" spans="1:4" x14ac:dyDescent="0.2">
      <c r="A2010" s="5">
        <v>1949</v>
      </c>
      <c r="B2010" s="138">
        <f>'Cap Outlay Deprec 26'!C10</f>
        <v>112808</v>
      </c>
      <c r="D2010" s="2" t="str">
        <f t="shared" si="30"/>
        <v>Error?</v>
      </c>
    </row>
    <row r="2011" spans="1:4" x14ac:dyDescent="0.2">
      <c r="A2011" s="5">
        <v>1950</v>
      </c>
      <c r="B2011" s="138">
        <f>'Cap Outlay Deprec 26'!C12</f>
        <v>729820</v>
      </c>
      <c r="D2011" s="2" t="str">
        <f t="shared" si="30"/>
        <v>Error?</v>
      </c>
    </row>
    <row r="2012" spans="1:4" x14ac:dyDescent="0.2">
      <c r="A2012" s="5">
        <v>1951</v>
      </c>
      <c r="B2012" s="138">
        <f>'Cap Outlay Deprec 26'!C13</f>
        <v>594104</v>
      </c>
      <c r="D2012" s="2" t="str">
        <f t="shared" si="30"/>
        <v>Error?</v>
      </c>
    </row>
    <row r="2013" spans="1:4" x14ac:dyDescent="0.2">
      <c r="A2013" s="5">
        <v>1952</v>
      </c>
      <c r="B2013" s="138">
        <f>'Cap Outlay Deprec 26'!C16</f>
        <v>19752927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15947</v>
      </c>
      <c r="D2015" s="2" t="str">
        <f t="shared" si="30"/>
        <v>Error?</v>
      </c>
    </row>
    <row r="2016" spans="1:4" x14ac:dyDescent="0.2">
      <c r="A2016" s="5">
        <v>1955</v>
      </c>
      <c r="B2016" s="138">
        <f>'Cap Outlay Deprec 26'!D10</f>
        <v>21752</v>
      </c>
      <c r="D2016" s="2" t="str">
        <f t="shared" si="30"/>
        <v>Error?</v>
      </c>
    </row>
    <row r="2017" spans="1:4" x14ac:dyDescent="0.2">
      <c r="A2017" s="5">
        <v>1956</v>
      </c>
      <c r="B2017" s="138">
        <f>'Cap Outlay Deprec 26'!D12</f>
        <v>39515</v>
      </c>
      <c r="D2017" s="2" t="str">
        <f t="shared" si="30"/>
        <v>Error?</v>
      </c>
    </row>
    <row r="2018" spans="1:4" x14ac:dyDescent="0.2">
      <c r="A2018" s="5">
        <v>1957</v>
      </c>
      <c r="B2018" s="138">
        <f>'Cap Outlay Deprec 26'!D13</f>
        <v>94000</v>
      </c>
      <c r="D2018" s="2" t="str">
        <f t="shared" si="30"/>
        <v>Error?</v>
      </c>
    </row>
    <row r="2019" spans="1:4" x14ac:dyDescent="0.2">
      <c r="A2019" s="5">
        <v>1958</v>
      </c>
      <c r="B2019" s="138">
        <f>'Cap Outlay Deprec 26'!D16</f>
        <v>171214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20509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20509</v>
      </c>
      <c r="C2025" s="2" t="s">
        <v>573</v>
      </c>
      <c r="D2025" s="2" t="str">
        <f t="shared" si="30"/>
        <v>Error?</v>
      </c>
    </row>
    <row r="2026" spans="1:4" x14ac:dyDescent="0.2">
      <c r="A2026" s="5">
        <v>1965</v>
      </c>
      <c r="B2026" s="138">
        <f>'Cap Outlay Deprec 26'!F5</f>
        <v>137521</v>
      </c>
      <c r="C2026" s="2" t="s">
        <v>573</v>
      </c>
      <c r="D2026" s="2" t="str">
        <f t="shared" si="30"/>
        <v>Error?</v>
      </c>
    </row>
    <row r="2027" spans="1:4" x14ac:dyDescent="0.2">
      <c r="A2027" s="5">
        <v>1966</v>
      </c>
      <c r="B2027" s="138">
        <f>'Cap Outlay Deprec 26'!F8</f>
        <v>18194621</v>
      </c>
      <c r="C2027" s="2" t="s">
        <v>573</v>
      </c>
      <c r="D2027" s="2" t="str">
        <f t="shared" si="30"/>
        <v>Error?</v>
      </c>
    </row>
    <row r="2028" spans="1:4" x14ac:dyDescent="0.2">
      <c r="A2028" s="5">
        <v>1967</v>
      </c>
      <c r="B2028" s="138">
        <f>'Cap Outlay Deprec 26'!F10</f>
        <v>134560</v>
      </c>
      <c r="C2028" s="2" t="s">
        <v>573</v>
      </c>
      <c r="D2028" s="2" t="str">
        <f t="shared" si="30"/>
        <v>Error?</v>
      </c>
    </row>
    <row r="2029" spans="1:4" x14ac:dyDescent="0.2">
      <c r="A2029" s="5">
        <v>1968</v>
      </c>
      <c r="B2029" s="138">
        <f>'Cap Outlay Deprec 26'!F12</f>
        <v>748826</v>
      </c>
      <c r="C2029" s="2" t="s">
        <v>573</v>
      </c>
      <c r="D2029" s="2" t="str">
        <f t="shared" si="30"/>
        <v>Error?</v>
      </c>
    </row>
    <row r="2030" spans="1:4" x14ac:dyDescent="0.2">
      <c r="A2030" s="5">
        <v>1969</v>
      </c>
      <c r="B2030" s="138">
        <f>'Cap Outlay Deprec 26'!F13</f>
        <v>688104</v>
      </c>
      <c r="C2030" s="2" t="s">
        <v>573</v>
      </c>
      <c r="D2030" s="2" t="str">
        <f t="shared" si="30"/>
        <v>Error?</v>
      </c>
    </row>
    <row r="2031" spans="1:4" x14ac:dyDescent="0.2">
      <c r="A2031" s="5">
        <v>1970</v>
      </c>
      <c r="B2031" s="138">
        <f>'Cap Outlay Deprec 26'!F16</f>
        <v>19903632</v>
      </c>
      <c r="C2031" s="2" t="s">
        <v>573</v>
      </c>
      <c r="D2031" s="2" t="str">
        <f t="shared" si="30"/>
        <v>Error?</v>
      </c>
    </row>
    <row r="2032" spans="1:4" x14ac:dyDescent="0.2">
      <c r="A2032" s="10">
        <v>1971</v>
      </c>
      <c r="D2032" s="2" t="str">
        <f t="shared" si="30"/>
        <v>OK</v>
      </c>
    </row>
    <row r="2033" spans="1:4" x14ac:dyDescent="0.2">
      <c r="A2033" s="5">
        <v>1972</v>
      </c>
      <c r="B2033" s="138">
        <f>'Cap Outlay Deprec 26'!H8</f>
        <v>4692115</v>
      </c>
      <c r="D2033" s="2" t="str">
        <f t="shared" si="30"/>
        <v>Error?</v>
      </c>
    </row>
    <row r="2034" spans="1:4" x14ac:dyDescent="0.2">
      <c r="A2034" s="5">
        <v>1973</v>
      </c>
      <c r="B2034" s="138">
        <f>'Cap Outlay Deprec 26'!H10</f>
        <v>32080</v>
      </c>
      <c r="D2034" s="2" t="str">
        <f t="shared" si="30"/>
        <v>Error?</v>
      </c>
    </row>
    <row r="2035" spans="1:4" x14ac:dyDescent="0.2">
      <c r="A2035" s="5">
        <v>1974</v>
      </c>
      <c r="B2035" s="138">
        <f>'Cap Outlay Deprec 26'!H12</f>
        <v>170384</v>
      </c>
      <c r="D2035" s="2" t="str">
        <f t="shared" si="30"/>
        <v>Error?</v>
      </c>
    </row>
    <row r="2036" spans="1:4" x14ac:dyDescent="0.2">
      <c r="A2036" s="5">
        <v>1975</v>
      </c>
      <c r="B2036" s="138">
        <f>'Cap Outlay Deprec 26'!H13</f>
        <v>440597</v>
      </c>
      <c r="D2036" s="2" t="str">
        <f t="shared" si="30"/>
        <v>Error?</v>
      </c>
    </row>
    <row r="2037" spans="1:4" x14ac:dyDescent="0.2">
      <c r="A2037" s="5">
        <v>1976</v>
      </c>
      <c r="B2037" s="138">
        <f>'Cap Outlay Deprec 26'!H16</f>
        <v>5335176</v>
      </c>
      <c r="C2037" s="2" t="s">
        <v>573</v>
      </c>
      <c r="D2037" s="2" t="str">
        <f t="shared" si="30"/>
        <v>Error?</v>
      </c>
    </row>
    <row r="2038" spans="1:4" x14ac:dyDescent="0.2">
      <c r="A2038" s="10">
        <v>1977</v>
      </c>
      <c r="D2038" s="2" t="str">
        <f t="shared" si="30"/>
        <v>OK</v>
      </c>
    </row>
    <row r="2039" spans="1:4" x14ac:dyDescent="0.2">
      <c r="A2039" s="5">
        <v>1978</v>
      </c>
      <c r="B2039" s="138">
        <f>'Cap Outlay Deprec 26'!I8</f>
        <v>357554</v>
      </c>
      <c r="D2039" s="2" t="str">
        <f t="shared" si="30"/>
        <v>Error?</v>
      </c>
    </row>
    <row r="2040" spans="1:4" x14ac:dyDescent="0.2">
      <c r="A2040" s="5">
        <v>1979</v>
      </c>
      <c r="B2040" s="138">
        <f>'Cap Outlay Deprec 26'!I10</f>
        <v>6433</v>
      </c>
      <c r="D2040" s="2" t="str">
        <f t="shared" si="30"/>
        <v>Error?</v>
      </c>
    </row>
    <row r="2041" spans="1:4" x14ac:dyDescent="0.2">
      <c r="A2041" s="5">
        <v>1980</v>
      </c>
      <c r="B2041" s="138">
        <f>'Cap Outlay Deprec 26'!I12</f>
        <v>72600</v>
      </c>
      <c r="D2041" s="2" t="str">
        <f t="shared" si="30"/>
        <v>Error?</v>
      </c>
    </row>
    <row r="2042" spans="1:4" x14ac:dyDescent="0.2">
      <c r="A2042" s="5">
        <v>1981</v>
      </c>
      <c r="B2042" s="138">
        <f>'Cap Outlay Deprec 26'!I13</f>
        <v>76649</v>
      </c>
      <c r="D2042" s="2" t="str">
        <f t="shared" si="30"/>
        <v>Error?</v>
      </c>
    </row>
    <row r="2043" spans="1:4" x14ac:dyDescent="0.2">
      <c r="A2043" s="5">
        <v>1982</v>
      </c>
      <c r="B2043" s="138">
        <f>'Cap Outlay Deprec 26'!I16</f>
        <v>513236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20509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20509</v>
      </c>
      <c r="C2049" s="2" t="s">
        <v>573</v>
      </c>
      <c r="D2049" s="2" t="str">
        <f t="shared" si="31"/>
        <v>Error?</v>
      </c>
    </row>
    <row r="2050" spans="1:4" x14ac:dyDescent="0.2">
      <c r="A2050" s="10">
        <v>1989</v>
      </c>
      <c r="D2050" s="2" t="str">
        <f t="shared" si="31"/>
        <v>OK</v>
      </c>
    </row>
    <row r="2051" spans="1:4" x14ac:dyDescent="0.2">
      <c r="A2051" s="5">
        <v>1990</v>
      </c>
      <c r="B2051" s="138">
        <f>'Cap Outlay Deprec 26'!K8</f>
        <v>5049669</v>
      </c>
      <c r="C2051" s="2" t="s">
        <v>573</v>
      </c>
      <c r="D2051" s="2" t="str">
        <f t="shared" si="31"/>
        <v>Error?</v>
      </c>
    </row>
    <row r="2052" spans="1:4" x14ac:dyDescent="0.2">
      <c r="A2052" s="5">
        <v>1991</v>
      </c>
      <c r="B2052" s="138">
        <f>'Cap Outlay Deprec 26'!K10</f>
        <v>38513</v>
      </c>
      <c r="C2052" s="2" t="s">
        <v>573</v>
      </c>
      <c r="D2052" s="2" t="str">
        <f t="shared" si="31"/>
        <v>Error?</v>
      </c>
    </row>
    <row r="2053" spans="1:4" x14ac:dyDescent="0.2">
      <c r="A2053" s="5">
        <v>1992</v>
      </c>
      <c r="B2053" s="138">
        <f>'Cap Outlay Deprec 26'!K12</f>
        <v>222475</v>
      </c>
      <c r="C2053" s="2" t="s">
        <v>573</v>
      </c>
      <c r="D2053" s="2" t="str">
        <f t="shared" si="31"/>
        <v>Error?</v>
      </c>
    </row>
    <row r="2054" spans="1:4" x14ac:dyDescent="0.2">
      <c r="A2054" s="5">
        <v>1993</v>
      </c>
      <c r="B2054" s="138">
        <f>'Cap Outlay Deprec 26'!K13</f>
        <v>517246</v>
      </c>
      <c r="C2054" s="2" t="s">
        <v>573</v>
      </c>
      <c r="D2054" s="2" t="str">
        <f t="shared" si="31"/>
        <v>Error?</v>
      </c>
    </row>
    <row r="2055" spans="1:4" x14ac:dyDescent="0.2">
      <c r="A2055" s="5">
        <v>1994</v>
      </c>
      <c r="B2055" s="138">
        <f>'Cap Outlay Deprec 26'!K16</f>
        <v>5827903</v>
      </c>
      <c r="C2055" s="2" t="s">
        <v>573</v>
      </c>
      <c r="D2055" s="2" t="str">
        <f t="shared" si="31"/>
        <v>Error?</v>
      </c>
    </row>
    <row r="2056" spans="1:4" x14ac:dyDescent="0.2">
      <c r="A2056" s="5">
        <v>1995</v>
      </c>
      <c r="B2056" s="138">
        <f>'Cap Outlay Deprec 26'!L5</f>
        <v>137521</v>
      </c>
      <c r="C2056" s="2" t="s">
        <v>573</v>
      </c>
      <c r="D2056" s="2" t="str">
        <f t="shared" si="31"/>
        <v>Error?</v>
      </c>
    </row>
    <row r="2057" spans="1:4" x14ac:dyDescent="0.2">
      <c r="A2057" s="5">
        <v>1996</v>
      </c>
      <c r="B2057" s="138">
        <f>'Cap Outlay Deprec 26'!L8</f>
        <v>13144952</v>
      </c>
      <c r="C2057" s="2" t="s">
        <v>573</v>
      </c>
      <c r="D2057" s="2" t="str">
        <f t="shared" si="31"/>
        <v>Error?</v>
      </c>
    </row>
    <row r="2058" spans="1:4" x14ac:dyDescent="0.2">
      <c r="A2058" s="5">
        <v>1997</v>
      </c>
      <c r="B2058" s="138">
        <f>'Cap Outlay Deprec 26'!L10</f>
        <v>96047</v>
      </c>
      <c r="C2058" s="2" t="s">
        <v>573</v>
      </c>
      <c r="D2058" s="2" t="str">
        <f t="shared" si="31"/>
        <v>Error?</v>
      </c>
    </row>
    <row r="2059" spans="1:4" x14ac:dyDescent="0.2">
      <c r="A2059" s="5">
        <v>1998</v>
      </c>
      <c r="B2059" s="138">
        <f>'Cap Outlay Deprec 26'!L12</f>
        <v>526351</v>
      </c>
      <c r="C2059" s="2" t="s">
        <v>573</v>
      </c>
      <c r="D2059" s="2" t="str">
        <f t="shared" si="31"/>
        <v>Error?</v>
      </c>
    </row>
    <row r="2060" spans="1:4" x14ac:dyDescent="0.2">
      <c r="A2060" s="5">
        <v>1999</v>
      </c>
      <c r="B2060" s="138">
        <f>'Cap Outlay Deprec 26'!L13</f>
        <v>170858</v>
      </c>
      <c r="C2060" s="2" t="s">
        <v>573</v>
      </c>
      <c r="D2060" s="2" t="str">
        <f t="shared" si="31"/>
        <v>Error?</v>
      </c>
    </row>
    <row r="2061" spans="1:4" x14ac:dyDescent="0.2">
      <c r="A2061" s="5">
        <v>2000</v>
      </c>
      <c r="B2061" s="138">
        <f>'Cap Outlay Deprec 26'!L16</f>
        <v>14075729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216364</v>
      </c>
      <c r="C2088" s="2" t="s">
        <v>573</v>
      </c>
      <c r="D2088" s="2" t="str">
        <f t="shared" si="31"/>
        <v>Error?</v>
      </c>
    </row>
    <row r="2089" spans="1:4" x14ac:dyDescent="0.2">
      <c r="A2089" s="5">
        <v>2028</v>
      </c>
      <c r="B2089" s="138">
        <f>'Expenditures 15-22'!K92</f>
        <v>269353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70924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170483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3407472</v>
      </c>
      <c r="C2551" s="2" t="s">
        <v>573</v>
      </c>
      <c r="D2551" s="2" t="str">
        <f t="shared" si="38"/>
        <v>Error?</v>
      </c>
    </row>
    <row r="2552" spans="1:4" x14ac:dyDescent="0.2">
      <c r="A2552" s="10">
        <v>2491</v>
      </c>
      <c r="D2552" s="2" t="str">
        <f t="shared" si="38"/>
        <v>OK</v>
      </c>
    </row>
    <row r="2553" spans="1:4" x14ac:dyDescent="0.2">
      <c r="A2553" s="5">
        <v>2492</v>
      </c>
      <c r="B2553" s="138">
        <f>'Acct Summary 7-8'!C6</f>
        <v>2019565</v>
      </c>
      <c r="C2553" s="2" t="s">
        <v>573</v>
      </c>
      <c r="D2553" s="2" t="str">
        <f t="shared" si="38"/>
        <v>Error?</v>
      </c>
    </row>
    <row r="2554" spans="1:4" x14ac:dyDescent="0.2">
      <c r="A2554" s="5">
        <v>2493</v>
      </c>
      <c r="B2554" s="138">
        <f>'Acct Summary 7-8'!C7</f>
        <v>362274</v>
      </c>
      <c r="C2554" s="2" t="s">
        <v>573</v>
      </c>
      <c r="D2554" s="2" t="str">
        <f t="shared" si="38"/>
        <v>Error?</v>
      </c>
    </row>
    <row r="2555" spans="1:4" x14ac:dyDescent="0.2">
      <c r="A2555" s="5">
        <v>2494</v>
      </c>
      <c r="B2555" s="138">
        <f>'Acct Summary 7-8'!C8</f>
        <v>5789311</v>
      </c>
      <c r="C2555" s="2" t="s">
        <v>573</v>
      </c>
      <c r="D2555" s="2" t="str">
        <f t="shared" si="38"/>
        <v>Error?</v>
      </c>
    </row>
    <row r="2556" spans="1:4" x14ac:dyDescent="0.2">
      <c r="A2556" s="5">
        <v>2495</v>
      </c>
      <c r="B2556" s="138">
        <f>'Acct Summary 7-8'!C12</f>
        <v>3895310</v>
      </c>
      <c r="C2556" s="2" t="s">
        <v>573</v>
      </c>
      <c r="D2556" s="2" t="str">
        <f t="shared" si="38"/>
        <v>Error?</v>
      </c>
    </row>
    <row r="2557" spans="1:4" x14ac:dyDescent="0.2">
      <c r="A2557" s="5">
        <v>2496</v>
      </c>
      <c r="B2557" s="138">
        <f>'Acct Summary 7-8'!C13</f>
        <v>1276951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485717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5657978</v>
      </c>
      <c r="C2561" s="2" t="s">
        <v>573</v>
      </c>
      <c r="D2561" s="2" t="str">
        <f t="shared" si="39"/>
        <v>Error?</v>
      </c>
    </row>
    <row r="2562" spans="1:4" x14ac:dyDescent="0.2">
      <c r="A2562" s="5">
        <v>2501</v>
      </c>
      <c r="B2562" s="138">
        <f>'Acct Summary 7-8'!C20</f>
        <v>131333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648168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648168</v>
      </c>
      <c r="C2568" s="2" t="s">
        <v>573</v>
      </c>
      <c r="D2568" s="2" t="str">
        <f t="shared" si="39"/>
        <v>Error?</v>
      </c>
    </row>
    <row r="2569" spans="1:4" x14ac:dyDescent="0.2">
      <c r="A2569" s="5">
        <v>2508</v>
      </c>
      <c r="B2569" s="138">
        <f>'Acct Summary 7-8'!D13</f>
        <v>488058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488058</v>
      </c>
      <c r="C2573" s="2" t="s">
        <v>573</v>
      </c>
      <c r="D2573" s="2" t="str">
        <f t="shared" si="39"/>
        <v>Error?</v>
      </c>
    </row>
    <row r="2574" spans="1:4" x14ac:dyDescent="0.2">
      <c r="A2574" s="5">
        <v>2513</v>
      </c>
      <c r="B2574" s="138">
        <f>'Acct Summary 7-8'!D20</f>
        <v>160110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209749</v>
      </c>
      <c r="C2591" s="2" t="s">
        <v>573</v>
      </c>
      <c r="D2591" s="2" t="str">
        <f t="shared" si="39"/>
        <v>Error?</v>
      </c>
    </row>
    <row r="2592" spans="1:4" x14ac:dyDescent="0.2">
      <c r="A2592" s="10">
        <v>2531</v>
      </c>
      <c r="D2592" s="2" t="str">
        <f t="shared" si="39"/>
        <v>OK</v>
      </c>
    </row>
    <row r="2593" spans="1:4" x14ac:dyDescent="0.2">
      <c r="A2593" s="5">
        <v>2532</v>
      </c>
      <c r="B2593" s="138">
        <f>'Acct Summary 7-8'!F6</f>
        <v>183901</v>
      </c>
      <c r="C2593" s="2" t="s">
        <v>573</v>
      </c>
      <c r="D2593" s="2" t="str">
        <f t="shared" si="39"/>
        <v>Error?</v>
      </c>
    </row>
    <row r="2594" spans="1:4" x14ac:dyDescent="0.2">
      <c r="A2594" s="5">
        <v>2533</v>
      </c>
      <c r="B2594" s="138">
        <f>'Acct Summary 7-8'!F7</f>
        <v>1794</v>
      </c>
      <c r="C2594" s="2" t="s">
        <v>573</v>
      </c>
      <c r="D2594" s="2" t="str">
        <f t="shared" si="39"/>
        <v>Error?</v>
      </c>
    </row>
    <row r="2595" spans="1:4" x14ac:dyDescent="0.2">
      <c r="A2595" s="5">
        <v>2534</v>
      </c>
      <c r="B2595" s="138">
        <f>'Acct Summary 7-8'!F8</f>
        <v>395444</v>
      </c>
      <c r="C2595" s="2" t="s">
        <v>573</v>
      </c>
      <c r="D2595" s="2" t="str">
        <f t="shared" si="39"/>
        <v>Error?</v>
      </c>
    </row>
    <row r="2596" spans="1:4" x14ac:dyDescent="0.2">
      <c r="A2596" s="5">
        <v>2535</v>
      </c>
      <c r="B2596" s="138">
        <f>'Acct Summary 7-8'!F13</f>
        <v>381653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33542</v>
      </c>
      <c r="C2599" s="2" t="s">
        <v>573</v>
      </c>
      <c r="D2599" s="2" t="str">
        <f t="shared" si="39"/>
        <v>Error?</v>
      </c>
    </row>
    <row r="2600" spans="1:4" x14ac:dyDescent="0.2">
      <c r="A2600" s="5">
        <v>2539</v>
      </c>
      <c r="B2600" s="138">
        <f>'Acct Summary 7-8'!F17</f>
        <v>415195</v>
      </c>
      <c r="C2600" s="2" t="s">
        <v>573</v>
      </c>
      <c r="D2600" s="2" t="str">
        <f t="shared" si="39"/>
        <v>Error?</v>
      </c>
    </row>
    <row r="2601" spans="1:4" x14ac:dyDescent="0.2">
      <c r="A2601" s="5">
        <v>2540</v>
      </c>
      <c r="B2601" s="138">
        <f>'Acct Summary 7-8'!F20</f>
        <v>-19751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188195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188195</v>
      </c>
      <c r="C2606" s="2" t="s">
        <v>573</v>
      </c>
      <c r="D2606" s="2" t="str">
        <f t="shared" si="39"/>
        <v>Error?</v>
      </c>
    </row>
    <row r="2607" spans="1:4" x14ac:dyDescent="0.2">
      <c r="A2607" s="5">
        <v>2546</v>
      </c>
      <c r="B2607" s="138">
        <f>'Acct Summary 7-8'!G12</f>
        <v>72674</v>
      </c>
      <c r="C2607" s="2" t="s">
        <v>573</v>
      </c>
      <c r="D2607" s="2" t="str">
        <f t="shared" si="39"/>
        <v>Error?</v>
      </c>
    </row>
    <row r="2608" spans="1:4" x14ac:dyDescent="0.2">
      <c r="A2608" s="5">
        <v>2547</v>
      </c>
      <c r="B2608" s="138">
        <f>'Acct Summary 7-8'!G13</f>
        <v>146311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218985</v>
      </c>
      <c r="C2612" s="2" t="s">
        <v>573</v>
      </c>
      <c r="D2612" s="2" t="str">
        <f t="shared" si="39"/>
        <v>Error?</v>
      </c>
    </row>
    <row r="2613" spans="1:4" x14ac:dyDescent="0.2">
      <c r="A2613" s="5">
        <v>2552</v>
      </c>
      <c r="B2613" s="138">
        <f>'Acct Summary 7-8'!G20</f>
        <v>-30790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1269423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1269423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1094966</v>
      </c>
      <c r="C2634" s="2" t="s">
        <v>573</v>
      </c>
      <c r="D2634" s="2" t="str">
        <f t="shared" si="40"/>
        <v>Error?</v>
      </c>
    </row>
    <row r="2635" spans="1:4" x14ac:dyDescent="0.2">
      <c r="A2635" s="5">
        <v>2574</v>
      </c>
      <c r="B2635" s="138">
        <f>'Acct Summary 7-8'!E17</f>
        <v>1094966</v>
      </c>
      <c r="C2635" s="2" t="s">
        <v>573</v>
      </c>
      <c r="D2635" s="2" t="str">
        <f t="shared" si="40"/>
        <v>Error?</v>
      </c>
    </row>
    <row r="2636" spans="1:4" x14ac:dyDescent="0.2">
      <c r="A2636" s="5">
        <v>2575</v>
      </c>
      <c r="B2636" s="138">
        <f>'Acct Summary 7-8'!E20</f>
        <v>174457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216364</v>
      </c>
      <c r="C2789" s="2" t="s">
        <v>573</v>
      </c>
      <c r="D2789" s="2" t="str">
        <f t="shared" si="42"/>
        <v>Error?</v>
      </c>
    </row>
    <row r="2790" spans="1:4" x14ac:dyDescent="0.2">
      <c r="A2790" s="5">
        <v>2729</v>
      </c>
      <c r="B2790" s="138">
        <f>'Expenditures 15-22'!E102</f>
        <v>216364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1027848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78837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1027848</v>
      </c>
      <c r="D2912" s="2" t="str">
        <f t="shared" si="44"/>
        <v>Error?</v>
      </c>
    </row>
    <row r="2913" spans="1:4" x14ac:dyDescent="0.2">
      <c r="A2913" s="5">
        <v>2852</v>
      </c>
      <c r="B2913" s="138">
        <f>'Assets-Liab 5-6'!I41</f>
        <v>1027848</v>
      </c>
      <c r="C2913" s="2" t="s">
        <v>573</v>
      </c>
      <c r="D2913" s="2" t="str">
        <f t="shared" si="44"/>
        <v>Error?</v>
      </c>
    </row>
    <row r="2914" spans="1:4" x14ac:dyDescent="0.2">
      <c r="A2914" s="5">
        <v>2853</v>
      </c>
      <c r="B2914" s="138">
        <f>'Assets-Liab 5-6'!L33</f>
        <v>68838</v>
      </c>
      <c r="D2914" s="2" t="str">
        <f t="shared" si="44"/>
        <v>Error?</v>
      </c>
    </row>
    <row r="2915" spans="1:4" x14ac:dyDescent="0.2">
      <c r="A2915" s="10">
        <v>2854</v>
      </c>
      <c r="D2915" s="2" t="str">
        <f t="shared" si="44"/>
        <v>OK</v>
      </c>
    </row>
    <row r="2916" spans="1:4" x14ac:dyDescent="0.2">
      <c r="A2916" s="5">
        <v>2855</v>
      </c>
      <c r="B2916" s="138">
        <f>'Assets-Liab 5-6'!L34</f>
        <v>68838</v>
      </c>
      <c r="C2916" s="2" t="s">
        <v>573</v>
      </c>
      <c r="D2916" s="2" t="str">
        <f t="shared" si="44"/>
        <v>Error?</v>
      </c>
    </row>
    <row r="2917" spans="1:4" x14ac:dyDescent="0.2">
      <c r="A2917" s="5">
        <v>2856</v>
      </c>
      <c r="B2917" s="138">
        <f>'Assets-Liab 5-6'!L41</f>
        <v>78837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216364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216364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46206</v>
      </c>
      <c r="D3055" s="2" t="str">
        <f t="shared" si="46"/>
        <v>Error?</v>
      </c>
    </row>
    <row r="3056" spans="1:4" x14ac:dyDescent="0.2">
      <c r="A3056" s="5">
        <v>2995</v>
      </c>
      <c r="B3056" s="138">
        <f>'Expenditures 15-22'!D10</f>
        <v>19290</v>
      </c>
      <c r="D3056" s="2" t="str">
        <f t="shared" si="46"/>
        <v>Error?</v>
      </c>
    </row>
    <row r="3057" spans="1:4" x14ac:dyDescent="0.2">
      <c r="A3057" s="5">
        <v>2996</v>
      </c>
      <c r="B3057" s="138">
        <f>'Expenditures 15-22'!E10</f>
        <v>21486</v>
      </c>
      <c r="D3057" s="2" t="str">
        <f t="shared" si="46"/>
        <v>Error?</v>
      </c>
    </row>
    <row r="3058" spans="1:4" x14ac:dyDescent="0.2">
      <c r="A3058" s="5">
        <v>2997</v>
      </c>
      <c r="B3058" s="138">
        <f>'Expenditures 15-22'!F10</f>
        <v>12104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99086</v>
      </c>
      <c r="C3062" s="2" t="s">
        <v>573</v>
      </c>
      <c r="D3062" s="2" t="str">
        <f t="shared" si="46"/>
        <v>Error?</v>
      </c>
    </row>
    <row r="3063" spans="1:4" x14ac:dyDescent="0.2">
      <c r="A3063" s="10">
        <v>3002</v>
      </c>
      <c r="D3063" s="2" t="str">
        <f t="shared" si="46"/>
        <v>OK</v>
      </c>
    </row>
    <row r="3064" spans="1:4" x14ac:dyDescent="0.2">
      <c r="A3064" s="5">
        <v>3003</v>
      </c>
      <c r="B3064" s="138">
        <f>'Expenditures 15-22'!D219</f>
        <v>505</v>
      </c>
      <c r="D3064" s="2" t="str">
        <f t="shared" si="46"/>
        <v>Error?</v>
      </c>
    </row>
    <row r="3065" spans="1:4" x14ac:dyDescent="0.2">
      <c r="A3065" s="5">
        <v>3004</v>
      </c>
      <c r="B3065" s="138">
        <f>'Expenditures 15-22'!K219</f>
        <v>505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9999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19981</v>
      </c>
      <c r="C3225" s="2" t="s">
        <v>573</v>
      </c>
      <c r="D3225" s="2" t="str">
        <f t="shared" si="49"/>
        <v>Error?</v>
      </c>
    </row>
    <row r="3226" spans="1:4" x14ac:dyDescent="0.2">
      <c r="A3226" s="5">
        <v>3165</v>
      </c>
      <c r="B3226" s="138">
        <f>'Acct Summary 7-8'!I8</f>
        <v>19981</v>
      </c>
      <c r="C3226" s="2" t="s">
        <v>573</v>
      </c>
      <c r="D3226" s="2" t="str">
        <f t="shared" si="49"/>
        <v>Error?</v>
      </c>
    </row>
    <row r="3227" spans="1:4" x14ac:dyDescent="0.2">
      <c r="A3227" s="5">
        <v>3166</v>
      </c>
      <c r="B3227" s="138">
        <f>'Acct Summary 7-8'!I20</f>
        <v>19981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131333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160110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1750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1750</v>
      </c>
      <c r="C3255" s="2" t="s">
        <v>573</v>
      </c>
      <c r="D3255" s="2" t="str">
        <f t="shared" si="49"/>
        <v>Error?</v>
      </c>
    </row>
    <row r="3256" spans="1:4" x14ac:dyDescent="0.2">
      <c r="A3256" s="5">
        <v>3195</v>
      </c>
      <c r="B3256" s="138">
        <f>'Acct Summary 7-8'!F78</f>
        <v>-18001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-30790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174457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19981</v>
      </c>
      <c r="C3320" s="2" t="s">
        <v>573</v>
      </c>
      <c r="D3320" s="2" t="str">
        <f t="shared" si="50"/>
        <v>Error?</v>
      </c>
    </row>
    <row r="3321" spans="1:4" x14ac:dyDescent="0.2">
      <c r="A3321" s="5">
        <v>3260</v>
      </c>
      <c r="B3321" s="138">
        <f>'Acct Summary 7-8'!I79</f>
        <v>1007867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1027848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584763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119239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2580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709024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34610</v>
      </c>
      <c r="D3387" s="2" t="str">
        <f t="shared" si="51"/>
        <v>Error?</v>
      </c>
    </row>
    <row r="3388" spans="1:4" x14ac:dyDescent="0.2">
      <c r="A3388" s="5">
        <v>3327</v>
      </c>
      <c r="B3388" s="138">
        <f>'Expenditures 15-22'!D217</f>
        <v>34751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34610</v>
      </c>
      <c r="C3390" s="2" t="s">
        <v>573</v>
      </c>
      <c r="D3390" s="2" t="str">
        <f t="shared" si="51"/>
        <v>Error?</v>
      </c>
    </row>
    <row r="3391" spans="1:4" x14ac:dyDescent="0.2">
      <c r="A3391" s="5">
        <v>3330</v>
      </c>
      <c r="B3391" s="138">
        <f>'Expenditures 15-22'!K217</f>
        <v>34751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3116006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2378299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364752</v>
      </c>
      <c r="D3417" s="2" t="str">
        <f t="shared" si="52"/>
        <v>Error?</v>
      </c>
    </row>
    <row r="3418" spans="1:4" x14ac:dyDescent="0.2">
      <c r="A3418" s="10">
        <v>3357</v>
      </c>
      <c r="D3418" s="2" t="str">
        <f t="shared" si="52"/>
        <v>OK</v>
      </c>
    </row>
    <row r="3419" spans="1:4" x14ac:dyDescent="0.2">
      <c r="A3419" s="5">
        <v>3358</v>
      </c>
      <c r="B3419" s="138">
        <f>'Assets-Liab 5-6'!F4</f>
        <v>500498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134407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867848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78837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101741</v>
      </c>
      <c r="C3446" s="2" t="s">
        <v>573</v>
      </c>
      <c r="D3446" s="2" t="str">
        <f t="shared" si="52"/>
        <v>Error?</v>
      </c>
    </row>
    <row r="3447" spans="1:4" x14ac:dyDescent="0.2">
      <c r="A3447" s="5">
        <v>3386</v>
      </c>
      <c r="B3447" s="138">
        <f>'Tax Sched 23'!D16</f>
        <v>101741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40106</v>
      </c>
      <c r="C3449" s="2" t="s">
        <v>573</v>
      </c>
      <c r="D3449" s="2" t="str">
        <f t="shared" si="52"/>
        <v>Error?</v>
      </c>
    </row>
    <row r="3450" spans="1:4" x14ac:dyDescent="0.2">
      <c r="A3450" s="5">
        <v>3389</v>
      </c>
      <c r="B3450" s="138">
        <f>'Tax Sched 23'!E16</f>
        <v>40106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1750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16218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16218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16218</v>
      </c>
      <c r="D3567" s="2" t="str">
        <f t="shared" si="54"/>
        <v>Error?</v>
      </c>
    </row>
    <row r="3568" spans="1:4" x14ac:dyDescent="0.2">
      <c r="A3568" s="5">
        <v>3507</v>
      </c>
      <c r="B3568" s="138">
        <f>'Assets-Liab 5-6'!K41</f>
        <v>16218</v>
      </c>
      <c r="C3568" s="2" t="s">
        <v>573</v>
      </c>
      <c r="D3568" s="2" t="str">
        <f t="shared" si="54"/>
        <v>Error?</v>
      </c>
    </row>
    <row r="3569" spans="1:4" x14ac:dyDescent="0.2">
      <c r="A3569" s="5">
        <v>3508</v>
      </c>
      <c r="B3569" s="138">
        <f>'Acct Summary 7-8'!K4</f>
        <v>339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339</v>
      </c>
      <c r="C3571" s="2" t="s">
        <v>573</v>
      </c>
      <c r="D3571" s="2" t="str">
        <f t="shared" si="54"/>
        <v>Error?</v>
      </c>
    </row>
    <row r="3572" spans="1:4" x14ac:dyDescent="0.2">
      <c r="A3572" s="5">
        <v>3511</v>
      </c>
      <c r="B3572" s="138">
        <f>'Acct Summary 7-8'!K13</f>
        <v>14175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14175</v>
      </c>
      <c r="C3575" s="2" t="s">
        <v>573</v>
      </c>
      <c r="D3575" s="2" t="str">
        <f t="shared" si="54"/>
        <v>Error?</v>
      </c>
    </row>
    <row r="3576" spans="1:4" x14ac:dyDescent="0.2">
      <c r="A3576" s="5">
        <v>3515</v>
      </c>
      <c r="B3576" s="138">
        <f>'Acct Summary 7-8'!K20</f>
        <v>-13836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-13836</v>
      </c>
      <c r="C3588" s="2" t="s">
        <v>573</v>
      </c>
      <c r="D3588" s="2" t="str">
        <f t="shared" si="55"/>
        <v>Error?</v>
      </c>
    </row>
    <row r="3589" spans="1:4" x14ac:dyDescent="0.2">
      <c r="A3589" s="5">
        <v>3528</v>
      </c>
      <c r="B3589" s="138">
        <f>'Acct Summary 7-8'!K79</f>
        <v>30054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16218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14175</v>
      </c>
      <c r="D3646" s="2" t="str">
        <f t="shared" si="55"/>
        <v>Error?</v>
      </c>
    </row>
    <row r="3647" spans="1:4" x14ac:dyDescent="0.2">
      <c r="A3647" s="5">
        <v>3586</v>
      </c>
      <c r="B3647" s="138">
        <f>'Expenditures 15-22'!G350</f>
        <v>14175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14175</v>
      </c>
      <c r="C3649" s="2" t="s">
        <v>573</v>
      </c>
      <c r="D3649" s="2" t="str">
        <f t="shared" si="56"/>
        <v>Error?</v>
      </c>
    </row>
    <row r="3650" spans="1:4" x14ac:dyDescent="0.2">
      <c r="A3650" s="5">
        <v>3589</v>
      </c>
      <c r="B3650" s="138">
        <f>'Expenditures 15-22'!G367</f>
        <v>14175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14175</v>
      </c>
      <c r="C3669" s="2" t="s">
        <v>573</v>
      </c>
      <c r="D3669" s="2" t="str">
        <f t="shared" si="56"/>
        <v>Error?</v>
      </c>
    </row>
    <row r="3670" spans="1:4" x14ac:dyDescent="0.2">
      <c r="A3670" s="5">
        <v>3609</v>
      </c>
      <c r="B3670" s="138">
        <f>'Expenditures 15-22'!K350</f>
        <v>14175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14175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14175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-13836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16957</v>
      </c>
      <c r="C3725" s="2" t="s">
        <v>573</v>
      </c>
      <c r="D3725" s="2" t="str">
        <f t="shared" si="57"/>
        <v>Error?</v>
      </c>
    </row>
    <row r="3726" spans="1:4" x14ac:dyDescent="0.2">
      <c r="A3726" s="5">
        <v>3665</v>
      </c>
      <c r="B3726" s="138">
        <f>'Tax Sched 23'!D13</f>
        <v>16957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17119</v>
      </c>
      <c r="C3728" s="2" t="s">
        <v>573</v>
      </c>
      <c r="D3728" s="2" t="str">
        <f t="shared" si="57"/>
        <v>Error?</v>
      </c>
    </row>
    <row r="3729" spans="1:4" x14ac:dyDescent="0.2">
      <c r="A3729" s="5">
        <v>3668</v>
      </c>
      <c r="B3729" s="138">
        <f>'Tax Sched 23'!E13</f>
        <v>17119</v>
      </c>
      <c r="D3729" s="2" t="str">
        <f t="shared" si="57"/>
        <v>Error?</v>
      </c>
    </row>
    <row r="3730" spans="1:4" x14ac:dyDescent="0.2">
      <c r="A3730" s="5">
        <v>3669</v>
      </c>
      <c r="B3730" s="138">
        <f>'ICR Computation 30'!E10</f>
        <v>156262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1600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1600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2472265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8261576</v>
      </c>
      <c r="C4122" s="2" t="s">
        <v>573</v>
      </c>
      <c r="D4122" s="2" t="str">
        <f t="shared" si="63"/>
        <v>Error?</v>
      </c>
    </row>
    <row r="4123" spans="1:4" x14ac:dyDescent="0.2">
      <c r="A4123" s="5">
        <v>4062</v>
      </c>
      <c r="B4123" s="138">
        <f>'Acct Summary 7-8'!D10</f>
        <v>648168</v>
      </c>
      <c r="C4123" s="2" t="s">
        <v>573</v>
      </c>
      <c r="D4123" s="2" t="str">
        <f t="shared" si="63"/>
        <v>Error?</v>
      </c>
    </row>
    <row r="4124" spans="1:4" x14ac:dyDescent="0.2">
      <c r="A4124" s="5">
        <v>4063</v>
      </c>
      <c r="B4124" s="138">
        <f>'Acct Summary 7-8'!E10</f>
        <v>1269423</v>
      </c>
      <c r="C4124" s="2" t="s">
        <v>573</v>
      </c>
      <c r="D4124" s="2" t="str">
        <f t="shared" si="63"/>
        <v>Error?</v>
      </c>
    </row>
    <row r="4125" spans="1:4" x14ac:dyDescent="0.2">
      <c r="A4125" s="5">
        <v>4064</v>
      </c>
      <c r="B4125" s="138">
        <f>'Acct Summary 7-8'!F10</f>
        <v>395444</v>
      </c>
      <c r="C4125" s="2" t="s">
        <v>573</v>
      </c>
      <c r="D4125" s="2" t="str">
        <f t="shared" si="63"/>
        <v>Error?</v>
      </c>
    </row>
    <row r="4126" spans="1:4" x14ac:dyDescent="0.2">
      <c r="A4126" s="5">
        <v>4065</v>
      </c>
      <c r="B4126" s="138">
        <f>'Acct Summary 7-8'!G10</f>
        <v>188195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19981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339</v>
      </c>
      <c r="C4130" s="2" t="s">
        <v>573</v>
      </c>
      <c r="D4130" s="2" t="str">
        <f t="shared" si="63"/>
        <v>Error?</v>
      </c>
    </row>
    <row r="4131" spans="1:4" x14ac:dyDescent="0.2">
      <c r="A4131" s="5">
        <v>4070</v>
      </c>
      <c r="B4131" s="138">
        <f>'Acct Summary 7-8'!C18</f>
        <v>2472265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8130243</v>
      </c>
      <c r="C4136" s="2" t="s">
        <v>573</v>
      </c>
      <c r="D4136" s="2" t="str">
        <f t="shared" si="63"/>
        <v>Error?</v>
      </c>
    </row>
    <row r="4137" spans="1:4" x14ac:dyDescent="0.2">
      <c r="A4137" s="5">
        <v>4076</v>
      </c>
      <c r="B4137" s="138">
        <f>'Acct Summary 7-8'!D19</f>
        <v>488058</v>
      </c>
      <c r="C4137" s="2" t="s">
        <v>573</v>
      </c>
      <c r="D4137" s="2" t="str">
        <f t="shared" si="63"/>
        <v>Error?</v>
      </c>
    </row>
    <row r="4138" spans="1:4" x14ac:dyDescent="0.2">
      <c r="A4138" s="5">
        <v>4077</v>
      </c>
      <c r="B4138" s="138">
        <f>'Acct Summary 7-8'!E19</f>
        <v>1094966</v>
      </c>
      <c r="C4138" s="2" t="s">
        <v>573</v>
      </c>
      <c r="D4138" s="2" t="str">
        <f t="shared" si="63"/>
        <v>Error?</v>
      </c>
    </row>
    <row r="4139" spans="1:4" x14ac:dyDescent="0.2">
      <c r="A4139" s="5">
        <v>4078</v>
      </c>
      <c r="B4139" s="138">
        <f>'Acct Summary 7-8'!F19</f>
        <v>415195</v>
      </c>
      <c r="C4139" s="2" t="s">
        <v>573</v>
      </c>
      <c r="D4139" s="2" t="str">
        <f t="shared" si="63"/>
        <v>Error?</v>
      </c>
    </row>
    <row r="4140" spans="1:4" x14ac:dyDescent="0.2">
      <c r="A4140" s="5">
        <v>4079</v>
      </c>
      <c r="B4140" s="138">
        <f>'Acct Summary 7-8'!G19</f>
        <v>218985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14175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6119696</v>
      </c>
      <c r="C4171" s="2" t="s">
        <v>573</v>
      </c>
      <c r="D4171" s="2" t="str">
        <f t="shared" si="64"/>
        <v>Error?</v>
      </c>
    </row>
    <row r="4172" spans="1:4" x14ac:dyDescent="0.2">
      <c r="A4172" s="5">
        <v>4111</v>
      </c>
      <c r="B4172" s="138">
        <f>'Short-Term Long-Term Debt 24'!J49</f>
        <v>5914944</v>
      </c>
      <c r="C4172" s="2" t="s">
        <v>573</v>
      </c>
      <c r="D4172" s="2" t="str">
        <f t="shared" si="64"/>
        <v>Error?</v>
      </c>
    </row>
    <row r="4173" spans="1:4" x14ac:dyDescent="0.2">
      <c r="A4173" s="5">
        <v>4112</v>
      </c>
      <c r="B4173" s="138">
        <f>'Short-Term Long-Term Debt 24'!H49</f>
        <v>950000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-31193</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31193</v>
      </c>
      <c r="D4210" s="2" t="str">
        <f t="shared" si="64"/>
        <v>Error?</v>
      </c>
    </row>
    <row r="4211" spans="1:4" x14ac:dyDescent="0.2">
      <c r="A4211" s="5">
        <v>4150</v>
      </c>
      <c r="B4211" s="138">
        <f>'Expenditures 15-22'!K206</f>
        <v>31193</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1730</v>
      </c>
      <c r="C4265" s="2" t="s">
        <v>573</v>
      </c>
      <c r="D4265" s="2" t="str">
        <f t="shared" si="65"/>
        <v>Error?</v>
      </c>
      <c r="E4265" s="128"/>
    </row>
    <row r="4266" spans="1:5" x14ac:dyDescent="0.2">
      <c r="A4266" s="12">
        <v>4205</v>
      </c>
      <c r="B4266" s="138">
        <f>('FP Info 3'!F10)*100000</f>
        <v>306.7</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2157</v>
      </c>
      <c r="C4268" s="2" t="s">
        <v>573</v>
      </c>
      <c r="D4268" s="2" t="str">
        <f t="shared" si="65"/>
        <v>Error?</v>
      </c>
    </row>
    <row r="4269" spans="1:5" x14ac:dyDescent="0.2">
      <c r="A4269" s="12">
        <v>4208</v>
      </c>
      <c r="B4269" s="138">
        <f>'FP Info 3'!J16</f>
        <v>7022651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6534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2998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26690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1794</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163034345</v>
      </c>
      <c r="D4995" s="2" t="str">
        <f t="shared" si="77"/>
        <v>Error?</v>
      </c>
    </row>
    <row r="4996" spans="1:4" x14ac:dyDescent="0.2">
      <c r="A4996" s="12">
        <v>4935</v>
      </c>
      <c r="B4996" s="138">
        <f>'FP Info 3'!H31</f>
        <v>11249369.805000002</v>
      </c>
      <c r="D4996" s="2" t="str">
        <f t="shared" si="77"/>
        <v>Error?</v>
      </c>
    </row>
    <row r="4997" spans="1:4" x14ac:dyDescent="0.2">
      <c r="A4997" s="12">
        <v>4936</v>
      </c>
      <c r="B4997" s="138">
        <f>'FP Info 3'!H37</f>
        <v>6119696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16957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2820699</v>
      </c>
      <c r="D5061" s="2" t="str">
        <f t="shared" si="78"/>
        <v>Error?</v>
      </c>
    </row>
    <row r="5062" spans="1:4" x14ac:dyDescent="0.2">
      <c r="A5062" s="10">
        <v>5001</v>
      </c>
      <c r="D5062" s="2" t="str">
        <f t="shared" si="78"/>
        <v>OK</v>
      </c>
    </row>
    <row r="5063" spans="1:4" x14ac:dyDescent="0.2">
      <c r="A5063" s="5">
        <v>5002</v>
      </c>
      <c r="B5063" s="138">
        <f>'Revenues 9-14'!C7</f>
        <v>32609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2870265</v>
      </c>
      <c r="C5066" s="2" t="s">
        <v>573</v>
      </c>
      <c r="D5066" s="2" t="str">
        <f t="shared" si="78"/>
        <v>Error?</v>
      </c>
    </row>
    <row r="5067" spans="1:4" x14ac:dyDescent="0.2">
      <c r="A5067" s="5">
        <v>5006</v>
      </c>
      <c r="B5067" s="138">
        <f>'Revenues 9-14'!C14</f>
        <v>1067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8777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9844</v>
      </c>
      <c r="C5071" s="2" t="s">
        <v>573</v>
      </c>
      <c r="D5071" s="2" t="str">
        <f t="shared" si="78"/>
        <v>Error?</v>
      </c>
    </row>
    <row r="5072" spans="1:4" x14ac:dyDescent="0.2">
      <c r="A5072" s="5">
        <v>5011</v>
      </c>
      <c r="B5072" s="138">
        <f>'Revenues 9-14'!C20</f>
        <v>7164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1439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8603</v>
      </c>
      <c r="C5087" s="2" t="s">
        <v>573</v>
      </c>
      <c r="D5087" s="2" t="str">
        <f t="shared" si="78"/>
        <v>Error?</v>
      </c>
    </row>
    <row r="5088" spans="1:4" x14ac:dyDescent="0.2">
      <c r="A5088" s="5">
        <v>5027</v>
      </c>
      <c r="B5088" s="138">
        <f>'Revenues 9-14'!C65</f>
        <v>81447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81447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6008</v>
      </c>
      <c r="D5094" s="2" t="str">
        <f t="shared" si="78"/>
        <v>Error?</v>
      </c>
    </row>
    <row r="5095" spans="1:4" x14ac:dyDescent="0.2">
      <c r="A5095" s="5">
        <v>5034</v>
      </c>
      <c r="B5095" s="138">
        <f>'Revenues 9-14'!C74</f>
        <v>21642</v>
      </c>
      <c r="D5095" s="2" t="str">
        <f t="shared" si="78"/>
        <v>Error?</v>
      </c>
    </row>
    <row r="5096" spans="1:4" x14ac:dyDescent="0.2">
      <c r="A5096" s="5">
        <v>5035</v>
      </c>
      <c r="B5096" s="138">
        <f>'Revenues 9-14'!C75</f>
        <v>223306</v>
      </c>
      <c r="C5096" s="2" t="s">
        <v>573</v>
      </c>
      <c r="D5096" s="2" t="str">
        <f t="shared" si="78"/>
        <v>Error?</v>
      </c>
    </row>
    <row r="5097" spans="1:4" x14ac:dyDescent="0.2">
      <c r="A5097" s="5">
        <v>5036</v>
      </c>
      <c r="B5097" s="138">
        <f>'Revenues 9-14'!C77</f>
        <v>21342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8570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35735</v>
      </c>
      <c r="D5101" s="2" t="str">
        <f t="shared" si="78"/>
        <v>Error?</v>
      </c>
    </row>
    <row r="5102" spans="1:4" x14ac:dyDescent="0.2">
      <c r="A5102" s="5">
        <v>5041</v>
      </c>
      <c r="B5102" s="138">
        <f>'Revenues 9-14'!C82</f>
        <v>65647</v>
      </c>
      <c r="C5102" s="2" t="s">
        <v>573</v>
      </c>
      <c r="D5102" s="2" t="str">
        <f t="shared" si="78"/>
        <v>Error?</v>
      </c>
    </row>
    <row r="5103" spans="1:4" x14ac:dyDescent="0.2">
      <c r="A5103" s="5">
        <v>5042</v>
      </c>
      <c r="B5103" s="138">
        <f>'Revenues 9-14'!C84</f>
        <v>67930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103</v>
      </c>
      <c r="D5111" s="2" t="str">
        <f t="shared" si="78"/>
        <v>Error?</v>
      </c>
    </row>
    <row r="5112" spans="1:4" x14ac:dyDescent="0.2">
      <c r="A5112" s="5">
        <v>5051</v>
      </c>
      <c r="B5112" s="138">
        <f>'Revenues 9-14'!C93</f>
        <v>68033</v>
      </c>
      <c r="C5112" s="2" t="s">
        <v>573</v>
      </c>
      <c r="D5112" s="2" t="str">
        <f t="shared" si="78"/>
        <v>Error?</v>
      </c>
    </row>
    <row r="5113" spans="1:4" x14ac:dyDescent="0.2">
      <c r="A5113" s="5">
        <v>5052</v>
      </c>
      <c r="B5113" s="138">
        <f>'Revenues 9-14'!C95</f>
        <v>900</v>
      </c>
      <c r="D5113" s="2" t="str">
        <f t="shared" si="78"/>
        <v>Error?</v>
      </c>
    </row>
    <row r="5114" spans="1:4" x14ac:dyDescent="0.2">
      <c r="A5114" s="5">
        <v>5053</v>
      </c>
      <c r="B5114" s="138">
        <f>'Revenues 9-14'!C96</f>
        <v>3280</v>
      </c>
      <c r="D5114" s="2" t="str">
        <f t="shared" si="78"/>
        <v>Error?</v>
      </c>
    </row>
    <row r="5115" spans="1:4" x14ac:dyDescent="0.2">
      <c r="A5115" s="5">
        <v>5054</v>
      </c>
      <c r="B5115" s="138">
        <f>'Revenues 9-14'!C98</f>
        <v>7000</v>
      </c>
      <c r="D5115" s="2" t="str">
        <f t="shared" si="78"/>
        <v>Error?</v>
      </c>
    </row>
    <row r="5116" spans="1:4" x14ac:dyDescent="0.2">
      <c r="A5116" s="5">
        <v>5055</v>
      </c>
      <c r="B5116" s="138">
        <f>'Revenues 9-14'!C99</f>
        <v>62762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6225</v>
      </c>
      <c r="D5118" s="2" t="str">
        <f t="shared" si="78"/>
        <v>Error?</v>
      </c>
    </row>
    <row r="5119" spans="1:4" x14ac:dyDescent="0.2">
      <c r="A5119" s="5">
        <v>5058</v>
      </c>
      <c r="B5119" s="138">
        <f>'Revenues 9-14'!C107</f>
        <v>160</v>
      </c>
      <c r="D5119" s="2" t="str">
        <f t="shared" ref="D5119:D5182" si="79">IF(ISBLANK(B5119),"OK",IF(A5119-B5119=0,"OK","Error?"))</f>
        <v>Error?</v>
      </c>
    </row>
    <row r="5120" spans="1:4" x14ac:dyDescent="0.2">
      <c r="A5120" s="5">
        <v>5059</v>
      </c>
      <c r="B5120" s="138">
        <f>'Revenues 9-14'!C108</f>
        <v>80327</v>
      </c>
      <c r="C5120" s="2" t="s">
        <v>573</v>
      </c>
      <c r="D5120" s="2" t="str">
        <f t="shared" si="79"/>
        <v>Error?</v>
      </c>
    </row>
    <row r="5121" spans="1:4" x14ac:dyDescent="0.2">
      <c r="A5121" s="5">
        <v>5060</v>
      </c>
      <c r="B5121" s="138">
        <f>'Revenues 9-14'!C109</f>
        <v>3407472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2015880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2015880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2694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2694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991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3685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2019565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97604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97604</v>
      </c>
      <c r="C5246" s="2" t="s">
        <v>573</v>
      </c>
      <c r="D5246" s="2" t="str">
        <f t="shared" si="80"/>
        <v>Error?</v>
      </c>
    </row>
    <row r="5247" spans="1:4" x14ac:dyDescent="0.2">
      <c r="A5247" s="5">
        <v>5186</v>
      </c>
      <c r="B5247" s="138">
        <f>'Revenues 9-14'!C200</f>
        <v>63979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63979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164469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164469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362274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362274</v>
      </c>
      <c r="C5326" s="2" t="s">
        <v>573</v>
      </c>
      <c r="D5326" s="2" t="str">
        <f t="shared" si="82"/>
        <v>Error?</v>
      </c>
    </row>
    <row r="5327" spans="1:5" x14ac:dyDescent="0.2">
      <c r="A5327" s="5">
        <v>5266</v>
      </c>
      <c r="B5327" s="138">
        <f>'Revenues 9-14'!C268</f>
        <v>5789311</v>
      </c>
      <c r="C5327" s="2" t="s">
        <v>573</v>
      </c>
      <c r="D5327" s="2" t="str">
        <f t="shared" si="82"/>
        <v>Error?</v>
      </c>
    </row>
    <row r="5328" spans="1:5" x14ac:dyDescent="0.2">
      <c r="A5328" s="5">
        <v>5267</v>
      </c>
      <c r="B5328" s="138">
        <f>'Revenues 9-14'!D5</f>
        <v>498764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498764</v>
      </c>
      <c r="C5334" s="2" t="s">
        <v>573</v>
      </c>
      <c r="D5334" s="2" t="str">
        <f t="shared" si="82"/>
        <v>Error?</v>
      </c>
    </row>
    <row r="5335" spans="1:4" x14ac:dyDescent="0.2">
      <c r="A5335" s="5">
        <v>5274</v>
      </c>
      <c r="B5335" s="138">
        <f>'Revenues 9-14'!D14</f>
        <v>185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9275</v>
      </c>
      <c r="D5338" s="2" t="str">
        <f t="shared" si="82"/>
        <v>Error?</v>
      </c>
    </row>
    <row r="5339" spans="1:4" x14ac:dyDescent="0.2">
      <c r="A5339" s="5">
        <v>5278</v>
      </c>
      <c r="B5339" s="138">
        <f>'Revenues 9-14'!D18</f>
        <v>9460</v>
      </c>
      <c r="C5339" s="2" t="s">
        <v>573</v>
      </c>
      <c r="D5339" s="2" t="str">
        <f t="shared" si="82"/>
        <v>Error?</v>
      </c>
    </row>
    <row r="5340" spans="1:4" x14ac:dyDescent="0.2">
      <c r="A5340" s="5">
        <v>5279</v>
      </c>
      <c r="B5340" s="138">
        <f>'Revenues 9-14'!D65</f>
        <v>48882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48882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52180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29157</v>
      </c>
      <c r="D5351" s="2" t="str">
        <f t="shared" si="82"/>
        <v>Error?</v>
      </c>
    </row>
    <row r="5352" spans="1:4" x14ac:dyDescent="0.2">
      <c r="A5352" s="5">
        <v>5291</v>
      </c>
      <c r="B5352" s="138">
        <f>'Revenues 9-14'!D99</f>
        <v>9725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91062</v>
      </c>
      <c r="C5355" s="2" t="s">
        <v>573</v>
      </c>
      <c r="D5355" s="2" t="str">
        <f t="shared" si="82"/>
        <v>Error?</v>
      </c>
    </row>
    <row r="5356" spans="1:4" x14ac:dyDescent="0.2">
      <c r="A5356" s="5">
        <v>5295</v>
      </c>
      <c r="B5356" s="138">
        <f>'Revenues 9-14'!D109</f>
        <v>648168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648168</v>
      </c>
      <c r="C5508" s="2" t="s">
        <v>573</v>
      </c>
      <c r="D5508" s="2" t="str">
        <f t="shared" si="85"/>
        <v>Error?</v>
      </c>
    </row>
    <row r="5509" spans="1:4" x14ac:dyDescent="0.2">
      <c r="A5509" s="5">
        <v>5448</v>
      </c>
      <c r="B5509" s="138">
        <f>'Revenues 9-14'!E5</f>
        <v>1092082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1092082</v>
      </c>
      <c r="C5513" s="2" t="s">
        <v>573</v>
      </c>
      <c r="D5513" s="2" t="str">
        <f t="shared" si="85"/>
        <v>Error?</v>
      </c>
    </row>
    <row r="5514" spans="1:4" x14ac:dyDescent="0.2">
      <c r="A5514" s="5">
        <v>5453</v>
      </c>
      <c r="B5514" s="138">
        <f>'Revenues 9-14'!E14</f>
        <v>406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406</v>
      </c>
      <c r="C5518" s="2" t="s">
        <v>573</v>
      </c>
      <c r="D5518" s="2" t="str">
        <f t="shared" si="85"/>
        <v>Error?</v>
      </c>
    </row>
    <row r="5519" spans="1:4" x14ac:dyDescent="0.2">
      <c r="A5519" s="5">
        <v>5458</v>
      </c>
      <c r="B5519" s="138">
        <f>'Revenues 9-14'!E65</f>
        <v>6580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6580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170355</v>
      </c>
      <c r="C5526" s="2" t="s">
        <v>573</v>
      </c>
      <c r="D5526" s="2" t="str">
        <f t="shared" si="85"/>
        <v>Error?</v>
      </c>
    </row>
    <row r="5527" spans="1:4" x14ac:dyDescent="0.2">
      <c r="A5527" s="5">
        <v>5466</v>
      </c>
      <c r="B5527" s="138">
        <f>'Revenues 9-14'!E109</f>
        <v>1269423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1269423</v>
      </c>
      <c r="C5552" s="2" t="s">
        <v>573</v>
      </c>
      <c r="D5552" s="2" t="str">
        <f t="shared" si="85"/>
        <v>Error?</v>
      </c>
    </row>
    <row r="5553" spans="1:4" x14ac:dyDescent="0.2">
      <c r="A5553" s="5">
        <v>5492</v>
      </c>
      <c r="B5553" s="138">
        <f>'Revenues 9-14'!F5</f>
        <v>195655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195655</v>
      </c>
      <c r="C5557" s="2" t="s">
        <v>573</v>
      </c>
      <c r="D5557" s="2" t="str">
        <f t="shared" si="85"/>
        <v>Error?</v>
      </c>
    </row>
    <row r="5558" spans="1:4" x14ac:dyDescent="0.2">
      <c r="A5558" s="5">
        <v>5497</v>
      </c>
      <c r="B5558" s="138">
        <f>'Revenues 9-14'!F14</f>
        <v>73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11311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11311</v>
      </c>
      <c r="C5582" s="2" t="s">
        <v>573</v>
      </c>
      <c r="D5582" s="2" t="str">
        <f t="shared" si="86"/>
        <v>Error?</v>
      </c>
    </row>
    <row r="5583" spans="1:4" x14ac:dyDescent="0.2">
      <c r="A5583" s="5">
        <v>5522</v>
      </c>
      <c r="B5583" s="138">
        <f>'Revenues 9-14'!F96</f>
        <v>2400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310</v>
      </c>
      <c r="D5586" s="2" t="str">
        <f t="shared" si="86"/>
        <v>Error?</v>
      </c>
    </row>
    <row r="5587" spans="1:4" x14ac:dyDescent="0.2">
      <c r="A5587" s="5">
        <v>5526</v>
      </c>
      <c r="B5587" s="138">
        <f>'Revenues 9-14'!F108</f>
        <v>2710</v>
      </c>
      <c r="C5587" s="2" t="s">
        <v>573</v>
      </c>
      <c r="D5587" s="2" t="str">
        <f t="shared" si="86"/>
        <v>Error?</v>
      </c>
    </row>
    <row r="5588" spans="1:4" x14ac:dyDescent="0.2">
      <c r="A5588" s="5">
        <v>5527</v>
      </c>
      <c r="B5588" s="138">
        <f>'Revenues 9-14'!F109</f>
        <v>209749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108939</v>
      </c>
      <c r="D5615" s="2" t="str">
        <f t="shared" si="86"/>
        <v>Error?</v>
      </c>
    </row>
    <row r="5616" spans="1:4" x14ac:dyDescent="0.2">
      <c r="A5616" s="10">
        <v>5555</v>
      </c>
      <c r="D5616" s="2" t="str">
        <f t="shared" si="86"/>
        <v>OK</v>
      </c>
    </row>
    <row r="5617" spans="1:5" x14ac:dyDescent="0.2">
      <c r="A5617" s="5">
        <v>5556</v>
      </c>
      <c r="B5617" s="138">
        <f>'Revenues 9-14'!F153</f>
        <v>74962</v>
      </c>
      <c r="D5617" s="2" t="str">
        <f t="shared" si="86"/>
        <v>Error?</v>
      </c>
    </row>
    <row r="5618" spans="1:5" x14ac:dyDescent="0.2">
      <c r="A5618" s="5">
        <v>5557</v>
      </c>
      <c r="B5618" s="138">
        <f>'Revenues 9-14'!F155</f>
        <v>183901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183901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183901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1794</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1794</v>
      </c>
      <c r="C5719" s="2" t="s">
        <v>573</v>
      </c>
      <c r="D5719" s="2" t="str">
        <f t="shared" si="88"/>
        <v>Error?</v>
      </c>
    </row>
    <row r="5720" spans="1:4" x14ac:dyDescent="0.2">
      <c r="A5720" s="5">
        <v>5659</v>
      </c>
      <c r="B5720" s="138">
        <f>'Revenues 9-14'!F268</f>
        <v>395444</v>
      </c>
      <c r="C5720" s="2" t="s">
        <v>573</v>
      </c>
      <c r="D5720" s="2" t="str">
        <f t="shared" si="88"/>
        <v>Error?</v>
      </c>
    </row>
    <row r="5721" spans="1:4" x14ac:dyDescent="0.2">
      <c r="A5721" s="5">
        <v>5660</v>
      </c>
      <c r="B5721" s="138">
        <f>'Revenues 9-14'!G5</f>
        <v>76794</v>
      </c>
      <c r="D5721" s="2" t="str">
        <f t="shared" si="88"/>
        <v>Error?</v>
      </c>
    </row>
    <row r="5722" spans="1:4" x14ac:dyDescent="0.2">
      <c r="A5722" s="5">
        <v>5661</v>
      </c>
      <c r="B5722" s="138">
        <f>'Revenues 9-14'!G7</f>
        <v>0</v>
      </c>
      <c r="D5722" s="2" t="str">
        <f t="shared" si="88"/>
        <v>Error?</v>
      </c>
    </row>
    <row r="5723" spans="1:4" x14ac:dyDescent="0.2">
      <c r="A5723" s="5">
        <v>5662</v>
      </c>
      <c r="B5723" s="138">
        <f>'Revenues 9-14'!G8</f>
        <v>101741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178535</v>
      </c>
      <c r="C5725" s="2" t="s">
        <v>573</v>
      </c>
      <c r="D5725" s="2" t="str">
        <f t="shared" si="88"/>
        <v>Error?</v>
      </c>
    </row>
    <row r="5726" spans="1:4" x14ac:dyDescent="0.2">
      <c r="A5726" s="5">
        <v>5665</v>
      </c>
      <c r="B5726" s="138">
        <f>'Revenues 9-14'!G14</f>
        <v>66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5125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5191</v>
      </c>
      <c r="C5730" s="2" t="s">
        <v>573</v>
      </c>
      <c r="D5730" s="2" t="str">
        <f t="shared" si="88"/>
        <v>Error?</v>
      </c>
    </row>
    <row r="5731" spans="1:4" x14ac:dyDescent="0.2">
      <c r="A5731" s="5">
        <v>5670</v>
      </c>
      <c r="B5731" s="138">
        <f>'Revenues 9-14'!G65</f>
        <v>4469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4469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188195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19981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19981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19981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339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339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339</v>
      </c>
      <c r="C6023" s="2" t="s">
        <v>573</v>
      </c>
      <c r="D6023" s="2" t="str">
        <f t="shared" si="93"/>
        <v>Error?</v>
      </c>
    </row>
    <row r="6024" spans="1:5" x14ac:dyDescent="0.2">
      <c r="A6024" s="5">
        <v>5963</v>
      </c>
      <c r="B6024" s="138">
        <f>'Revenues 9-14'!G109</f>
        <v>188195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19981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339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195656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39884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790.1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160000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56288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160000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56288</v>
      </c>
      <c r="D6215" s="2" t="str">
        <f t="shared" si="96"/>
        <v>Error?</v>
      </c>
      <c r="E6215" s="2" t="s">
        <v>190</v>
      </c>
    </row>
    <row r="6216" spans="1:5" x14ac:dyDescent="0.2">
      <c r="A6216">
        <v>6155</v>
      </c>
      <c r="B6216" s="138">
        <f>'Assets-Liab 5-6'!J41</f>
        <v>56288</v>
      </c>
      <c r="D6216" s="2" t="str">
        <f t="shared" si="96"/>
        <v>Error?</v>
      </c>
      <c r="E6216" s="2" t="s">
        <v>190</v>
      </c>
    </row>
    <row r="6217" spans="1:5" x14ac:dyDescent="0.2">
      <c r="A6217">
        <v>6156</v>
      </c>
      <c r="B6217" s="138">
        <f>'Assets-Liab 5-6'!J4</f>
        <v>56288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285619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285619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285619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277620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277620</v>
      </c>
      <c r="D6229" s="2" t="str">
        <f t="shared" si="96"/>
        <v>Error?</v>
      </c>
      <c r="E6229" s="2" t="s">
        <v>190</v>
      </c>
    </row>
    <row r="6230" spans="1:5" x14ac:dyDescent="0.2">
      <c r="A6230">
        <v>6169</v>
      </c>
      <c r="B6230" s="138">
        <f>'Acct Summary 7-8'!J20</f>
        <v>7999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7999</v>
      </c>
      <c r="D6263" s="2" t="str">
        <f t="shared" si="96"/>
        <v>Error?</v>
      </c>
      <c r="E6263" s="2" t="s">
        <v>190</v>
      </c>
    </row>
    <row r="6264" spans="1:5" x14ac:dyDescent="0.2">
      <c r="A6264">
        <v>6203</v>
      </c>
      <c r="B6264" s="138">
        <f>'Acct Summary 7-8'!J79</f>
        <v>48289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56288</v>
      </c>
      <c r="D6266" s="2" t="str">
        <f t="shared" si="96"/>
        <v>Error?</v>
      </c>
      <c r="E6266" s="2" t="s">
        <v>190</v>
      </c>
    </row>
    <row r="6267" spans="1:5" x14ac:dyDescent="0.2">
      <c r="A6267">
        <v>6206</v>
      </c>
      <c r="B6267" s="138">
        <f>'Acct Summary 7-8'!C82</f>
        <v>131333</v>
      </c>
      <c r="D6267" s="2" t="str">
        <f t="shared" si="96"/>
        <v>Error?</v>
      </c>
      <c r="E6267" s="2" t="s">
        <v>190</v>
      </c>
    </row>
    <row r="6268" spans="1:5" x14ac:dyDescent="0.2">
      <c r="A6268">
        <v>6207</v>
      </c>
      <c r="B6268" s="138">
        <f>'Acct Summary 7-8'!D82</f>
        <v>160110</v>
      </c>
      <c r="D6268" s="2" t="str">
        <f t="shared" si="96"/>
        <v>Error?</v>
      </c>
      <c r="E6268" s="2" t="s">
        <v>190</v>
      </c>
    </row>
    <row r="6269" spans="1:5" x14ac:dyDescent="0.2">
      <c r="A6269">
        <v>6208</v>
      </c>
      <c r="B6269" s="138">
        <f>'Acct Summary 7-8'!E82</f>
        <v>174457</v>
      </c>
      <c r="D6269" s="2" t="str">
        <f t="shared" si="96"/>
        <v>Error?</v>
      </c>
      <c r="E6269" s="2" t="s">
        <v>190</v>
      </c>
    </row>
    <row r="6270" spans="1:5" x14ac:dyDescent="0.2">
      <c r="A6270">
        <v>6209</v>
      </c>
      <c r="B6270" s="138">
        <f>'Acct Summary 7-8'!F82</f>
        <v>-18001</v>
      </c>
      <c r="D6270" s="2" t="str">
        <f t="shared" si="96"/>
        <v>Error?</v>
      </c>
      <c r="E6270" s="2" t="s">
        <v>190</v>
      </c>
    </row>
    <row r="6271" spans="1:5" x14ac:dyDescent="0.2">
      <c r="A6271">
        <v>6210</v>
      </c>
      <c r="B6271" s="138">
        <f>'Acct Summary 7-8'!G82</f>
        <v>-30790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19981</v>
      </c>
      <c r="D6273" s="2" t="str">
        <f t="shared" si="97"/>
        <v>Error?</v>
      </c>
      <c r="E6273" s="2" t="s">
        <v>190</v>
      </c>
    </row>
    <row r="6274" spans="1:5" x14ac:dyDescent="0.2">
      <c r="A6274">
        <v>6213</v>
      </c>
      <c r="B6274" s="138">
        <f>'Acct Summary 7-8'!J82</f>
        <v>7999</v>
      </c>
      <c r="D6274" s="2" t="str">
        <f t="shared" si="97"/>
        <v>Error?</v>
      </c>
      <c r="E6274" s="2" t="s">
        <v>190</v>
      </c>
    </row>
    <row r="6275" spans="1:5" x14ac:dyDescent="0.2">
      <c r="A6275">
        <v>6214</v>
      </c>
      <c r="B6275" s="138">
        <f>'Acct Summary 7-8'!K82</f>
        <v>-13836</v>
      </c>
      <c r="D6275" s="2" t="str">
        <f t="shared" si="97"/>
        <v>Error?</v>
      </c>
      <c r="E6275" s="2" t="s">
        <v>190</v>
      </c>
    </row>
    <row r="6276" spans="1:5" x14ac:dyDescent="0.2">
      <c r="A6276">
        <v>6215</v>
      </c>
      <c r="B6276" s="138">
        <f>'Acct Summary 7-8'!C83</f>
        <v>4.2147864927089357E-2</v>
      </c>
      <c r="D6276" s="2" t="str">
        <f t="shared" si="97"/>
        <v>Error?</v>
      </c>
      <c r="E6276" s="2" t="s">
        <v>190</v>
      </c>
    </row>
    <row r="6277" spans="1:5" x14ac:dyDescent="0.2">
      <c r="A6277">
        <v>6216</v>
      </c>
      <c r="B6277" s="138">
        <f>'Acct Summary 7-8'!D83</f>
        <v>6.7321224118582226E-2</v>
      </c>
      <c r="D6277" s="2" t="str">
        <f t="shared" si="97"/>
        <v>Error?</v>
      </c>
      <c r="E6277" s="2" t="s">
        <v>190</v>
      </c>
    </row>
    <row r="6278" spans="1:5" x14ac:dyDescent="0.2">
      <c r="A6278">
        <v>6217</v>
      </c>
      <c r="B6278" s="138">
        <f>'Acct Summary 7-8'!E83</f>
        <v>0.85204051730874419</v>
      </c>
      <c r="D6278" s="2" t="str">
        <f t="shared" si="97"/>
        <v>Error?</v>
      </c>
      <c r="E6278" s="2" t="s">
        <v>190</v>
      </c>
    </row>
    <row r="6279" spans="1:5" x14ac:dyDescent="0.2">
      <c r="A6279">
        <v>6218</v>
      </c>
      <c r="B6279" s="138">
        <f>'Acct Summary 7-8'!F83</f>
        <v>-3.5966177687023725E-2</v>
      </c>
      <c r="D6279" s="2" t="str">
        <f t="shared" si="97"/>
        <v>Error?</v>
      </c>
      <c r="E6279" s="2" t="s">
        <v>190</v>
      </c>
    </row>
    <row r="6280" spans="1:5" x14ac:dyDescent="0.2">
      <c r="A6280">
        <v>6219</v>
      </c>
      <c r="B6280" s="138">
        <f>'Acct Summary 7-8'!G83</f>
        <v>-0.22908033063754121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1.9439644772378795E-2</v>
      </c>
      <c r="D6282" s="2" t="str">
        <f t="shared" si="97"/>
        <v>Error?</v>
      </c>
      <c r="E6282" s="2" t="s">
        <v>190</v>
      </c>
    </row>
    <row r="6283" spans="1:5" x14ac:dyDescent="0.2">
      <c r="A6283">
        <v>6222</v>
      </c>
      <c r="B6283" s="138">
        <f>'Acct Summary 7-8'!J83</f>
        <v>0.14210844229675954</v>
      </c>
      <c r="D6283" s="2" t="str">
        <f t="shared" si="97"/>
        <v>Error?</v>
      </c>
      <c r="E6283" s="2" t="s">
        <v>190</v>
      </c>
    </row>
    <row r="6284" spans="1:5" x14ac:dyDescent="0.2">
      <c r="A6284">
        <v>6223</v>
      </c>
      <c r="B6284" s="138">
        <f>'Acct Summary 7-8'!K83</f>
        <v>-0.8531261561228265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279299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279299</v>
      </c>
      <c r="D6301" s="2" t="str">
        <f t="shared" si="97"/>
        <v>Error?</v>
      </c>
      <c r="E6301" s="2" t="s">
        <v>190</v>
      </c>
    </row>
    <row r="6302" spans="1:5" x14ac:dyDescent="0.2">
      <c r="A6302">
        <v>6241</v>
      </c>
      <c r="B6302" s="138">
        <f>'Revenues 9-14'!J14</f>
        <v>104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104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2470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2470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3746</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3746</v>
      </c>
      <c r="D6351" s="2" t="str">
        <f t="shared" si="98"/>
        <v>Error?</v>
      </c>
      <c r="E6351" s="2" t="s">
        <v>190</v>
      </c>
    </row>
    <row r="6352" spans="1:5" x14ac:dyDescent="0.2">
      <c r="A6352">
        <v>6291</v>
      </c>
      <c r="B6352" s="138">
        <f>'Revenues 9-14'!J109</f>
        <v>285619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44844</v>
      </c>
      <c r="D6880" s="2" t="str">
        <f t="shared" si="106"/>
        <v>Error?</v>
      </c>
    </row>
    <row r="6881" spans="1:4" x14ac:dyDescent="0.2">
      <c r="A6881">
        <v>6820</v>
      </c>
      <c r="B6881" s="138">
        <f>'Expenditures 15-22'!K22</f>
        <v>44844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269353</v>
      </c>
      <c r="D6983" s="2" t="str">
        <f t="shared" si="108"/>
        <v>Error?</v>
      </c>
    </row>
    <row r="6984" spans="1:4" x14ac:dyDescent="0.2">
      <c r="A6984">
        <v>6923</v>
      </c>
      <c r="B6984" s="138">
        <f>'Expenditures 15-22'!K86</f>
        <v>269353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269353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277620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285619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2349</v>
      </c>
      <c r="D7067" s="2" t="str">
        <f t="shared" si="109"/>
        <v>Error?</v>
      </c>
    </row>
    <row r="7068" spans="1:4" x14ac:dyDescent="0.2">
      <c r="A7068">
        <v>7007</v>
      </c>
      <c r="B7068" s="138">
        <f>'Expenditures 15-22'!K205</f>
        <v>2349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33159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33159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3851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3851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145513</v>
      </c>
      <c r="D7154" s="2" t="str">
        <f t="shared" si="110"/>
        <v>Error?</v>
      </c>
    </row>
    <row r="7155" spans="1:4" x14ac:dyDescent="0.2">
      <c r="A7155">
        <v>7094</v>
      </c>
      <c r="B7155" s="138">
        <f>'Expenditures 15-22'!D323</f>
        <v>34118</v>
      </c>
      <c r="D7155" s="2" t="str">
        <f t="shared" si="110"/>
        <v>Error?</v>
      </c>
    </row>
    <row r="7156" spans="1:4" x14ac:dyDescent="0.2">
      <c r="A7156">
        <v>7095</v>
      </c>
      <c r="B7156" s="138">
        <f>'Expenditures 15-22'!E323</f>
        <v>1891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181522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145513</v>
      </c>
      <c r="D7199" s="2" t="str">
        <f t="shared" si="111"/>
        <v>Error?</v>
      </c>
    </row>
    <row r="7200" spans="1:4" x14ac:dyDescent="0.2">
      <c r="A7200">
        <v>7139</v>
      </c>
      <c r="B7200" s="138">
        <f>'Expenditures 15-22'!D330</f>
        <v>34118</v>
      </c>
      <c r="D7200" s="2" t="str">
        <f t="shared" si="111"/>
        <v>Error?</v>
      </c>
    </row>
    <row r="7201" spans="1:4" x14ac:dyDescent="0.2">
      <c r="A7201">
        <v>7140</v>
      </c>
      <c r="B7201" s="138">
        <f>'Expenditures 15-22'!E330</f>
        <v>97989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277620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145513</v>
      </c>
      <c r="D7216" s="2" t="str">
        <f t="shared" si="111"/>
        <v>Error?</v>
      </c>
    </row>
    <row r="7217" spans="1:4" x14ac:dyDescent="0.2">
      <c r="A7217">
        <v>7156</v>
      </c>
      <c r="B7217" s="138">
        <f>'Expenditures 15-22'!D342</f>
        <v>34118</v>
      </c>
      <c r="D7217" s="2" t="str">
        <f t="shared" si="111"/>
        <v>Error?</v>
      </c>
    </row>
    <row r="7218" spans="1:4" x14ac:dyDescent="0.2">
      <c r="A7218">
        <v>7157</v>
      </c>
      <c r="B7218" s="138">
        <f>'Expenditures 15-22'!E342</f>
        <v>97989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277620</v>
      </c>
      <c r="D7224" s="2" t="str">
        <f t="shared" si="111"/>
        <v>Error?</v>
      </c>
    </row>
    <row r="7225" spans="1:4" x14ac:dyDescent="0.2">
      <c r="A7225">
        <v>7164</v>
      </c>
      <c r="B7225" s="138">
        <f>'Expenditures 15-22'!K343</f>
        <v>7999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513236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59088</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59088</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128</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170355</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170483</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32636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170355</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170483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170483</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79211</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29211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382" t="str">
        <f>COVER!A17</f>
        <v>Germantown Hills SD 69</v>
      </c>
      <c r="B7" s="2383"/>
      <c r="C7" s="2383"/>
      <c r="D7" s="2420"/>
      <c r="E7" s="2421">
        <f>COVER!A13</f>
        <v>53102069002</v>
      </c>
      <c r="F7" s="2422"/>
      <c r="G7" s="2389" t="str">
        <f>COVER!T23</f>
        <v>066-005027</v>
      </c>
      <c r="H7" s="2390"/>
      <c r="I7" s="2390"/>
      <c r="J7" s="2390"/>
      <c r="K7" s="2390"/>
      <c r="L7" s="2391"/>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392"/>
      <c r="B9" s="2393"/>
      <c r="C9" s="2393"/>
      <c r="D9" s="2393"/>
      <c r="E9" s="2393"/>
      <c r="F9" s="2394"/>
      <c r="G9" s="2395" t="str">
        <f>COVER!T13</f>
        <v>Gorenz and Associates, Ltd.</v>
      </c>
      <c r="H9" s="2396"/>
      <c r="I9" s="2396"/>
      <c r="J9" s="2396"/>
      <c r="K9" s="2396"/>
      <c r="L9" s="2397"/>
    </row>
    <row r="10" spans="1:29" ht="13.5" customHeight="1" x14ac:dyDescent="0.2">
      <c r="A10" s="2379" t="str">
        <f>COVER!A38</f>
        <v>Dan Mair</v>
      </c>
      <c r="B10" s="2380"/>
      <c r="C10" s="2380"/>
      <c r="D10" s="2380"/>
      <c r="E10" s="2380"/>
      <c r="F10" s="2381"/>
      <c r="G10" s="2395" t="str">
        <f>COVER!T17</f>
        <v>4200 N Knoxville Ave</v>
      </c>
      <c r="H10" s="2408"/>
      <c r="I10" s="2408"/>
      <c r="J10" s="2408"/>
      <c r="K10" s="2408"/>
      <c r="L10" s="2409"/>
    </row>
    <row r="11" spans="1:29" ht="13.5" customHeight="1" x14ac:dyDescent="0.2">
      <c r="A11" s="1180" t="s">
        <v>1519</v>
      </c>
      <c r="B11" s="1181"/>
      <c r="C11" s="1182"/>
      <c r="D11" s="1187"/>
      <c r="E11" s="1182"/>
      <c r="F11" s="1186"/>
      <c r="G11" s="2395" t="str">
        <f>COVER!T19</f>
        <v>Peoria</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tcustis@gorenzcpa.com</v>
      </c>
      <c r="J13" s="2417"/>
      <c r="K13" s="2417"/>
      <c r="L13" s="2418"/>
    </row>
    <row r="14" spans="1:29" ht="13.5" customHeight="1" x14ac:dyDescent="0.2">
      <c r="A14" s="2395" t="str">
        <f>COVER!A19</f>
        <v>103 Warrior Way</v>
      </c>
      <c r="B14" s="2408"/>
      <c r="C14" s="2408"/>
      <c r="D14" s="2408"/>
      <c r="E14" s="2408"/>
      <c r="F14" s="2409"/>
      <c r="G14" s="1191" t="s">
        <v>1185</v>
      </c>
      <c r="H14" s="1189"/>
      <c r="I14" s="1189"/>
      <c r="J14" s="1189"/>
      <c r="K14" s="1189"/>
      <c r="L14" s="1190"/>
    </row>
    <row r="15" spans="1:29" ht="13.5" customHeight="1" x14ac:dyDescent="0.2">
      <c r="A15" s="2395" t="str">
        <f>COVER!A21</f>
        <v xml:space="preserve">Germantown Hills </v>
      </c>
      <c r="B15" s="2408"/>
      <c r="C15" s="2408"/>
      <c r="D15" s="2408"/>
      <c r="E15" s="2408"/>
      <c r="F15" s="2409"/>
      <c r="G15" s="2405" t="str">
        <f>COVER!T15</f>
        <v>Tim C. Custis, CPA</v>
      </c>
      <c r="H15" s="2406"/>
      <c r="I15" s="2406"/>
      <c r="J15" s="2406"/>
      <c r="K15" s="2406"/>
      <c r="L15" s="2407"/>
    </row>
    <row r="16" spans="1:29" ht="12.2" customHeight="1" x14ac:dyDescent="0.2">
      <c r="A16" s="2385">
        <f>COVER!A25</f>
        <v>61548</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1" t="s">
        <v>1184</v>
      </c>
      <c r="H17" s="1189"/>
      <c r="I17" s="1189"/>
      <c r="J17" s="1189"/>
      <c r="K17" s="1193" t="s">
        <v>1183</v>
      </c>
      <c r="L17" s="1186"/>
      <c r="M17" s="1179"/>
    </row>
    <row r="18" spans="1:13" ht="12.2" customHeight="1" x14ac:dyDescent="0.2">
      <c r="A18" s="2379"/>
      <c r="B18" s="2380"/>
      <c r="C18" s="2380"/>
      <c r="D18" s="2380"/>
      <c r="E18" s="2380"/>
      <c r="F18" s="2381"/>
      <c r="G18" s="2382" t="str">
        <f>COVER!T21</f>
        <v>309-685-7621</v>
      </c>
      <c r="H18" s="2383"/>
      <c r="I18" s="2383"/>
      <c r="J18" s="2383"/>
      <c r="K18" s="2382" t="str">
        <f>COVER!X21</f>
        <v>309-685-4758</v>
      </c>
      <c r="L18" s="2384"/>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23" t="str">
        <f>'Single Audit Cover'!A7</f>
        <v>Germantown Hills SD 69</v>
      </c>
      <c r="B1" s="2419"/>
      <c r="C1" s="2419"/>
      <c r="D1" s="2419"/>
    </row>
    <row r="2" spans="1:11" s="1208" customFormat="1" ht="12.75" x14ac:dyDescent="0.2">
      <c r="A2" s="2424">
        <f>'Single Audit Cover'!E7</f>
        <v>53102069002</v>
      </c>
      <c r="B2" s="2425"/>
      <c r="C2" s="2425"/>
      <c r="D2" s="2425"/>
    </row>
    <row r="3" spans="1:11" s="1208" customFormat="1" ht="12.75" x14ac:dyDescent="0.2">
      <c r="A3" s="2423" t="s">
        <v>1513</v>
      </c>
      <c r="B3" s="2419"/>
      <c r="C3" s="2419"/>
      <c r="D3" s="2419"/>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39" sqref="G39:G40"/>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27" t="str">
        <f>'Single Audit Cover'!A7</f>
        <v>Germantown Hills SD 69</v>
      </c>
      <c r="B1" s="2427"/>
      <c r="C1" s="2427"/>
      <c r="D1" s="2427"/>
      <c r="E1" s="2427"/>
    </row>
    <row r="2" spans="1:5" x14ac:dyDescent="0.2">
      <c r="A2" s="2428">
        <f>'Single Audit Cover'!E7</f>
        <v>53102069002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3" t="s">
        <v>1243</v>
      </c>
    </row>
    <row r="10" spans="1:5" x14ac:dyDescent="0.2">
      <c r="A10" s="1254" t="s">
        <v>1242</v>
      </c>
      <c r="B10" s="1255" t="s">
        <v>1241</v>
      </c>
      <c r="C10" s="1255"/>
      <c r="D10" s="1256">
        <f>SUM('Acct Summary 7-8'!C7:K7)</f>
        <v>364068</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39884</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-4792</v>
      </c>
    </row>
    <row r="19" spans="1:4" ht="13.5" thickBot="1" x14ac:dyDescent="0.25">
      <c r="A19" s="1258" t="s">
        <v>1235</v>
      </c>
      <c r="D19" s="1259">
        <f>SUM(D10:D17)</f>
        <v>399160</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29"/>
      <c r="B24" s="2429"/>
      <c r="D24" s="1261"/>
    </row>
    <row r="25" spans="1:4" x14ac:dyDescent="0.2">
      <c r="A25" s="2426"/>
      <c r="B25" s="2426"/>
      <c r="D25" s="1261"/>
    </row>
    <row r="26" spans="1:4" x14ac:dyDescent="0.2">
      <c r="A26" s="2426"/>
      <c r="B26" s="2426"/>
      <c r="D26" s="1261"/>
    </row>
    <row r="27" spans="1:4" x14ac:dyDescent="0.2">
      <c r="A27" s="2426"/>
      <c r="B27" s="2426"/>
      <c r="D27" s="1261"/>
    </row>
    <row r="28" spans="1:4" x14ac:dyDescent="0.2">
      <c r="A28" s="2426"/>
      <c r="B28" s="2426"/>
      <c r="D28" s="1261"/>
    </row>
    <row r="29" spans="1:4" x14ac:dyDescent="0.2">
      <c r="A29" s="2426"/>
      <c r="B29" s="2426"/>
      <c r="D29" s="1261"/>
    </row>
    <row r="30" spans="1:4" x14ac:dyDescent="0.2">
      <c r="A30" s="2426"/>
      <c r="B30" s="2426"/>
      <c r="D30" s="1261"/>
    </row>
    <row r="32" spans="1:4" x14ac:dyDescent="0.2">
      <c r="A32" s="1253" t="s">
        <v>1233</v>
      </c>
      <c r="D32" s="1256">
        <f>SUM(D19:D30)</f>
        <v>399160</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26"/>
      <c r="B40" s="2426"/>
      <c r="D40" s="1261"/>
    </row>
    <row r="41" spans="1:4" x14ac:dyDescent="0.2">
      <c r="A41" s="2426"/>
      <c r="B41" s="2426"/>
      <c r="D41" s="1264"/>
    </row>
    <row r="42" spans="1:4" x14ac:dyDescent="0.2">
      <c r="A42" s="2426"/>
      <c r="B42" s="2426"/>
      <c r="D42" s="1264"/>
    </row>
    <row r="43" spans="1:4" x14ac:dyDescent="0.2">
      <c r="A43" s="2426"/>
      <c r="B43" s="2426"/>
      <c r="D43" s="1264"/>
    </row>
    <row r="44" spans="1:4" x14ac:dyDescent="0.2">
      <c r="A44" s="2426"/>
      <c r="B44" s="2426"/>
      <c r="D44" s="1264"/>
    </row>
    <row r="45" spans="1:4" x14ac:dyDescent="0.2">
      <c r="A45" s="2426"/>
      <c r="B45" s="2426"/>
      <c r="D45" s="1264"/>
    </row>
    <row r="47" spans="1:4" x14ac:dyDescent="0.2">
      <c r="B47" s="1265" t="s">
        <v>1227</v>
      </c>
      <c r="C47" s="1265"/>
      <c r="D47" s="1266">
        <f>SUM(D35:D45)</f>
        <v>0</v>
      </c>
    </row>
    <row r="49" spans="2:4" x14ac:dyDescent="0.2">
      <c r="B49" s="1265" t="s">
        <v>1226</v>
      </c>
      <c r="C49" s="1265"/>
      <c r="D49" s="1266">
        <f>D32-D47</f>
        <v>399160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388" t="str">
        <f>'Single Audit Cover'!A7</f>
        <v>Germantown Hills SD 69</v>
      </c>
      <c r="C1" s="2431"/>
      <c r="D1" s="2431"/>
      <c r="E1" s="2431"/>
      <c r="F1" s="2431"/>
      <c r="G1" s="2431"/>
      <c r="H1" s="2431"/>
      <c r="I1" s="2431"/>
      <c r="J1" s="2431"/>
      <c r="K1" s="2431"/>
      <c r="L1" s="2431"/>
      <c r="M1" s="2431"/>
    </row>
    <row r="2" spans="2:14" ht="15" x14ac:dyDescent="0.2">
      <c r="B2" s="2432">
        <f>'Single Audit Cover'!E7</f>
        <v>53102069002</v>
      </c>
      <c r="C2" s="2432"/>
      <c r="D2" s="2432"/>
      <c r="E2" s="2432"/>
      <c r="F2" s="2432"/>
      <c r="G2" s="2432"/>
      <c r="H2" s="2432"/>
      <c r="I2" s="2432"/>
      <c r="J2" s="2432"/>
      <c r="K2" s="2432"/>
      <c r="L2" s="2432"/>
      <c r="M2" s="2432"/>
      <c r="N2" s="1295"/>
    </row>
    <row r="3" spans="2:14" ht="15" x14ac:dyDescent="0.2">
      <c r="B3" s="2433" t="s">
        <v>1219</v>
      </c>
      <c r="C3" s="2433"/>
      <c r="D3" s="2433"/>
      <c r="E3" s="2433"/>
      <c r="F3" s="2433"/>
      <c r="G3" s="2433"/>
      <c r="H3" s="2433"/>
      <c r="I3" s="2433"/>
      <c r="J3" s="2433"/>
      <c r="K3" s="2433"/>
      <c r="L3" s="2433"/>
      <c r="M3" s="2433"/>
      <c r="N3" s="1295"/>
    </row>
    <row r="4" spans="2:14" ht="15" x14ac:dyDescent="0.2">
      <c r="B4" s="2434" t="str">
        <f>'Single Audit Cover'!A4</f>
        <v>Year Ending June 30, 2019</v>
      </c>
      <c r="C4" s="2434"/>
      <c r="D4" s="2434"/>
      <c r="E4" s="2434"/>
      <c r="F4" s="2434"/>
      <c r="G4" s="2434"/>
      <c r="H4" s="2434"/>
      <c r="I4" s="2434"/>
      <c r="J4" s="2434"/>
      <c r="K4" s="2434"/>
      <c r="L4" s="2434"/>
      <c r="M4" s="2434"/>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Germantown Hills SD 69</v>
      </c>
      <c r="B1" s="2436"/>
      <c r="C1" s="2436"/>
      <c r="D1" s="2436"/>
      <c r="E1" s="2436"/>
      <c r="F1" s="2436"/>
    </row>
    <row r="2" spans="1:7" ht="13.5" customHeight="1" x14ac:dyDescent="0.2">
      <c r="A2" s="2432">
        <f>'Single Audit Cover'!E7</f>
        <v>53102069002</v>
      </c>
      <c r="B2" s="2432"/>
      <c r="C2" s="2432"/>
      <c r="D2" s="2432"/>
      <c r="E2" s="2432"/>
      <c r="F2" s="2432"/>
      <c r="G2" s="1268"/>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69" t="s">
        <v>1728</v>
      </c>
      <c r="C6" s="317"/>
      <c r="D6" s="317"/>
    </row>
    <row r="7" spans="1:7" ht="60.95" customHeight="1" x14ac:dyDescent="0.2">
      <c r="A7" s="2435" t="s">
        <v>1729</v>
      </c>
      <c r="B7" s="2435"/>
      <c r="C7" s="2435"/>
      <c r="D7" s="2435"/>
      <c r="E7" s="2435"/>
      <c r="F7" s="2435"/>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35" t="s">
        <v>1731</v>
      </c>
      <c r="B13" s="2435"/>
      <c r="C13" s="2435"/>
      <c r="D13" s="2435"/>
      <c r="E13" s="2435"/>
      <c r="F13" s="2435"/>
    </row>
    <row r="14" spans="1:7" ht="9.75" customHeight="1" x14ac:dyDescent="0.2">
      <c r="C14" s="1253"/>
      <c r="D14" s="1253"/>
    </row>
    <row r="15" spans="1:7" ht="13.5" customHeight="1" x14ac:dyDescent="0.2">
      <c r="C15" s="1842" t="s">
        <v>1270</v>
      </c>
      <c r="D15" s="2440" t="s">
        <v>1269</v>
      </c>
      <c r="E15" s="2440"/>
      <c r="F15" s="2440"/>
    </row>
    <row r="16" spans="1:7" ht="13.5" customHeight="1" x14ac:dyDescent="0.2">
      <c r="A16" s="1275"/>
      <c r="B16" s="1269" t="s">
        <v>1268</v>
      </c>
      <c r="C16" s="1842" t="s">
        <v>1267</v>
      </c>
      <c r="D16" s="2441" t="s">
        <v>1588</v>
      </c>
      <c r="E16" s="2441"/>
      <c r="F16" s="2441"/>
    </row>
    <row r="17" spans="1:6" ht="20.45" customHeight="1" x14ac:dyDescent="0.2">
      <c r="A17" s="1276"/>
      <c r="B17" s="1277"/>
      <c r="C17" s="1278"/>
      <c r="D17" s="2439"/>
      <c r="E17" s="2439"/>
      <c r="F17" s="2439"/>
    </row>
    <row r="18" spans="1:6" ht="20.65" customHeight="1" x14ac:dyDescent="0.2">
      <c r="A18" s="1276"/>
      <c r="B18" s="1277"/>
      <c r="C18" s="1278"/>
      <c r="D18" s="2439"/>
      <c r="E18" s="2439"/>
      <c r="F18" s="2439"/>
    </row>
    <row r="19" spans="1:6" ht="20.65" customHeight="1" x14ac:dyDescent="0.2">
      <c r="A19" s="1276"/>
      <c r="B19" s="1277"/>
      <c r="C19" s="1278"/>
      <c r="D19" s="2439"/>
      <c r="E19" s="2439"/>
      <c r="F19" s="2439"/>
    </row>
    <row r="20" spans="1:6" ht="20.65" customHeight="1" x14ac:dyDescent="0.2">
      <c r="A20" s="1276"/>
      <c r="B20" s="1277"/>
      <c r="C20" s="1278"/>
      <c r="D20" s="2439"/>
      <c r="E20" s="2439"/>
      <c r="F20" s="2439"/>
    </row>
    <row r="21" spans="1:6" ht="20.65" customHeight="1" x14ac:dyDescent="0.2">
      <c r="A21" s="1276"/>
      <c r="B21" s="1277"/>
      <c r="C21" s="1278"/>
      <c r="D21" s="2439"/>
      <c r="E21" s="2439"/>
      <c r="F21" s="2439"/>
    </row>
    <row r="22" spans="1:6" ht="20.65" customHeight="1" x14ac:dyDescent="0.2">
      <c r="A22" s="1276"/>
      <c r="B22" s="1277"/>
      <c r="C22" s="1278"/>
      <c r="D22" s="2439"/>
      <c r="E22" s="2439"/>
      <c r="F22" s="2439"/>
    </row>
    <row r="23" spans="1:6" ht="20.65" customHeight="1" x14ac:dyDescent="0.2">
      <c r="A23" s="1276"/>
      <c r="B23" s="1277"/>
      <c r="C23" s="1278"/>
      <c r="D23" s="2439"/>
      <c r="E23" s="2439"/>
      <c r="F23" s="2439"/>
    </row>
    <row r="24" spans="1:6" ht="20.65" customHeight="1" x14ac:dyDescent="0.2">
      <c r="A24" s="1276"/>
      <c r="B24" s="1277"/>
      <c r="C24" s="1278"/>
      <c r="D24" s="2439"/>
      <c r="E24" s="2439"/>
      <c r="F24" s="2439"/>
    </row>
    <row r="25" spans="1:6" ht="20.65" customHeight="1" x14ac:dyDescent="0.2">
      <c r="A25" s="1276"/>
      <c r="B25" s="1277"/>
      <c r="C25" s="1278"/>
      <c r="D25" s="2439"/>
      <c r="E25" s="2439"/>
      <c r="F25" s="2439"/>
    </row>
    <row r="26" spans="1:6" ht="20.65" customHeight="1" x14ac:dyDescent="0.2">
      <c r="A26" s="1276"/>
      <c r="B26" s="1277"/>
      <c r="C26" s="1278"/>
      <c r="D26" s="2439"/>
      <c r="E26" s="2439"/>
      <c r="F26" s="2439"/>
    </row>
    <row r="27" spans="1:6" ht="20.65" customHeight="1" x14ac:dyDescent="0.2">
      <c r="A27" s="1276"/>
      <c r="B27" s="1277"/>
      <c r="C27" s="1278"/>
      <c r="D27" s="2439"/>
      <c r="E27" s="2439"/>
      <c r="F27" s="2439"/>
    </row>
    <row r="28" spans="1:6" ht="20.65" customHeight="1" x14ac:dyDescent="0.2">
      <c r="A28" s="1276"/>
      <c r="B28" s="1277"/>
      <c r="C28" s="1278"/>
      <c r="D28" s="2439"/>
      <c r="E28" s="2439"/>
      <c r="F28" s="2439"/>
    </row>
    <row r="29" spans="1:6" ht="20.65" customHeight="1" x14ac:dyDescent="0.2">
      <c r="A29" s="1276"/>
      <c r="B29" s="1277"/>
      <c r="C29" s="1278"/>
      <c r="D29" s="2439"/>
      <c r="E29" s="2439"/>
      <c r="F29" s="2439"/>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43" t="s">
        <v>1732</v>
      </c>
      <c r="B32" s="2443"/>
      <c r="C32" s="2443"/>
      <c r="D32" s="2443"/>
      <c r="E32" s="2443"/>
      <c r="F32" s="2443"/>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44">
        <f>+C33+C34</f>
        <v>0</v>
      </c>
      <c r="F34" s="2445"/>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46" t="s">
        <v>1590</v>
      </c>
      <c r="C49" s="2446"/>
      <c r="D49" s="2446"/>
      <c r="E49" s="1392"/>
    </row>
    <row r="50" spans="1:5" s="1293" customFormat="1" ht="3.75" customHeight="1" x14ac:dyDescent="0.2">
      <c r="A50" s="1292"/>
      <c r="B50" s="1841"/>
      <c r="C50" s="1841"/>
      <c r="D50" s="1841"/>
      <c r="E50" s="1392"/>
    </row>
    <row r="51" spans="1:5" s="1293" customFormat="1" ht="20.25" customHeight="1" x14ac:dyDescent="0.2">
      <c r="A51" s="1294">
        <v>6</v>
      </c>
      <c r="B51" s="2442" t="s">
        <v>1551</v>
      </c>
      <c r="C51" s="2442"/>
      <c r="D51" s="2442"/>
    </row>
    <row r="52" spans="1:5" ht="14.25" customHeight="1" x14ac:dyDescent="0.2">
      <c r="A52" s="1294"/>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2092</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t="s">
        <v>2105</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Germantown Hills SD 69</v>
      </c>
      <c r="C1" s="2452"/>
      <c r="D1" s="2452"/>
      <c r="E1" s="2452"/>
      <c r="F1" s="2452"/>
      <c r="G1" s="2452"/>
      <c r="H1" s="2452"/>
      <c r="I1" s="2452"/>
      <c r="J1" s="1402"/>
    </row>
    <row r="2" spans="2:10" s="317" customFormat="1" ht="12.75" customHeight="1" x14ac:dyDescent="0.2">
      <c r="B2" s="2453">
        <f>'Single Audit Cover'!E7</f>
        <v>53102069002</v>
      </c>
      <c r="C2" s="2454"/>
      <c r="D2" s="2454"/>
      <c r="E2" s="2454"/>
      <c r="F2" s="2454"/>
      <c r="G2" s="2454"/>
      <c r="H2" s="2454"/>
      <c r="I2" s="2454"/>
      <c r="J2" s="1402"/>
    </row>
    <row r="3" spans="2:10" s="317" customFormat="1" ht="12.75" customHeight="1" x14ac:dyDescent="0.2">
      <c r="B3" s="2455" t="s">
        <v>1285</v>
      </c>
      <c r="C3" s="2456"/>
      <c r="D3" s="2456"/>
      <c r="E3" s="2456"/>
      <c r="F3" s="2456"/>
      <c r="G3" s="2456"/>
      <c r="H3" s="2456"/>
      <c r="I3" s="2456"/>
      <c r="J3" s="1403"/>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55" t="s">
        <v>1284</v>
      </c>
      <c r="C7" s="2456"/>
      <c r="D7" s="2456"/>
      <c r="E7" s="2456"/>
      <c r="F7" s="2456"/>
      <c r="G7" s="2456"/>
      <c r="H7" s="2456"/>
      <c r="I7" s="2456"/>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57"/>
      <c r="D11" s="2457"/>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58"/>
      <c r="E29" s="2458"/>
      <c r="F29" s="2458"/>
      <c r="G29" s="2458"/>
      <c r="H29" s="2458"/>
      <c r="I29" s="2458"/>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59" t="s">
        <v>1751</v>
      </c>
      <c r="D37" s="2460"/>
      <c r="E37" s="2460"/>
      <c r="F37" s="2461"/>
      <c r="G37" s="2459" t="s">
        <v>1592</v>
      </c>
      <c r="H37" s="2460"/>
      <c r="I37" s="2461"/>
    </row>
    <row r="38" spans="2:9" ht="16.5" customHeight="1" x14ac:dyDescent="0.2">
      <c r="B38" s="1424"/>
      <c r="C38" s="2447"/>
      <c r="D38" s="2448"/>
      <c r="E38" s="2448"/>
      <c r="F38" s="2449"/>
      <c r="G38" s="2462"/>
      <c r="H38" s="2463"/>
      <c r="I38" s="2464"/>
    </row>
    <row r="39" spans="2:9" ht="16.5" customHeight="1" x14ac:dyDescent="0.2">
      <c r="B39" s="1424"/>
      <c r="C39" s="2447"/>
      <c r="D39" s="2448"/>
      <c r="E39" s="2448"/>
      <c r="F39" s="2449"/>
      <c r="G39" s="2450"/>
      <c r="H39" s="2450"/>
      <c r="I39" s="2450"/>
    </row>
    <row r="40" spans="2:9" ht="16.5" customHeight="1" x14ac:dyDescent="0.2">
      <c r="B40" s="1424"/>
      <c r="C40" s="2447"/>
      <c r="D40" s="2448"/>
      <c r="E40" s="2448"/>
      <c r="F40" s="2449"/>
      <c r="G40" s="2450"/>
      <c r="H40" s="2450"/>
      <c r="I40" s="2450"/>
    </row>
    <row r="41" spans="2:9" ht="16.5" customHeight="1" x14ac:dyDescent="0.2">
      <c r="B41" s="1424"/>
      <c r="C41" s="2447"/>
      <c r="D41" s="2448"/>
      <c r="E41" s="2448"/>
      <c r="F41" s="2449"/>
      <c r="G41" s="2450"/>
      <c r="H41" s="2450"/>
      <c r="I41" s="2450"/>
    </row>
    <row r="42" spans="2:9" ht="16.5" customHeight="1" x14ac:dyDescent="0.2">
      <c r="B42" s="1424"/>
      <c r="C42" s="2447"/>
      <c r="D42" s="2448"/>
      <c r="E42" s="2448"/>
      <c r="F42" s="2449"/>
      <c r="G42" s="2450"/>
      <c r="H42" s="2450"/>
      <c r="I42" s="2450"/>
    </row>
    <row r="43" spans="2:9" ht="16.5" customHeight="1" x14ac:dyDescent="0.2">
      <c r="B43" s="1424"/>
      <c r="C43" s="2465" t="s">
        <v>1593</v>
      </c>
      <c r="D43" s="2466"/>
      <c r="E43" s="2466"/>
      <c r="F43" s="2467"/>
      <c r="G43" s="2468">
        <f>SUM(G38:I42)</f>
        <v>0</v>
      </c>
      <c r="H43" s="2468"/>
      <c r="I43" s="2468"/>
    </row>
    <row r="44" spans="2:9" ht="12.75" customHeight="1" x14ac:dyDescent="0.2"/>
    <row r="45" spans="2:9" ht="12.75" customHeight="1" x14ac:dyDescent="0.2">
      <c r="B45" s="1415" t="s">
        <v>1841</v>
      </c>
      <c r="D45" s="2469">
        <v>0</v>
      </c>
      <c r="E45" s="2470"/>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71"/>
      <c r="F49" s="2471"/>
      <c r="G49" s="2471"/>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Germantown Hills SD 69</v>
      </c>
      <c r="C1" s="2451"/>
      <c r="D1" s="2451"/>
      <c r="E1" s="2451"/>
      <c r="F1" s="2451"/>
      <c r="G1" s="2451"/>
      <c r="H1" s="2451"/>
      <c r="I1" s="2451"/>
      <c r="J1" s="2451"/>
      <c r="K1" s="2451"/>
      <c r="L1" s="1367"/>
      <c r="M1" s="1367"/>
    </row>
    <row r="2" spans="1:13" ht="12" customHeight="1" x14ac:dyDescent="0.2">
      <c r="B2" s="2453">
        <f>'Single Audit Cover'!E7</f>
        <v>53102069002</v>
      </c>
      <c r="C2" s="2453"/>
      <c r="D2" s="2453"/>
      <c r="E2" s="2453"/>
      <c r="F2" s="2453"/>
      <c r="G2" s="2453"/>
      <c r="H2" s="2453"/>
      <c r="I2" s="2453"/>
      <c r="J2" s="2453"/>
      <c r="K2" s="2453"/>
      <c r="L2" s="1368"/>
      <c r="M2" s="1369"/>
    </row>
    <row r="3" spans="1:13" ht="10.35" customHeight="1" x14ac:dyDescent="0.2">
      <c r="B3" s="2474" t="s">
        <v>1285</v>
      </c>
      <c r="C3" s="2474"/>
      <c r="D3" s="2474"/>
      <c r="E3" s="2474"/>
      <c r="F3" s="2474"/>
      <c r="G3" s="2474"/>
      <c r="H3" s="2474"/>
      <c r="I3" s="2474"/>
      <c r="J3" s="2474"/>
      <c r="K3" s="2474"/>
      <c r="L3" s="1370"/>
      <c r="M3" s="1370"/>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75" t="s">
        <v>1296</v>
      </c>
      <c r="C7" s="2475"/>
      <c r="D7" s="2476"/>
      <c r="E7" s="2476"/>
      <c r="F7" s="2476"/>
      <c r="G7" s="2476"/>
      <c r="H7" s="2476"/>
      <c r="I7" s="2476"/>
      <c r="J7" s="2476"/>
      <c r="K7" s="2476"/>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73"/>
      <c r="C14" s="2473"/>
      <c r="D14" s="2473"/>
      <c r="E14" s="2473"/>
      <c r="F14" s="2473"/>
      <c r="G14" s="2473"/>
      <c r="H14" s="2473"/>
      <c r="I14" s="2473"/>
      <c r="J14" s="2473"/>
      <c r="K14" s="2473"/>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73"/>
      <c r="C17" s="2473"/>
      <c r="D17" s="2473"/>
      <c r="E17" s="2473"/>
      <c r="F17" s="2473"/>
      <c r="G17" s="2473"/>
      <c r="H17" s="2473"/>
      <c r="I17" s="2473"/>
      <c r="J17" s="2473"/>
      <c r="K17" s="2473"/>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77"/>
      <c r="C20" s="2477"/>
      <c r="D20" s="2473"/>
      <c r="E20" s="2473"/>
      <c r="F20" s="2473"/>
      <c r="G20" s="2473"/>
      <c r="H20" s="2473"/>
      <c r="I20" s="2473"/>
      <c r="J20" s="2473"/>
      <c r="K20" s="2473"/>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73"/>
      <c r="C23" s="2473"/>
      <c r="D23" s="2473"/>
      <c r="E23" s="2473"/>
      <c r="F23" s="2473"/>
      <c r="G23" s="2473"/>
      <c r="H23" s="2473"/>
      <c r="I23" s="2473"/>
      <c r="J23" s="2473"/>
      <c r="K23" s="2473"/>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73"/>
      <c r="C26" s="2473"/>
      <c r="D26" s="2473"/>
      <c r="E26" s="2473"/>
      <c r="F26" s="2473"/>
      <c r="G26" s="2473"/>
      <c r="H26" s="2473"/>
      <c r="I26" s="2473"/>
      <c r="J26" s="2473"/>
      <c r="K26" s="2473"/>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72"/>
      <c r="C29" s="2472"/>
      <c r="D29" s="2473"/>
      <c r="E29" s="2473"/>
      <c r="F29" s="2473"/>
      <c r="G29" s="2473"/>
      <c r="H29" s="2473"/>
      <c r="I29" s="2473"/>
      <c r="J29" s="2473"/>
      <c r="K29" s="2473"/>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72"/>
      <c r="C32" s="2472"/>
      <c r="D32" s="2473"/>
      <c r="E32" s="2473"/>
      <c r="F32" s="2473"/>
      <c r="G32" s="2473"/>
      <c r="H32" s="2473"/>
      <c r="I32" s="2473"/>
      <c r="J32" s="2473"/>
      <c r="K32" s="2473"/>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Germantown Hills SD 69</v>
      </c>
      <c r="C1" s="2478"/>
      <c r="D1" s="2478"/>
      <c r="E1" s="2478"/>
      <c r="F1" s="2478"/>
      <c r="G1" s="2478"/>
      <c r="H1" s="2478"/>
      <c r="I1" s="2478"/>
      <c r="J1" s="2478"/>
      <c r="K1" s="2478"/>
      <c r="L1" s="1445"/>
    </row>
    <row r="2" spans="1:12" ht="12.75" customHeight="1" x14ac:dyDescent="0.2">
      <c r="B2" s="2479">
        <f>'Single Audit Cover'!E7</f>
        <v>53102069002</v>
      </c>
      <c r="C2" s="2479"/>
      <c r="D2" s="2479"/>
      <c r="E2" s="2479"/>
      <c r="F2" s="2479"/>
      <c r="G2" s="2479"/>
      <c r="H2" s="2479"/>
      <c r="I2" s="2479"/>
      <c r="J2" s="2479"/>
      <c r="K2" s="2479"/>
      <c r="L2" s="1446"/>
    </row>
    <row r="3" spans="1:12" ht="12.75" customHeight="1" x14ac:dyDescent="0.2">
      <c r="B3" s="2474" t="s">
        <v>1285</v>
      </c>
      <c r="C3" s="2474"/>
      <c r="D3" s="2474"/>
      <c r="E3" s="2474"/>
      <c r="F3" s="2474"/>
      <c r="G3" s="2474"/>
      <c r="H3" s="2474"/>
      <c r="I3" s="2474"/>
      <c r="J3" s="2474"/>
      <c r="K3" s="2474"/>
      <c r="L3" s="1370"/>
    </row>
    <row r="4" spans="1:12" ht="12.75" customHeight="1" x14ac:dyDescent="0.2">
      <c r="B4" s="2474" t="str">
        <f>'Single Audit Cover'!A4</f>
        <v>Year Ending June 30, 2019</v>
      </c>
      <c r="C4" s="2474"/>
      <c r="D4" s="2474"/>
      <c r="E4" s="2474"/>
      <c r="F4" s="2474"/>
      <c r="G4" s="2474"/>
      <c r="H4" s="2474"/>
      <c r="I4" s="2474"/>
      <c r="J4" s="2474"/>
      <c r="K4" s="2474"/>
      <c r="L4" s="1370"/>
    </row>
    <row r="5" spans="1:12" ht="5.25" customHeight="1" x14ac:dyDescent="0.2">
      <c r="B5" s="1253" t="s">
        <v>1169</v>
      </c>
      <c r="C5" s="1253"/>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58"/>
      <c r="G12" s="2458"/>
      <c r="H12" s="2458"/>
      <c r="I12" s="2458"/>
      <c r="J12" s="2458"/>
      <c r="K12" s="2458"/>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481"/>
      <c r="E14" s="2481"/>
      <c r="F14" s="2481"/>
      <c r="H14" s="1455" t="s">
        <v>1303</v>
      </c>
      <c r="I14" s="2482"/>
      <c r="J14" s="2482"/>
      <c r="K14" s="2482"/>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482"/>
      <c r="E16" s="2482"/>
      <c r="F16" s="2482"/>
      <c r="G16" s="2482"/>
      <c r="H16" s="2482"/>
      <c r="I16" s="2482"/>
      <c r="J16" s="2482"/>
      <c r="K16" s="2482"/>
      <c r="L16" s="322"/>
    </row>
    <row r="17" spans="2:12" ht="13.5" customHeight="1" x14ac:dyDescent="0.2">
      <c r="B17" s="1380" t="s">
        <v>1301</v>
      </c>
      <c r="C17" s="1380"/>
      <c r="D17" s="2483"/>
      <c r="E17" s="2483"/>
      <c r="F17" s="2483"/>
      <c r="G17" s="2483"/>
      <c r="H17" s="2483"/>
      <c r="I17" s="2483"/>
      <c r="J17" s="2483"/>
      <c r="K17" s="2483"/>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73"/>
      <c r="C20" s="2473"/>
      <c r="D20" s="2473"/>
      <c r="E20" s="2473"/>
      <c r="F20" s="2473"/>
      <c r="G20" s="2473"/>
      <c r="H20" s="2473"/>
      <c r="I20" s="2473"/>
      <c r="J20" s="2473"/>
      <c r="K20" s="2473"/>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51" t="str">
        <f>'Single Audit Cover'!A7</f>
        <v>Germantown Hills SD 69</v>
      </c>
      <c r="C1" s="2451"/>
      <c r="D1" s="2451"/>
      <c r="E1" s="1465"/>
    </row>
    <row r="2" spans="2:5" s="1275" customFormat="1" ht="12.75" customHeight="1" x14ac:dyDescent="0.2">
      <c r="B2" s="2453">
        <f>'Single Audit Cover'!E7</f>
        <v>53102069002</v>
      </c>
      <c r="C2" s="2453"/>
      <c r="D2" s="2453"/>
      <c r="E2" s="1466"/>
    </row>
    <row r="3" spans="2:5" ht="12.75" customHeight="1" x14ac:dyDescent="0.2">
      <c r="B3" s="2474" t="s">
        <v>1766</v>
      </c>
      <c r="C3" s="2474"/>
      <c r="D3" s="2474"/>
      <c r="E3" s="1267"/>
    </row>
    <row r="4" spans="2:5" s="1275" customFormat="1" ht="12.75" customHeight="1" x14ac:dyDescent="0.2">
      <c r="B4" s="2484" t="str">
        <f>'Single Audit Cover'!A4</f>
        <v>Year Ending June 30, 2019</v>
      </c>
      <c r="C4" s="2484"/>
      <c r="D4" s="2484"/>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2088</v>
      </c>
      <c r="C7" s="324"/>
      <c r="D7" s="324"/>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163034345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1.7299999999999999E-2</v>
      </c>
      <c r="E10" s="356" t="s">
        <v>1005</v>
      </c>
      <c r="F10" s="355">
        <v>3.0669999999999998E-3</v>
      </c>
      <c r="G10" s="356" t="s">
        <v>1005</v>
      </c>
      <c r="H10" s="355">
        <v>1.1999999999999999E-3</v>
      </c>
      <c r="I10" s="356" t="s">
        <v>1006</v>
      </c>
      <c r="J10" s="1728">
        <f>ROUND(D10+F10+H10,5)</f>
        <v>2.1569999999999999E-2</v>
      </c>
      <c r="K10" s="222"/>
      <c r="L10" s="355">
        <v>0</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6852904</v>
      </c>
      <c r="E16" s="356"/>
      <c r="F16" s="1729">
        <f>SUM('Acct Summary 7-8'!C17,'Acct Summary 7-8'!D17,'Acct Summary 7-8'!F17)</f>
        <v>6561231</v>
      </c>
      <c r="G16" s="356"/>
      <c r="H16" s="1729">
        <f>SUM(D16-F16)</f>
        <v>291673</v>
      </c>
      <c r="I16" s="222"/>
      <c r="J16" s="1729">
        <f>SUM('Acct Summary 7-8'!C81,'Acct Summary 7-8'!D81,'Acct Summary 7-8'!F81,'Acct Summary 7-8'!I81)</f>
        <v>7022651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2082</v>
      </c>
      <c r="C31" s="367" t="s">
        <v>586</v>
      </c>
      <c r="D31" s="237" t="s">
        <v>1072</v>
      </c>
      <c r="E31" s="222"/>
      <c r="F31" s="222"/>
      <c r="G31" s="363"/>
      <c r="H31" s="1731">
        <f>IF(B31="X",(J7*0.069),IF(B32="X",(J7*0.138),"Enter x in a.or b."))</f>
        <v>11249369.805000002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6119696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Germantown Hills SD 69</v>
      </c>
      <c r="E7" s="391"/>
      <c r="G7" s="252"/>
      <c r="H7" s="387"/>
      <c r="I7" s="387"/>
      <c r="J7" s="387"/>
      <c r="K7" s="387"/>
      <c r="L7" s="329"/>
      <c r="M7" s="329"/>
      <c r="N7" s="329"/>
      <c r="O7" s="329"/>
      <c r="P7" s="329"/>
    </row>
    <row r="8" spans="1:18" ht="12.75" x14ac:dyDescent="0.2">
      <c r="A8" s="329"/>
      <c r="B8" s="329"/>
      <c r="C8" s="389" t="s">
        <v>1125</v>
      </c>
      <c r="D8" s="392">
        <f>COVER!A13</f>
        <v>53102069002</v>
      </c>
      <c r="E8" s="393"/>
      <c r="G8" s="329"/>
      <c r="H8" s="329"/>
      <c r="I8" s="329"/>
      <c r="J8" s="329"/>
      <c r="K8" s="329"/>
      <c r="L8" s="329"/>
      <c r="M8" s="329"/>
      <c r="N8" s="329"/>
      <c r="O8" s="329"/>
      <c r="P8" s="329"/>
    </row>
    <row r="9" spans="1:18" ht="12.75" x14ac:dyDescent="0.2">
      <c r="A9" s="329"/>
      <c r="B9" s="329"/>
      <c r="C9" s="389" t="s">
        <v>713</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7022651</v>
      </c>
      <c r="I12" s="404"/>
      <c r="J12" s="404"/>
      <c r="K12" s="405">
        <f>TRUNC((H12/H13*100000),5)/100000</f>
        <v>1.0247700827999999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6852904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6561231</v>
      </c>
      <c r="I17" s="404"/>
      <c r="J17" s="416"/>
      <c r="K17" s="405">
        <f>TRUNC((H17/H18*100000),5)/100000</f>
        <v>0.95743804369999996</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6852904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6862651</v>
      </c>
      <c r="I24" s="422"/>
      <c r="J24" s="422"/>
      <c r="K24" s="423">
        <f>TRUNC(((H24/H25*100000)/100000),2)</f>
        <v>376.53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18225.641670000001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2989153.1984000001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6119696</v>
      </c>
      <c r="I32" s="420"/>
      <c r="J32" s="420"/>
      <c r="K32" s="423">
        <f>TRUNC(100-((((H32/H33*100))*100)/100),2)</f>
        <v>45.59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11249369.805000002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H13" sqref="H13"/>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5"/>
      <c r="D3" s="1556"/>
      <c r="E3" s="1556"/>
      <c r="F3" s="1556"/>
      <c r="G3" s="1556"/>
      <c r="H3" s="1556"/>
      <c r="I3" s="1556"/>
      <c r="J3" s="1556"/>
      <c r="K3" s="1556"/>
      <c r="L3" s="1556"/>
      <c r="M3" s="1557"/>
      <c r="N3" s="1558"/>
    </row>
    <row r="4" spans="1:14" ht="13.5" customHeight="1" x14ac:dyDescent="0.2">
      <c r="A4" s="463" t="s">
        <v>1651</v>
      </c>
      <c r="B4" s="464"/>
      <c r="C4" s="465">
        <v>3116006</v>
      </c>
      <c r="D4" s="465">
        <v>2378299</v>
      </c>
      <c r="E4" s="465">
        <v>364752</v>
      </c>
      <c r="F4" s="465">
        <v>500498</v>
      </c>
      <c r="G4" s="465">
        <v>134407</v>
      </c>
      <c r="H4" s="465">
        <v>0</v>
      </c>
      <c r="I4" s="465">
        <v>867848</v>
      </c>
      <c r="J4" s="465">
        <v>56288</v>
      </c>
      <c r="K4" s="465">
        <v>16218</v>
      </c>
      <c r="L4" s="465">
        <v>78837</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160000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3116006</v>
      </c>
      <c r="D13" s="1733">
        <f t="shared" ref="D13:L13" si="0">SUM(D4:D12)</f>
        <v>2378299</v>
      </c>
      <c r="E13" s="1733">
        <f t="shared" si="0"/>
        <v>364752</v>
      </c>
      <c r="F13" s="1733">
        <f t="shared" si="0"/>
        <v>500498</v>
      </c>
      <c r="G13" s="1733">
        <f t="shared" si="0"/>
        <v>134407</v>
      </c>
      <c r="H13" s="1733">
        <f t="shared" si="0"/>
        <v>0</v>
      </c>
      <c r="I13" s="1733">
        <f t="shared" si="0"/>
        <v>1027848</v>
      </c>
      <c r="J13" s="1733">
        <f t="shared" si="0"/>
        <v>56288</v>
      </c>
      <c r="K13" s="1733">
        <f t="shared" si="0"/>
        <v>16218</v>
      </c>
      <c r="L13" s="1733">
        <f t="shared" si="0"/>
        <v>78837</v>
      </c>
      <c r="M13" s="468"/>
      <c r="N13" s="469"/>
    </row>
    <row r="14" spans="1:14" ht="18" customHeight="1" thickTop="1" x14ac:dyDescent="0.2">
      <c r="A14" s="2108" t="s">
        <v>147</v>
      </c>
      <c r="B14" s="2109"/>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137521</v>
      </c>
      <c r="N16" s="482"/>
    </row>
    <row r="17" spans="1:14" s="483" customFormat="1" ht="12.75" customHeight="1" x14ac:dyDescent="0.2">
      <c r="A17" s="480" t="s">
        <v>1403</v>
      </c>
      <c r="B17" s="481">
        <v>230</v>
      </c>
      <c r="C17" s="475"/>
      <c r="D17" s="475"/>
      <c r="E17" s="475"/>
      <c r="F17" s="475"/>
      <c r="G17" s="475"/>
      <c r="H17" s="475"/>
      <c r="I17" s="475"/>
      <c r="J17" s="475"/>
      <c r="K17" s="475"/>
      <c r="L17" s="475"/>
      <c r="M17" s="465">
        <v>18194621</v>
      </c>
      <c r="N17" s="482"/>
    </row>
    <row r="18" spans="1:14" s="483" customFormat="1" ht="12.75" customHeight="1" x14ac:dyDescent="0.2">
      <c r="A18" s="480" t="s">
        <v>1404</v>
      </c>
      <c r="B18" s="481">
        <v>240</v>
      </c>
      <c r="C18" s="475"/>
      <c r="D18" s="475"/>
      <c r="E18" s="475"/>
      <c r="F18" s="475"/>
      <c r="G18" s="475"/>
      <c r="H18" s="475"/>
      <c r="I18" s="475"/>
      <c r="J18" s="475"/>
      <c r="K18" s="475"/>
      <c r="L18" s="475"/>
      <c r="M18" s="465">
        <v>134560</v>
      </c>
      <c r="N18" s="482"/>
    </row>
    <row r="19" spans="1:14" s="483" customFormat="1" ht="12.75" customHeight="1" x14ac:dyDescent="0.2">
      <c r="A19" s="480" t="s">
        <v>1405</v>
      </c>
      <c r="B19" s="481">
        <v>250</v>
      </c>
      <c r="C19" s="475"/>
      <c r="D19" s="475"/>
      <c r="E19" s="475"/>
      <c r="F19" s="475"/>
      <c r="G19" s="475"/>
      <c r="H19" s="475"/>
      <c r="I19" s="475"/>
      <c r="J19" s="475"/>
      <c r="K19" s="475"/>
      <c r="L19" s="475"/>
      <c r="M19" s="465">
        <v>1436930</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204752</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5914944</v>
      </c>
    </row>
    <row r="23" spans="1:14" ht="13.5" customHeight="1" thickBot="1" x14ac:dyDescent="0.25">
      <c r="A23" s="1732" t="s">
        <v>643</v>
      </c>
      <c r="B23" s="1737"/>
      <c r="C23" s="468"/>
      <c r="D23" s="468"/>
      <c r="E23" s="468"/>
      <c r="F23" s="468"/>
      <c r="G23" s="468"/>
      <c r="H23" s="468"/>
      <c r="I23" s="468"/>
      <c r="J23" s="468"/>
      <c r="K23" s="468"/>
      <c r="L23" s="468"/>
      <c r="M23" s="1684">
        <f>SUM(M15:M22)</f>
        <v>19903632</v>
      </c>
      <c r="N23" s="1684">
        <f>SUM(N21:N22)</f>
        <v>6119696</v>
      </c>
    </row>
    <row r="24" spans="1:14" ht="18" customHeight="1" thickTop="1" x14ac:dyDescent="0.2">
      <c r="A24" s="2110" t="s">
        <v>598</v>
      </c>
      <c r="B24" s="2111"/>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160000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68838</v>
      </c>
      <c r="M33" s="468"/>
      <c r="N33" s="469"/>
    </row>
    <row r="34" spans="1:14" ht="13.5" customHeight="1" thickBot="1" x14ac:dyDescent="0.25">
      <c r="A34" s="1734" t="s">
        <v>654</v>
      </c>
      <c r="B34" s="1735"/>
      <c r="C34" s="1736">
        <f>SUM(C25:C33)</f>
        <v>0</v>
      </c>
      <c r="D34" s="1736">
        <f t="shared" ref="D34:K34" si="1">SUM(D25:D33)</f>
        <v>0</v>
      </c>
      <c r="E34" s="1736">
        <f t="shared" si="1"/>
        <v>160000</v>
      </c>
      <c r="F34" s="1736">
        <f t="shared" si="1"/>
        <v>0</v>
      </c>
      <c r="G34" s="1736">
        <f t="shared" si="1"/>
        <v>0</v>
      </c>
      <c r="H34" s="1736">
        <f t="shared" si="1"/>
        <v>0</v>
      </c>
      <c r="I34" s="1736">
        <f t="shared" si="1"/>
        <v>0</v>
      </c>
      <c r="J34" s="1736">
        <f t="shared" si="1"/>
        <v>0</v>
      </c>
      <c r="K34" s="1736">
        <f t="shared" si="1"/>
        <v>0</v>
      </c>
      <c r="L34" s="1717">
        <f>SUM(L33)</f>
        <v>68838</v>
      </c>
      <c r="M34" s="468"/>
      <c r="N34" s="478"/>
    </row>
    <row r="35" spans="1:14" ht="18" customHeight="1" thickTop="1" x14ac:dyDescent="0.2">
      <c r="A35" s="2112" t="s">
        <v>529</v>
      </c>
      <c r="B35" s="2113"/>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6119696</v>
      </c>
    </row>
    <row r="37" spans="1:14" ht="13.5" thickBot="1" x14ac:dyDescent="0.25">
      <c r="A37" s="1732" t="s">
        <v>653</v>
      </c>
      <c r="B37" s="1737"/>
      <c r="C37" s="475"/>
      <c r="D37" s="475"/>
      <c r="E37" s="475"/>
      <c r="F37" s="475"/>
      <c r="G37" s="475"/>
      <c r="H37" s="475"/>
      <c r="I37" s="475"/>
      <c r="J37" s="475"/>
      <c r="K37" s="475"/>
      <c r="L37" s="478"/>
      <c r="M37" s="468"/>
      <c r="N37" s="1684">
        <f>SUM(N36:N36)</f>
        <v>6119696</v>
      </c>
    </row>
    <row r="38" spans="1:14" s="329" customFormat="1" ht="13.5" customHeight="1" thickTop="1" x14ac:dyDescent="0.2">
      <c r="A38" s="493" t="s">
        <v>420</v>
      </c>
      <c r="B38" s="481">
        <v>714</v>
      </c>
      <c r="C38" s="465">
        <v>0</v>
      </c>
      <c r="D38" s="465">
        <v>0</v>
      </c>
      <c r="E38" s="465">
        <v>170483</v>
      </c>
      <c r="F38" s="465">
        <v>0</v>
      </c>
      <c r="G38" s="465">
        <v>70924</v>
      </c>
      <c r="H38" s="465">
        <v>0</v>
      </c>
      <c r="I38" s="465">
        <v>0</v>
      </c>
      <c r="J38" s="465">
        <v>0</v>
      </c>
      <c r="K38" s="465">
        <v>0</v>
      </c>
      <c r="L38" s="465">
        <v>9999</v>
      </c>
      <c r="M38" s="494"/>
      <c r="N38" s="494"/>
    </row>
    <row r="39" spans="1:14" s="329" customFormat="1" ht="13.5" customHeight="1" x14ac:dyDescent="0.2">
      <c r="A39" s="493" t="s">
        <v>342</v>
      </c>
      <c r="B39" s="481">
        <v>730</v>
      </c>
      <c r="C39" s="465">
        <v>3116006</v>
      </c>
      <c r="D39" s="465">
        <v>2378299</v>
      </c>
      <c r="E39" s="465">
        <v>34269</v>
      </c>
      <c r="F39" s="465">
        <v>500498</v>
      </c>
      <c r="G39" s="465">
        <v>63483</v>
      </c>
      <c r="H39" s="465">
        <v>0</v>
      </c>
      <c r="I39" s="465">
        <v>1027848</v>
      </c>
      <c r="J39" s="465">
        <v>56288</v>
      </c>
      <c r="K39" s="465">
        <v>16218</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19903632</v>
      </c>
      <c r="N40" s="494"/>
    </row>
    <row r="41" spans="1:14" ht="13.5" customHeight="1" thickBot="1" x14ac:dyDescent="0.25">
      <c r="A41" s="1732" t="s">
        <v>655</v>
      </c>
      <c r="B41" s="1702"/>
      <c r="C41" s="1684">
        <f>(SUM(C34,C37,C38,C39))</f>
        <v>3116006</v>
      </c>
      <c r="D41" s="1684">
        <f t="shared" ref="D41:L41" si="2">SUM(D34,D37,D38:D39)</f>
        <v>2378299</v>
      </c>
      <c r="E41" s="1684">
        <f t="shared" si="2"/>
        <v>364752</v>
      </c>
      <c r="F41" s="1684">
        <f t="shared" si="2"/>
        <v>500498</v>
      </c>
      <c r="G41" s="1684">
        <f t="shared" si="2"/>
        <v>134407</v>
      </c>
      <c r="H41" s="1684">
        <f t="shared" si="2"/>
        <v>0</v>
      </c>
      <c r="I41" s="1684">
        <f t="shared" si="2"/>
        <v>1027848</v>
      </c>
      <c r="J41" s="1684">
        <f t="shared" si="2"/>
        <v>56288</v>
      </c>
      <c r="K41" s="1684">
        <f t="shared" si="2"/>
        <v>16218</v>
      </c>
      <c r="L41" s="1684">
        <f t="shared" si="2"/>
        <v>78837</v>
      </c>
      <c r="M41" s="1684">
        <f>SUM(M40)</f>
        <v>19903632</v>
      </c>
      <c r="N41" s="1684">
        <f>SUM(N37)</f>
        <v>6119696</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H13" sqref="H1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4" t="s">
        <v>1175</v>
      </c>
      <c r="B3" s="2135"/>
      <c r="C3" s="1569"/>
      <c r="D3" s="1570"/>
      <c r="E3" s="1570"/>
      <c r="F3" s="1570"/>
      <c r="G3" s="1570"/>
      <c r="H3" s="1570"/>
      <c r="I3" s="1570"/>
      <c r="J3" s="1570"/>
      <c r="K3" s="1571"/>
      <c r="L3" s="503"/>
    </row>
    <row r="4" spans="1:13" ht="15.75" customHeight="1" x14ac:dyDescent="0.2">
      <c r="A4" s="1924" t="s">
        <v>1499</v>
      </c>
      <c r="B4" s="1925">
        <v>1000</v>
      </c>
      <c r="C4" s="1738">
        <f>'Revenues 9-14'!C109</f>
        <v>3407472</v>
      </c>
      <c r="D4" s="1738">
        <f>'Revenues 9-14'!D109</f>
        <v>648168</v>
      </c>
      <c r="E4" s="1738">
        <f>'Revenues 9-14'!E109</f>
        <v>1269423</v>
      </c>
      <c r="F4" s="1738">
        <f>'Revenues 9-14'!F109</f>
        <v>209749</v>
      </c>
      <c r="G4" s="1738">
        <f>'Revenues 9-14'!G109</f>
        <v>188195</v>
      </c>
      <c r="H4" s="1738">
        <f>'Revenues 9-14'!H109</f>
        <v>0</v>
      </c>
      <c r="I4" s="1738">
        <f>'Revenues 9-14'!I109</f>
        <v>19981</v>
      </c>
      <c r="J4" s="1738">
        <f>'Revenues 9-14'!J109</f>
        <v>285619</v>
      </c>
      <c r="K4" s="1738">
        <f>'Revenues 9-14'!K109</f>
        <v>339</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2019565</v>
      </c>
      <c r="D6" s="1739">
        <f>'Revenues 9-14'!D170</f>
        <v>0</v>
      </c>
      <c r="E6" s="1739">
        <f>'Revenues 9-14'!E170</f>
        <v>0</v>
      </c>
      <c r="F6" s="1739">
        <f>'Revenues 9-14'!F170</f>
        <v>183901</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362274</v>
      </c>
      <c r="D7" s="1739">
        <f>'Revenues 9-14'!D267</f>
        <v>0</v>
      </c>
      <c r="E7" s="1739">
        <f>'Revenues 9-14'!E267</f>
        <v>0</v>
      </c>
      <c r="F7" s="1739">
        <f>'Revenues 9-14'!F267</f>
        <v>1794</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5789311</v>
      </c>
      <c r="D8" s="1684">
        <f t="shared" ref="D8:K8" si="0">SUM(D4:D7)</f>
        <v>648168</v>
      </c>
      <c r="E8" s="1684">
        <f t="shared" si="0"/>
        <v>1269423</v>
      </c>
      <c r="F8" s="1684">
        <f t="shared" si="0"/>
        <v>395444</v>
      </c>
      <c r="G8" s="1684">
        <f t="shared" si="0"/>
        <v>188195</v>
      </c>
      <c r="H8" s="1684">
        <f t="shared" si="0"/>
        <v>0</v>
      </c>
      <c r="I8" s="1684">
        <f t="shared" si="0"/>
        <v>19981</v>
      </c>
      <c r="J8" s="1684">
        <f t="shared" si="0"/>
        <v>285619</v>
      </c>
      <c r="K8" s="1684">
        <f t="shared" si="0"/>
        <v>339</v>
      </c>
      <c r="L8" s="347"/>
    </row>
    <row r="9" spans="1:13" ht="15.75" thickTop="1" x14ac:dyDescent="0.2">
      <c r="A9" s="511" t="s">
        <v>1653</v>
      </c>
      <c r="B9" s="512">
        <v>3998</v>
      </c>
      <c r="C9" s="465">
        <v>2472265</v>
      </c>
      <c r="D9" s="513"/>
      <c r="E9" s="479"/>
      <c r="F9" s="479"/>
      <c r="G9" s="514"/>
      <c r="H9" s="479"/>
      <c r="I9" s="506" t="s">
        <v>1169</v>
      </c>
      <c r="J9" s="476"/>
      <c r="K9" s="479"/>
      <c r="L9" s="347"/>
    </row>
    <row r="10" spans="1:13" s="516" customFormat="1" ht="13.5" thickBot="1" x14ac:dyDescent="0.25">
      <c r="A10" s="1732" t="s">
        <v>1173</v>
      </c>
      <c r="B10" s="1705"/>
      <c r="C10" s="1684">
        <f>SUM(C8:C9)</f>
        <v>8261576</v>
      </c>
      <c r="D10" s="1684">
        <f t="shared" ref="D10:K10" si="1">SUM(D8:D9)</f>
        <v>648168</v>
      </c>
      <c r="E10" s="1684">
        <f t="shared" si="1"/>
        <v>1269423</v>
      </c>
      <c r="F10" s="1684">
        <f t="shared" si="1"/>
        <v>395444</v>
      </c>
      <c r="G10" s="1684">
        <f t="shared" si="1"/>
        <v>188195</v>
      </c>
      <c r="H10" s="1684">
        <f t="shared" si="1"/>
        <v>0</v>
      </c>
      <c r="I10" s="1684">
        <f t="shared" si="1"/>
        <v>19981</v>
      </c>
      <c r="J10" s="1684">
        <f t="shared" si="1"/>
        <v>285619</v>
      </c>
      <c r="K10" s="1684">
        <f t="shared" si="1"/>
        <v>339</v>
      </c>
      <c r="L10" s="515"/>
    </row>
    <row r="11" spans="1:13" s="516" customFormat="1" ht="16.7" customHeight="1" thickTop="1" x14ac:dyDescent="0.2">
      <c r="A11" s="2108" t="s">
        <v>1176</v>
      </c>
      <c r="B11" s="2109"/>
      <c r="C11" s="1566"/>
      <c r="D11" s="1567"/>
      <c r="E11" s="1567"/>
      <c r="F11" s="1567"/>
      <c r="G11" s="1567"/>
      <c r="H11" s="1567"/>
      <c r="I11" s="1567"/>
      <c r="J11" s="1567"/>
      <c r="K11" s="1568"/>
      <c r="L11" s="515"/>
    </row>
    <row r="12" spans="1:13" ht="15.75" customHeight="1" x14ac:dyDescent="0.2">
      <c r="A12" s="1572" t="s">
        <v>456</v>
      </c>
      <c r="B12" s="1574">
        <v>1000</v>
      </c>
      <c r="C12" s="1738">
        <f>'Expenditures 15-22'!K33</f>
        <v>3895310</v>
      </c>
      <c r="D12" s="517" t="s">
        <v>1169</v>
      </c>
      <c r="E12" s="468" t="s">
        <v>1169</v>
      </c>
      <c r="F12" s="468" t="s">
        <v>1169</v>
      </c>
      <c r="G12" s="1738">
        <f>'Expenditures 15-22'!K229</f>
        <v>72674</v>
      </c>
      <c r="H12" s="518"/>
      <c r="I12" s="468" t="s">
        <v>1169</v>
      </c>
      <c r="J12" s="468" t="s">
        <v>1169</v>
      </c>
      <c r="K12" s="518" t="s">
        <v>1169</v>
      </c>
      <c r="L12" s="347"/>
    </row>
    <row r="13" spans="1:13" ht="15.75" customHeight="1" x14ac:dyDescent="0.2">
      <c r="A13" s="1572" t="s">
        <v>457</v>
      </c>
      <c r="B13" s="1574">
        <v>2000</v>
      </c>
      <c r="C13" s="1739">
        <f>'Expenditures 15-22'!K74</f>
        <v>1276951</v>
      </c>
      <c r="D13" s="1739">
        <f>'Expenditures 15-22'!K129</f>
        <v>488058</v>
      </c>
      <c r="E13" s="469" t="s">
        <v>1169</v>
      </c>
      <c r="F13" s="1739">
        <f>'Expenditures 15-22'!K184</f>
        <v>381653</v>
      </c>
      <c r="G13" s="1739">
        <f>'Expenditures 15-22'!K279</f>
        <v>146311</v>
      </c>
      <c r="H13" s="1739">
        <f>'Expenditures 15-22'!K303</f>
        <v>0</v>
      </c>
      <c r="I13" s="468" t="s">
        <v>1169</v>
      </c>
      <c r="J13" s="1739">
        <f>'Expenditures 15-22'!K330</f>
        <v>277620</v>
      </c>
      <c r="K13" s="1743">
        <f>'Expenditures 15-22'!K352</f>
        <v>14175</v>
      </c>
      <c r="L13" s="347"/>
    </row>
    <row r="14" spans="1:13" ht="15.75" customHeight="1" x14ac:dyDescent="0.2">
      <c r="A14" s="1572" t="s">
        <v>449</v>
      </c>
      <c r="B14" s="1574">
        <v>3000</v>
      </c>
      <c r="C14" s="1739">
        <f>'Expenditures 15-22'!K75</f>
        <v>0</v>
      </c>
      <c r="D14" s="1739">
        <f>'Expenditures 15-22'!K130</f>
        <v>0</v>
      </c>
      <c r="E14" s="517" t="s">
        <v>1169</v>
      </c>
      <c r="F14" s="1739">
        <f>'Expenditures 15-22'!K185</f>
        <v>0</v>
      </c>
      <c r="G14" s="1739">
        <f>'Expenditures 15-22'!K280</f>
        <v>0</v>
      </c>
      <c r="H14" s="509"/>
      <c r="I14" s="468" t="s">
        <v>1169</v>
      </c>
      <c r="J14" s="468" t="s">
        <v>1169</v>
      </c>
      <c r="K14" s="509" t="s">
        <v>1169</v>
      </c>
      <c r="L14" s="347"/>
    </row>
    <row r="15" spans="1:13" ht="15.75" customHeight="1" x14ac:dyDescent="0.2">
      <c r="A15" s="1572" t="s">
        <v>107</v>
      </c>
      <c r="B15" s="1574">
        <v>4000</v>
      </c>
      <c r="C15" s="1739">
        <f>'Expenditures 15-22'!K102</f>
        <v>485717</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1094966</v>
      </c>
      <c r="F16" s="1739">
        <f>'Expenditures 15-22'!K208</f>
        <v>33542</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5657978</v>
      </c>
      <c r="D17" s="1684">
        <f t="shared" si="2"/>
        <v>488058</v>
      </c>
      <c r="E17" s="1684">
        <f t="shared" si="2"/>
        <v>1094966</v>
      </c>
      <c r="F17" s="1684">
        <f t="shared" si="2"/>
        <v>415195</v>
      </c>
      <c r="G17" s="1684">
        <f t="shared" si="2"/>
        <v>218985</v>
      </c>
      <c r="H17" s="1684">
        <f t="shared" si="2"/>
        <v>0</v>
      </c>
      <c r="I17" s="468"/>
      <c r="J17" s="1684">
        <f>SUM(J12:J16)</f>
        <v>277620</v>
      </c>
      <c r="K17" s="1684">
        <f>SUM(K12:K16)</f>
        <v>14175</v>
      </c>
      <c r="L17" s="347"/>
    </row>
    <row r="18" spans="1:12" ht="15" customHeight="1" thickTop="1" x14ac:dyDescent="0.2">
      <c r="A18" s="1740" t="s">
        <v>1654</v>
      </c>
      <c r="B18" s="1741">
        <v>4180</v>
      </c>
      <c r="C18" s="1738">
        <f t="shared" ref="C18:H18" si="3">C9</f>
        <v>2472265</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8130243</v>
      </c>
      <c r="D19" s="1684">
        <f t="shared" si="4"/>
        <v>488058</v>
      </c>
      <c r="E19" s="1684">
        <f t="shared" si="4"/>
        <v>1094966</v>
      </c>
      <c r="F19" s="1684">
        <f t="shared" si="4"/>
        <v>415195</v>
      </c>
      <c r="G19" s="1684">
        <f t="shared" si="4"/>
        <v>218985</v>
      </c>
      <c r="H19" s="1684">
        <f t="shared" si="4"/>
        <v>0</v>
      </c>
      <c r="I19" s="468"/>
      <c r="J19" s="1684">
        <f>SUM(J17:J18)</f>
        <v>277620</v>
      </c>
      <c r="K19" s="1684">
        <f>SUM(K17:K18)</f>
        <v>14175</v>
      </c>
      <c r="L19" s="347"/>
    </row>
    <row r="20" spans="1:12" ht="16.5" thickTop="1" thickBot="1" x14ac:dyDescent="0.25">
      <c r="A20" s="2124" t="s">
        <v>1655</v>
      </c>
      <c r="B20" s="2125"/>
      <c r="C20" s="1742">
        <f>C8-C17</f>
        <v>131333</v>
      </c>
      <c r="D20" s="1742">
        <f t="shared" ref="D20:K20" si="5">D8-D17</f>
        <v>160110</v>
      </c>
      <c r="E20" s="1742">
        <f t="shared" si="5"/>
        <v>174457</v>
      </c>
      <c r="F20" s="1742">
        <f t="shared" si="5"/>
        <v>-19751</v>
      </c>
      <c r="G20" s="1742">
        <f t="shared" si="5"/>
        <v>-30790</v>
      </c>
      <c r="H20" s="1742">
        <f t="shared" si="5"/>
        <v>0</v>
      </c>
      <c r="I20" s="1742">
        <f t="shared" si="5"/>
        <v>19981</v>
      </c>
      <c r="J20" s="1742">
        <f t="shared" si="5"/>
        <v>7999</v>
      </c>
      <c r="K20" s="1742">
        <f t="shared" si="5"/>
        <v>-13836</v>
      </c>
      <c r="L20" s="347"/>
    </row>
    <row r="21" spans="1:12" ht="16.7" customHeight="1" thickTop="1" x14ac:dyDescent="0.2">
      <c r="A21" s="2136" t="s">
        <v>595</v>
      </c>
      <c r="B21" s="2137"/>
      <c r="C21" s="1566"/>
      <c r="D21" s="1567"/>
      <c r="E21" s="1567"/>
      <c r="F21" s="1567"/>
      <c r="G21" s="1567"/>
      <c r="H21" s="1567"/>
      <c r="I21" s="1567"/>
      <c r="J21" s="1567"/>
      <c r="K21" s="1568"/>
      <c r="L21" s="521"/>
    </row>
    <row r="22" spans="1:12" ht="15.75" customHeight="1" collapsed="1" x14ac:dyDescent="0.2">
      <c r="A22" s="2132" t="s">
        <v>596</v>
      </c>
      <c r="B22" s="2133"/>
      <c r="C22" s="475"/>
      <c r="D22" s="475"/>
      <c r="E22" s="475"/>
      <c r="F22" s="475"/>
      <c r="G22" s="475"/>
      <c r="H22" s="475"/>
      <c r="I22" s="475"/>
      <c r="J22" s="475"/>
      <c r="K22" s="475"/>
      <c r="L22" s="347"/>
    </row>
    <row r="23" spans="1:12" s="483" customFormat="1" ht="15.75" customHeight="1" x14ac:dyDescent="0.2">
      <c r="A23" s="2128" t="s">
        <v>293</v>
      </c>
      <c r="B23" s="2129"/>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30" t="s">
        <v>981</v>
      </c>
      <c r="B32" s="2131"/>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0</v>
      </c>
      <c r="E36" s="467">
        <v>0</v>
      </c>
      <c r="F36" s="467">
        <v>1750</v>
      </c>
      <c r="G36" s="467">
        <v>0</v>
      </c>
      <c r="H36" s="467">
        <v>0</v>
      </c>
      <c r="I36" s="474"/>
      <c r="J36" s="467">
        <v>0</v>
      </c>
      <c r="K36" s="467">
        <v>0</v>
      </c>
      <c r="L36" s="521"/>
    </row>
    <row r="37" spans="1:12" s="483" customFormat="1" x14ac:dyDescent="0.2">
      <c r="A37" s="1485" t="s">
        <v>441</v>
      </c>
      <c r="B37" s="522">
        <v>7400</v>
      </c>
      <c r="C37" s="474"/>
      <c r="D37" s="474"/>
      <c r="E37" s="1739">
        <f>SUM(C54:D57,H54:H57)</f>
        <v>0</v>
      </c>
      <c r="F37" s="474"/>
      <c r="G37" s="474"/>
      <c r="H37" s="474"/>
      <c r="I37" s="475"/>
      <c r="J37" s="474"/>
      <c r="K37" s="474"/>
      <c r="L37" s="521"/>
    </row>
    <row r="38" spans="1:12" s="483" customFormat="1" x14ac:dyDescent="0.2">
      <c r="A38" s="1485" t="s">
        <v>442</v>
      </c>
      <c r="B38" s="522">
        <v>7500</v>
      </c>
      <c r="C38" s="475"/>
      <c r="D38" s="475"/>
      <c r="E38" s="1739">
        <f>SUM(C58:D61,H58:H61)</f>
        <v>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8" t="s">
        <v>374</v>
      </c>
      <c r="B44" s="2139"/>
      <c r="C44" s="1699">
        <f>SUM(C24:C43)</f>
        <v>0</v>
      </c>
      <c r="D44" s="1699">
        <f t="shared" ref="D44:K44" si="6">SUM(D24:D43)</f>
        <v>0</v>
      </c>
      <c r="E44" s="1699">
        <f t="shared" si="6"/>
        <v>0</v>
      </c>
      <c r="F44" s="1699">
        <f t="shared" si="6"/>
        <v>1750</v>
      </c>
      <c r="G44" s="1699">
        <f t="shared" si="6"/>
        <v>0</v>
      </c>
      <c r="H44" s="1699">
        <f t="shared" si="6"/>
        <v>0</v>
      </c>
      <c r="I44" s="1699">
        <f t="shared" si="6"/>
        <v>0</v>
      </c>
      <c r="J44" s="1699">
        <f t="shared" si="6"/>
        <v>0</v>
      </c>
      <c r="K44" s="1699">
        <f t="shared" si="6"/>
        <v>0</v>
      </c>
      <c r="L44" s="521"/>
    </row>
    <row r="45" spans="1:12" ht="15.75" customHeight="1" thickTop="1" x14ac:dyDescent="0.2">
      <c r="A45" s="2132" t="s">
        <v>108</v>
      </c>
      <c r="B45" s="2133"/>
      <c r="C45" s="525"/>
      <c r="D45" s="525"/>
      <c r="E45" s="525"/>
      <c r="F45" s="525"/>
      <c r="G45" s="525"/>
      <c r="H45" s="525"/>
      <c r="I45" s="525"/>
      <c r="J45" s="525"/>
      <c r="K45" s="525"/>
      <c r="L45" s="347"/>
    </row>
    <row r="46" spans="1:12" s="483" customFormat="1" ht="15.75" customHeight="1" x14ac:dyDescent="0.2">
      <c r="A46" s="2140" t="s">
        <v>109</v>
      </c>
      <c r="B46" s="2141"/>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0</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0</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4" t="s">
        <v>440</v>
      </c>
      <c r="B76" s="2115"/>
      <c r="C76" s="1699">
        <f t="shared" ref="C76:K76" si="7">SUM(C47:C75)</f>
        <v>0</v>
      </c>
      <c r="D76" s="1699">
        <f t="shared" si="7"/>
        <v>0</v>
      </c>
      <c r="E76" s="1699">
        <f t="shared" si="7"/>
        <v>0</v>
      </c>
      <c r="F76" s="1699">
        <f t="shared" si="7"/>
        <v>0</v>
      </c>
      <c r="G76" s="1699">
        <f t="shared" si="7"/>
        <v>0</v>
      </c>
      <c r="H76" s="1699">
        <f t="shared" si="7"/>
        <v>0</v>
      </c>
      <c r="I76" s="1699">
        <f t="shared" si="7"/>
        <v>0</v>
      </c>
      <c r="J76" s="1699">
        <f t="shared" si="7"/>
        <v>0</v>
      </c>
      <c r="K76" s="1699">
        <f t="shared" si="7"/>
        <v>0</v>
      </c>
      <c r="L76" s="521"/>
    </row>
    <row r="77" spans="1:12" ht="14.25" thickTop="1" thickBot="1" x14ac:dyDescent="0.25">
      <c r="A77" s="2116" t="s">
        <v>1177</v>
      </c>
      <c r="B77" s="2117"/>
      <c r="C77" s="1699">
        <f t="shared" ref="C77:K77" si="8">C44-C76</f>
        <v>0</v>
      </c>
      <c r="D77" s="1699">
        <f t="shared" si="8"/>
        <v>0</v>
      </c>
      <c r="E77" s="1699">
        <f t="shared" si="8"/>
        <v>0</v>
      </c>
      <c r="F77" s="1699">
        <f t="shared" si="8"/>
        <v>1750</v>
      </c>
      <c r="G77" s="1699">
        <f t="shared" si="8"/>
        <v>0</v>
      </c>
      <c r="H77" s="1699">
        <f t="shared" si="8"/>
        <v>0</v>
      </c>
      <c r="I77" s="1699">
        <f t="shared" si="8"/>
        <v>0</v>
      </c>
      <c r="J77" s="1699">
        <f t="shared" si="8"/>
        <v>0</v>
      </c>
      <c r="K77" s="1699">
        <f t="shared" si="8"/>
        <v>0</v>
      </c>
      <c r="L77" s="347"/>
    </row>
    <row r="78" spans="1:12" ht="21.75" customHeight="1" thickTop="1" thickBot="1" x14ac:dyDescent="0.25">
      <c r="A78" s="2120" t="s">
        <v>597</v>
      </c>
      <c r="B78" s="2121"/>
      <c r="C78" s="1698">
        <f t="shared" ref="C78:K78" si="9">C20+C77</f>
        <v>131333</v>
      </c>
      <c r="D78" s="1698">
        <f t="shared" si="9"/>
        <v>160110</v>
      </c>
      <c r="E78" s="1698">
        <f t="shared" si="9"/>
        <v>174457</v>
      </c>
      <c r="F78" s="1698">
        <f t="shared" si="9"/>
        <v>-18001</v>
      </c>
      <c r="G78" s="1698">
        <f t="shared" si="9"/>
        <v>-30790</v>
      </c>
      <c r="H78" s="1698">
        <f t="shared" si="9"/>
        <v>0</v>
      </c>
      <c r="I78" s="1698">
        <f t="shared" si="9"/>
        <v>19981</v>
      </c>
      <c r="J78" s="1698">
        <f t="shared" si="9"/>
        <v>7999</v>
      </c>
      <c r="K78" s="1698">
        <f t="shared" si="9"/>
        <v>-13836</v>
      </c>
      <c r="L78" s="530"/>
    </row>
    <row r="79" spans="1:12" ht="13.5" thickTop="1" x14ac:dyDescent="0.2">
      <c r="A79" s="1490" t="s">
        <v>1949</v>
      </c>
      <c r="B79" s="531"/>
      <c r="C79" s="476">
        <v>2984673</v>
      </c>
      <c r="D79" s="476">
        <v>2218189</v>
      </c>
      <c r="E79" s="476">
        <v>30295</v>
      </c>
      <c r="F79" s="476">
        <v>518499</v>
      </c>
      <c r="G79" s="476">
        <v>165197</v>
      </c>
      <c r="H79" s="476">
        <v>0</v>
      </c>
      <c r="I79" s="476">
        <v>1007867</v>
      </c>
      <c r="J79" s="476">
        <v>48289</v>
      </c>
      <c r="K79" s="476">
        <v>30054</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4">
        <f>(SUM(C78:C80))</f>
        <v>3116006</v>
      </c>
      <c r="D81" s="1684">
        <f>SUM(D78:D80)</f>
        <v>2378299</v>
      </c>
      <c r="E81" s="1684">
        <f t="shared" ref="E81:K81" si="10">SUM(E78:E80)</f>
        <v>204752</v>
      </c>
      <c r="F81" s="1684">
        <f t="shared" si="10"/>
        <v>500498</v>
      </c>
      <c r="G81" s="1684">
        <f t="shared" si="10"/>
        <v>134407</v>
      </c>
      <c r="H81" s="1684">
        <f t="shared" si="10"/>
        <v>0</v>
      </c>
      <c r="I81" s="1684">
        <f t="shared" si="10"/>
        <v>1027848</v>
      </c>
      <c r="J81" s="1684">
        <f t="shared" si="10"/>
        <v>56288</v>
      </c>
      <c r="K81" s="1684">
        <f t="shared" si="10"/>
        <v>16218</v>
      </c>
      <c r="L81" s="347"/>
    </row>
    <row r="82" spans="1:12" ht="0.75" customHeight="1" thickTop="1" thickBot="1" x14ac:dyDescent="0.25">
      <c r="A82" s="533" t="s">
        <v>343</v>
      </c>
      <c r="B82" s="534"/>
      <c r="C82" s="535">
        <f>(C81-C79)</f>
        <v>131333</v>
      </c>
      <c r="D82" s="535">
        <f t="shared" ref="D82:K82" si="11">(D81-D79)</f>
        <v>160110</v>
      </c>
      <c r="E82" s="535">
        <f t="shared" si="11"/>
        <v>174457</v>
      </c>
      <c r="F82" s="535">
        <f t="shared" si="11"/>
        <v>-18001</v>
      </c>
      <c r="G82" s="535">
        <f t="shared" si="11"/>
        <v>-30790</v>
      </c>
      <c r="H82" s="535">
        <f t="shared" si="11"/>
        <v>0</v>
      </c>
      <c r="I82" s="535">
        <f t="shared" si="11"/>
        <v>19981</v>
      </c>
      <c r="J82" s="535">
        <f t="shared" si="11"/>
        <v>7999</v>
      </c>
      <c r="K82" s="535">
        <f t="shared" si="11"/>
        <v>-13836</v>
      </c>
    </row>
    <row r="83" spans="1:12" ht="14.25" hidden="1" thickTop="1" thickBot="1" x14ac:dyDescent="0.25">
      <c r="A83" s="536" t="s">
        <v>344</v>
      </c>
      <c r="B83" s="464"/>
      <c r="C83" s="537">
        <f>C82/C81</f>
        <v>4.2147864927089357E-2</v>
      </c>
      <c r="D83" s="537">
        <f t="shared" ref="D83:K83" si="12">D82/D81</f>
        <v>6.7321224118582226E-2</v>
      </c>
      <c r="E83" s="537">
        <f t="shared" si="12"/>
        <v>0.85204051730874419</v>
      </c>
      <c r="F83" s="537">
        <f t="shared" si="12"/>
        <v>-3.5966177687023725E-2</v>
      </c>
      <c r="G83" s="537">
        <f t="shared" si="12"/>
        <v>-0.22908033063754121</v>
      </c>
      <c r="H83" s="537" t="e">
        <f t="shared" si="12"/>
        <v>#DIV/0!</v>
      </c>
      <c r="I83" s="537">
        <f t="shared" si="12"/>
        <v>1.9439644772378795E-2</v>
      </c>
      <c r="J83" s="537">
        <f t="shared" si="12"/>
        <v>0.14210844229675954</v>
      </c>
      <c r="K83" s="537">
        <f t="shared" si="12"/>
        <v>-0.8531261561228265</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3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H13" sqref="H13"/>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2820699</v>
      </c>
      <c r="D5" s="479">
        <v>498764</v>
      </c>
      <c r="E5" s="466">
        <v>1092082</v>
      </c>
      <c r="F5" s="545">
        <v>195655</v>
      </c>
      <c r="G5" s="466">
        <v>76794</v>
      </c>
      <c r="H5" s="466">
        <v>0</v>
      </c>
      <c r="I5" s="466">
        <v>0</v>
      </c>
      <c r="J5" s="467">
        <v>279299</v>
      </c>
      <c r="K5" s="466">
        <v>0</v>
      </c>
    </row>
    <row r="6" spans="1:12" ht="15" x14ac:dyDescent="0.2">
      <c r="A6" s="463" t="s">
        <v>1662</v>
      </c>
      <c r="B6" s="470">
        <v>1130</v>
      </c>
      <c r="C6" s="466">
        <v>16957</v>
      </c>
      <c r="D6" s="466">
        <v>0</v>
      </c>
      <c r="E6" s="474"/>
      <c r="F6" s="474"/>
      <c r="G6" s="468"/>
      <c r="H6" s="468"/>
      <c r="I6" s="468"/>
      <c r="J6" s="468"/>
      <c r="K6" s="468"/>
    </row>
    <row r="7" spans="1:12" x14ac:dyDescent="0.2">
      <c r="A7" s="463" t="s">
        <v>110</v>
      </c>
      <c r="B7" s="546">
        <v>1140</v>
      </c>
      <c r="C7" s="466">
        <v>32609</v>
      </c>
      <c r="D7" s="466">
        <v>0</v>
      </c>
      <c r="E7" s="468"/>
      <c r="F7" s="467">
        <v>0</v>
      </c>
      <c r="G7" s="467">
        <v>0</v>
      </c>
      <c r="H7" s="467">
        <v>0</v>
      </c>
      <c r="I7" s="468"/>
      <c r="J7" s="468"/>
      <c r="K7" s="468"/>
    </row>
    <row r="8" spans="1:12" x14ac:dyDescent="0.2">
      <c r="A8" s="463" t="s">
        <v>413</v>
      </c>
      <c r="B8" s="470">
        <v>1150</v>
      </c>
      <c r="C8" s="474"/>
      <c r="D8" s="474"/>
      <c r="E8" s="475"/>
      <c r="F8" s="475"/>
      <c r="G8" s="479">
        <v>101741</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2870265</v>
      </c>
      <c r="D12" s="1703">
        <f t="shared" si="0"/>
        <v>498764</v>
      </c>
      <c r="E12" s="1703">
        <f t="shared" si="0"/>
        <v>1092082</v>
      </c>
      <c r="F12" s="1703">
        <f t="shared" si="0"/>
        <v>195655</v>
      </c>
      <c r="G12" s="1703">
        <f t="shared" si="0"/>
        <v>178535</v>
      </c>
      <c r="H12" s="1703">
        <f t="shared" si="0"/>
        <v>0</v>
      </c>
      <c r="I12" s="1703">
        <f t="shared" si="0"/>
        <v>0</v>
      </c>
      <c r="J12" s="1703">
        <f t="shared" si="0"/>
        <v>279299</v>
      </c>
      <c r="K12" s="1684">
        <f t="shared" si="0"/>
        <v>0</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1067</v>
      </c>
      <c r="D14" s="466">
        <v>185</v>
      </c>
      <c r="E14" s="466">
        <v>406</v>
      </c>
      <c r="F14" s="466">
        <v>73</v>
      </c>
      <c r="G14" s="466">
        <v>66</v>
      </c>
      <c r="H14" s="466">
        <v>0</v>
      </c>
      <c r="I14" s="466">
        <v>0</v>
      </c>
      <c r="J14" s="467">
        <v>104</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8777</v>
      </c>
      <c r="D16" s="466">
        <v>0</v>
      </c>
      <c r="E16" s="466">
        <v>0</v>
      </c>
      <c r="F16" s="466">
        <v>0</v>
      </c>
      <c r="G16" s="466">
        <v>5125</v>
      </c>
      <c r="H16" s="466">
        <v>0</v>
      </c>
      <c r="I16" s="466">
        <v>0</v>
      </c>
      <c r="J16" s="467">
        <v>0</v>
      </c>
      <c r="K16" s="466">
        <v>0</v>
      </c>
    </row>
    <row r="17" spans="1:11" ht="12.75" customHeight="1" x14ac:dyDescent="0.2">
      <c r="A17" s="463" t="s">
        <v>807</v>
      </c>
      <c r="B17" s="470">
        <v>1290</v>
      </c>
      <c r="C17" s="548">
        <v>0</v>
      </c>
      <c r="D17" s="466">
        <v>9275</v>
      </c>
      <c r="E17" s="466">
        <v>0</v>
      </c>
      <c r="F17" s="466">
        <v>0</v>
      </c>
      <c r="G17" s="466">
        <v>0</v>
      </c>
      <c r="H17" s="466">
        <v>0</v>
      </c>
      <c r="I17" s="466">
        <v>0</v>
      </c>
      <c r="J17" s="467">
        <v>0</v>
      </c>
      <c r="K17" s="466">
        <v>0</v>
      </c>
    </row>
    <row r="18" spans="1:11" ht="12.75" customHeight="1" thickBot="1" x14ac:dyDescent="0.25">
      <c r="A18" s="1704" t="s">
        <v>537</v>
      </c>
      <c r="B18" s="1705"/>
      <c r="C18" s="1706">
        <f>SUM(C14:C17)</f>
        <v>9844</v>
      </c>
      <c r="D18" s="1706">
        <f t="shared" ref="D18:K18" si="1">SUM(D14:D17)</f>
        <v>9460</v>
      </c>
      <c r="E18" s="1706">
        <f t="shared" si="1"/>
        <v>406</v>
      </c>
      <c r="F18" s="1706">
        <f t="shared" si="1"/>
        <v>73</v>
      </c>
      <c r="G18" s="1706">
        <f t="shared" si="1"/>
        <v>5191</v>
      </c>
      <c r="H18" s="1706">
        <f t="shared" si="1"/>
        <v>0</v>
      </c>
      <c r="I18" s="1706">
        <f t="shared" si="1"/>
        <v>0</v>
      </c>
      <c r="J18" s="1706">
        <f t="shared" si="1"/>
        <v>104</v>
      </c>
      <c r="K18" s="1707">
        <f t="shared" si="1"/>
        <v>0</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7164</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1439</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8603</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81447</v>
      </c>
      <c r="D65" s="466">
        <v>48882</v>
      </c>
      <c r="E65" s="466">
        <v>6580</v>
      </c>
      <c r="F65" s="467">
        <v>11311</v>
      </c>
      <c r="G65" s="466">
        <v>4469</v>
      </c>
      <c r="H65" s="466">
        <v>0</v>
      </c>
      <c r="I65" s="466">
        <v>19981</v>
      </c>
      <c r="J65" s="467">
        <v>2470</v>
      </c>
      <c r="K65" s="466">
        <v>339</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81447</v>
      </c>
      <c r="D67" s="1684">
        <f t="shared" ref="D67:K67" si="2">SUM(D65:D66)</f>
        <v>48882</v>
      </c>
      <c r="E67" s="1684">
        <f t="shared" si="2"/>
        <v>6580</v>
      </c>
      <c r="F67" s="1684">
        <f t="shared" si="2"/>
        <v>11311</v>
      </c>
      <c r="G67" s="1684">
        <f t="shared" si="2"/>
        <v>4469</v>
      </c>
      <c r="H67" s="1684">
        <f t="shared" si="2"/>
        <v>0</v>
      </c>
      <c r="I67" s="1684">
        <f t="shared" si="2"/>
        <v>19981</v>
      </c>
      <c r="J67" s="1684">
        <f t="shared" si="2"/>
        <v>2470</v>
      </c>
      <c r="K67" s="1684">
        <f t="shared" si="2"/>
        <v>339</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195656</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6008</v>
      </c>
      <c r="D73" s="468"/>
      <c r="E73" s="468"/>
      <c r="F73" s="468"/>
      <c r="G73" s="468"/>
      <c r="H73" s="468"/>
      <c r="I73" s="468"/>
      <c r="J73" s="468"/>
      <c r="K73" s="468"/>
    </row>
    <row r="74" spans="1:11" ht="12.75" customHeight="1" x14ac:dyDescent="0.2">
      <c r="A74" s="463" t="s">
        <v>25</v>
      </c>
      <c r="B74" s="470">
        <v>1690</v>
      </c>
      <c r="C74" s="548">
        <v>21642</v>
      </c>
      <c r="D74" s="468"/>
      <c r="E74" s="468"/>
      <c r="F74" s="468"/>
      <c r="G74" s="468"/>
      <c r="H74" s="468"/>
      <c r="I74" s="468"/>
      <c r="J74" s="468"/>
      <c r="K74" s="468"/>
    </row>
    <row r="75" spans="1:11" ht="12.75" customHeight="1" thickBot="1" x14ac:dyDescent="0.25">
      <c r="A75" s="1704" t="s">
        <v>548</v>
      </c>
      <c r="B75" s="1705"/>
      <c r="C75" s="1684">
        <f>SUM(C69:C74)</f>
        <v>223306</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21342</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8570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35735</v>
      </c>
      <c r="D81" s="466">
        <v>0</v>
      </c>
      <c r="E81" s="468"/>
      <c r="F81" s="468"/>
      <c r="G81" s="468"/>
      <c r="H81" s="468"/>
      <c r="I81" s="468"/>
      <c r="J81" s="468"/>
      <c r="K81" s="468"/>
    </row>
    <row r="82" spans="1:11" ht="12.75" customHeight="1" thickBot="1" x14ac:dyDescent="0.25">
      <c r="A82" s="1704" t="s">
        <v>241</v>
      </c>
      <c r="B82" s="1705"/>
      <c r="C82" s="1703">
        <f>SUM(C77:C81)</f>
        <v>65647</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67930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103</v>
      </c>
      <c r="D92" s="468"/>
      <c r="E92" s="468"/>
      <c r="F92" s="468"/>
      <c r="G92" s="468"/>
      <c r="H92" s="468"/>
      <c r="I92" s="468"/>
      <c r="J92" s="468"/>
      <c r="K92" s="468"/>
    </row>
    <row r="93" spans="1:11" ht="12.75" customHeight="1" thickBot="1" x14ac:dyDescent="0.25">
      <c r="A93" s="1704" t="s">
        <v>243</v>
      </c>
      <c r="B93" s="1705"/>
      <c r="C93" s="1684">
        <f>SUM(C84:C92)</f>
        <v>68033</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900</v>
      </c>
      <c r="D95" s="548">
        <v>52180</v>
      </c>
      <c r="E95" s="518"/>
      <c r="F95" s="518"/>
      <c r="G95" s="518"/>
      <c r="H95" s="518"/>
      <c r="I95" s="518"/>
      <c r="J95" s="518"/>
      <c r="K95" s="518"/>
    </row>
    <row r="96" spans="1:11" ht="12.75" customHeight="1" x14ac:dyDescent="0.2">
      <c r="A96" s="463" t="s">
        <v>391</v>
      </c>
      <c r="B96" s="470">
        <v>1920</v>
      </c>
      <c r="C96" s="548">
        <v>3280</v>
      </c>
      <c r="D96" s="548">
        <v>0</v>
      </c>
      <c r="E96" s="477">
        <v>0</v>
      </c>
      <c r="F96" s="476">
        <v>2400</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7000</v>
      </c>
      <c r="D98" s="466">
        <v>29157</v>
      </c>
      <c r="E98" s="509"/>
      <c r="F98" s="466">
        <v>0</v>
      </c>
      <c r="G98" s="509"/>
      <c r="H98" s="509"/>
      <c r="I98" s="507"/>
      <c r="J98" s="509"/>
      <c r="K98" s="509"/>
    </row>
    <row r="99" spans="1:12" ht="12.75" customHeight="1" x14ac:dyDescent="0.2">
      <c r="A99" s="463" t="s">
        <v>821</v>
      </c>
      <c r="B99" s="470">
        <v>1950</v>
      </c>
      <c r="C99" s="486">
        <v>62762</v>
      </c>
      <c r="D99" s="466">
        <v>9725</v>
      </c>
      <c r="E99" s="466">
        <v>0</v>
      </c>
      <c r="F99" s="466">
        <v>0</v>
      </c>
      <c r="G99" s="466">
        <v>0</v>
      </c>
      <c r="H99" s="466">
        <v>0</v>
      </c>
      <c r="I99" s="468"/>
      <c r="J99" s="467">
        <v>3746</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170355</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6225</v>
      </c>
      <c r="D106" s="486">
        <v>0</v>
      </c>
      <c r="E106" s="467">
        <v>0</v>
      </c>
      <c r="F106" s="467">
        <v>0</v>
      </c>
      <c r="G106" s="467">
        <v>0</v>
      </c>
      <c r="H106" s="467">
        <v>0</v>
      </c>
      <c r="I106" s="518"/>
      <c r="J106" s="467">
        <v>0</v>
      </c>
      <c r="K106" s="467">
        <v>0</v>
      </c>
    </row>
    <row r="107" spans="1:12" ht="12.75" customHeight="1" x14ac:dyDescent="0.2">
      <c r="A107" s="463" t="s">
        <v>78</v>
      </c>
      <c r="B107" s="470">
        <v>1999</v>
      </c>
      <c r="C107" s="548">
        <v>160</v>
      </c>
      <c r="D107" s="466">
        <v>0</v>
      </c>
      <c r="E107" s="466">
        <v>0</v>
      </c>
      <c r="F107" s="466">
        <v>310</v>
      </c>
      <c r="G107" s="466">
        <v>0</v>
      </c>
      <c r="H107" s="466">
        <v>0</v>
      </c>
      <c r="I107" s="466">
        <v>0</v>
      </c>
      <c r="J107" s="467">
        <v>0</v>
      </c>
      <c r="K107" s="466">
        <v>0</v>
      </c>
    </row>
    <row r="108" spans="1:12" ht="12.75" customHeight="1" thickBot="1" x14ac:dyDescent="0.25">
      <c r="A108" s="1704" t="s">
        <v>487</v>
      </c>
      <c r="B108" s="1708"/>
      <c r="C108" s="1703">
        <f>SUM(C95:C107)</f>
        <v>80327</v>
      </c>
      <c r="D108" s="1703">
        <f t="shared" ref="D108:K108" si="3">SUM(D95:D107)</f>
        <v>91062</v>
      </c>
      <c r="E108" s="1703">
        <f t="shared" si="3"/>
        <v>170355</v>
      </c>
      <c r="F108" s="1703">
        <f t="shared" si="3"/>
        <v>2710</v>
      </c>
      <c r="G108" s="1703">
        <f t="shared" si="3"/>
        <v>0</v>
      </c>
      <c r="H108" s="1703">
        <f t="shared" si="3"/>
        <v>0</v>
      </c>
      <c r="I108" s="1703">
        <f t="shared" si="3"/>
        <v>0</v>
      </c>
      <c r="J108" s="1703">
        <f t="shared" si="3"/>
        <v>3746</v>
      </c>
      <c r="K108" s="1684">
        <f t="shared" si="3"/>
        <v>0</v>
      </c>
    </row>
    <row r="109" spans="1:12" ht="14.25" thickTop="1" thickBot="1" x14ac:dyDescent="0.25">
      <c r="A109" s="1709" t="s">
        <v>248</v>
      </c>
      <c r="B109" s="1710" t="s">
        <v>570</v>
      </c>
      <c r="C109" s="1711">
        <f t="shared" ref="C109:K109" si="4">SUM(C12,C18,C40,C63,C67,C75,C82,C93,C108,)</f>
        <v>3407472</v>
      </c>
      <c r="D109" s="1711">
        <f t="shared" si="4"/>
        <v>648168</v>
      </c>
      <c r="E109" s="1711">
        <f t="shared" si="4"/>
        <v>1269423</v>
      </c>
      <c r="F109" s="1711">
        <f t="shared" si="4"/>
        <v>209749</v>
      </c>
      <c r="G109" s="1711">
        <f t="shared" si="4"/>
        <v>188195</v>
      </c>
      <c r="H109" s="1711">
        <f t="shared" si="4"/>
        <v>0</v>
      </c>
      <c r="I109" s="1711">
        <f t="shared" si="4"/>
        <v>19981</v>
      </c>
      <c r="J109" s="1711">
        <f t="shared" si="4"/>
        <v>285619</v>
      </c>
      <c r="K109" s="1698">
        <f t="shared" si="4"/>
        <v>339</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2015880</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2015880</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2694</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2694</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0</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991</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0</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108939</v>
      </c>
      <c r="G152" s="467">
        <v>0</v>
      </c>
      <c r="H152" s="468"/>
      <c r="I152" s="468"/>
      <c r="J152" s="468"/>
      <c r="K152" s="468"/>
    </row>
    <row r="153" spans="1:11" ht="12.75" customHeight="1" x14ac:dyDescent="0.2">
      <c r="A153" s="463" t="s">
        <v>1057</v>
      </c>
      <c r="B153" s="559">
        <v>3510</v>
      </c>
      <c r="C153" s="548">
        <v>0</v>
      </c>
      <c r="D153" s="466">
        <v>0</v>
      </c>
      <c r="E153" s="558"/>
      <c r="F153" s="466">
        <v>74962</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183901</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0</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42" t="s">
        <v>398</v>
      </c>
      <c r="B169" s="2143"/>
      <c r="C169" s="1718">
        <f t="shared" ref="C169:K169" si="6">SUM(C132,C141,C145,C146:C150,C155,C156:C167,C168)</f>
        <v>3685</v>
      </c>
      <c r="D169" s="1718">
        <f t="shared" si="6"/>
        <v>0</v>
      </c>
      <c r="E169" s="1718">
        <f t="shared" si="6"/>
        <v>0</v>
      </c>
      <c r="F169" s="1718">
        <f t="shared" si="6"/>
        <v>183901</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2019565</v>
      </c>
      <c r="D170" s="1711">
        <f t="shared" si="7"/>
        <v>0</v>
      </c>
      <c r="E170" s="1711">
        <f t="shared" si="7"/>
        <v>0</v>
      </c>
      <c r="F170" s="1711">
        <f t="shared" si="7"/>
        <v>183901</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44" t="s">
        <v>1492</v>
      </c>
      <c r="B172" s="214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8" t="s">
        <v>1665</v>
      </c>
      <c r="B175" s="2149"/>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52" t="s">
        <v>1664</v>
      </c>
      <c r="B176" s="215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50" t="s">
        <v>785</v>
      </c>
      <c r="B181" s="2151"/>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46" t="s">
        <v>1803</v>
      </c>
      <c r="B182" s="2147"/>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97604</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97604</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63979</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63979</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164469</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164469</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26690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6534</v>
      </c>
      <c r="D263" s="573">
        <v>0</v>
      </c>
      <c r="E263" s="468"/>
      <c r="F263" s="573">
        <v>0</v>
      </c>
      <c r="G263" s="573">
        <v>0</v>
      </c>
      <c r="H263" s="468"/>
      <c r="I263" s="468"/>
      <c r="J263" s="468"/>
      <c r="K263" s="468"/>
    </row>
    <row r="264" spans="1:11" ht="12.75" customHeight="1" thickTop="1" thickBot="1" x14ac:dyDescent="0.25">
      <c r="A264" s="463" t="s">
        <v>377</v>
      </c>
      <c r="B264" s="470">
        <v>4992</v>
      </c>
      <c r="C264" s="572">
        <v>2998</v>
      </c>
      <c r="D264" s="573">
        <v>0</v>
      </c>
      <c r="E264" s="468"/>
      <c r="F264" s="573">
        <v>1794</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362274</v>
      </c>
      <c r="D266" s="1711">
        <f t="shared" si="10"/>
        <v>0</v>
      </c>
      <c r="E266" s="1711">
        <f t="shared" si="10"/>
        <v>0</v>
      </c>
      <c r="F266" s="1711">
        <f t="shared" si="10"/>
        <v>1794</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362274</v>
      </c>
      <c r="D267" s="1711">
        <f>SUM(D175,D181,D266)</f>
        <v>0</v>
      </c>
      <c r="E267" s="1711">
        <f>SUM(E175,E266)</f>
        <v>0</v>
      </c>
      <c r="F267" s="1711">
        <f t="shared" ref="F267:K267" si="11">SUM(F175,F181,F266)</f>
        <v>1794</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5789311</v>
      </c>
      <c r="D268" s="1711">
        <f t="shared" si="12"/>
        <v>648168</v>
      </c>
      <c r="E268" s="1711">
        <f t="shared" si="12"/>
        <v>1269423</v>
      </c>
      <c r="F268" s="1711">
        <f t="shared" si="12"/>
        <v>395444</v>
      </c>
      <c r="G268" s="1711">
        <f t="shared" si="12"/>
        <v>188195</v>
      </c>
      <c r="H268" s="1711">
        <f t="shared" si="12"/>
        <v>0</v>
      </c>
      <c r="I268" s="1711">
        <f t="shared" si="12"/>
        <v>19981</v>
      </c>
      <c r="J268" s="1711">
        <f t="shared" si="12"/>
        <v>285619</v>
      </c>
      <c r="K268" s="1698">
        <f t="shared" si="12"/>
        <v>339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3" right="0.15" top="0.86" bottom="0.3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H13" sqref="H1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62" t="s">
        <v>297</v>
      </c>
      <c r="B3" s="2163"/>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2257109</v>
      </c>
      <c r="D5" s="466">
        <v>485808</v>
      </c>
      <c r="E5" s="466">
        <v>27390</v>
      </c>
      <c r="F5" s="466">
        <v>80417</v>
      </c>
      <c r="G5" s="466">
        <v>33782</v>
      </c>
      <c r="H5" s="466">
        <v>18830</v>
      </c>
      <c r="I5" s="467">
        <v>0</v>
      </c>
      <c r="J5" s="467">
        <v>0</v>
      </c>
      <c r="K5" s="1667">
        <f>SUM(C5:J5)</f>
        <v>2903336</v>
      </c>
      <c r="L5" s="471">
        <v>2997340</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0</v>
      </c>
      <c r="D7" s="467">
        <v>0</v>
      </c>
      <c r="E7" s="467">
        <v>0</v>
      </c>
      <c r="F7" s="467">
        <v>0</v>
      </c>
      <c r="G7" s="467">
        <v>0</v>
      </c>
      <c r="H7" s="467">
        <v>0</v>
      </c>
      <c r="I7" s="467">
        <v>0</v>
      </c>
      <c r="J7" s="467">
        <v>0</v>
      </c>
      <c r="K7" s="1667">
        <f t="shared" ref="K7:K32" si="0">SUM(C7:J7)</f>
        <v>0</v>
      </c>
      <c r="L7" s="471">
        <v>0</v>
      </c>
    </row>
    <row r="8" spans="1:14" x14ac:dyDescent="0.2">
      <c r="A8" s="1500" t="s">
        <v>164</v>
      </c>
      <c r="B8" s="611">
        <v>1200</v>
      </c>
      <c r="C8" s="466">
        <v>584763</v>
      </c>
      <c r="D8" s="466">
        <v>119239</v>
      </c>
      <c r="E8" s="466">
        <v>2580</v>
      </c>
      <c r="F8" s="466">
        <v>2442</v>
      </c>
      <c r="G8" s="466">
        <v>0</v>
      </c>
      <c r="H8" s="466">
        <v>0</v>
      </c>
      <c r="I8" s="467">
        <v>0</v>
      </c>
      <c r="J8" s="467">
        <v>0</v>
      </c>
      <c r="K8" s="1667">
        <f t="shared" si="0"/>
        <v>709024</v>
      </c>
      <c r="L8" s="471">
        <v>732060</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46206</v>
      </c>
      <c r="D10" s="466">
        <v>19290</v>
      </c>
      <c r="E10" s="466">
        <v>21486</v>
      </c>
      <c r="F10" s="466">
        <v>12104</v>
      </c>
      <c r="G10" s="466">
        <v>0</v>
      </c>
      <c r="H10" s="466">
        <v>0</v>
      </c>
      <c r="I10" s="467">
        <v>0</v>
      </c>
      <c r="J10" s="467">
        <v>0</v>
      </c>
      <c r="K10" s="1667">
        <f t="shared" si="0"/>
        <v>99086</v>
      </c>
      <c r="L10" s="471">
        <v>86700</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0</v>
      </c>
      <c r="D13" s="466">
        <v>0</v>
      </c>
      <c r="E13" s="466">
        <v>0</v>
      </c>
      <c r="F13" s="466">
        <v>0</v>
      </c>
      <c r="G13" s="466">
        <v>0</v>
      </c>
      <c r="H13" s="466">
        <v>0</v>
      </c>
      <c r="I13" s="467">
        <v>0</v>
      </c>
      <c r="J13" s="467">
        <v>0</v>
      </c>
      <c r="K13" s="1667">
        <f t="shared" si="0"/>
        <v>0</v>
      </c>
      <c r="L13" s="471">
        <v>0</v>
      </c>
    </row>
    <row r="14" spans="1:14" x14ac:dyDescent="0.2">
      <c r="A14" s="1500" t="s">
        <v>963</v>
      </c>
      <c r="B14" s="611">
        <v>1500</v>
      </c>
      <c r="C14" s="466">
        <v>81127</v>
      </c>
      <c r="D14" s="466">
        <v>7699</v>
      </c>
      <c r="E14" s="466">
        <v>9995</v>
      </c>
      <c r="F14" s="466">
        <v>33762</v>
      </c>
      <c r="G14" s="466">
        <v>0</v>
      </c>
      <c r="H14" s="466">
        <v>5097</v>
      </c>
      <c r="I14" s="467">
        <v>0</v>
      </c>
      <c r="J14" s="467">
        <v>0</v>
      </c>
      <c r="K14" s="1667">
        <f t="shared" si="0"/>
        <v>137680</v>
      </c>
      <c r="L14" s="471">
        <v>148845</v>
      </c>
    </row>
    <row r="15" spans="1:14" x14ac:dyDescent="0.2">
      <c r="A15" s="1500" t="s">
        <v>964</v>
      </c>
      <c r="B15" s="611">
        <v>1600</v>
      </c>
      <c r="C15" s="467">
        <v>0</v>
      </c>
      <c r="D15" s="466">
        <v>0</v>
      </c>
      <c r="E15" s="466">
        <v>0</v>
      </c>
      <c r="F15" s="466">
        <v>0</v>
      </c>
      <c r="G15" s="466">
        <v>0</v>
      </c>
      <c r="H15" s="466">
        <v>0</v>
      </c>
      <c r="I15" s="467">
        <v>0</v>
      </c>
      <c r="J15" s="467">
        <v>0</v>
      </c>
      <c r="K15" s="1667">
        <f t="shared" si="0"/>
        <v>0</v>
      </c>
      <c r="L15" s="471">
        <v>0</v>
      </c>
    </row>
    <row r="16" spans="1:14" x14ac:dyDescent="0.2">
      <c r="A16" s="1500" t="s">
        <v>987</v>
      </c>
      <c r="B16" s="611" t="s">
        <v>424</v>
      </c>
      <c r="C16" s="467">
        <v>1200</v>
      </c>
      <c r="D16" s="466">
        <v>140</v>
      </c>
      <c r="E16" s="466">
        <v>0</v>
      </c>
      <c r="F16" s="466">
        <v>0</v>
      </c>
      <c r="G16" s="466">
        <v>0</v>
      </c>
      <c r="H16" s="466">
        <v>0</v>
      </c>
      <c r="I16" s="467">
        <v>0</v>
      </c>
      <c r="J16" s="467">
        <v>0</v>
      </c>
      <c r="K16" s="1667">
        <f t="shared" si="0"/>
        <v>1340</v>
      </c>
      <c r="L16" s="471">
        <v>1330</v>
      </c>
    </row>
    <row r="17" spans="1:12" x14ac:dyDescent="0.2">
      <c r="A17" s="1500" t="s">
        <v>724</v>
      </c>
      <c r="B17" s="611" t="s">
        <v>162</v>
      </c>
      <c r="C17" s="467">
        <v>0</v>
      </c>
      <c r="D17" s="467">
        <v>0</v>
      </c>
      <c r="E17" s="467">
        <v>0</v>
      </c>
      <c r="F17" s="467">
        <v>0</v>
      </c>
      <c r="G17" s="467">
        <v>0</v>
      </c>
      <c r="H17" s="467">
        <v>0</v>
      </c>
      <c r="I17" s="467">
        <v>0</v>
      </c>
      <c r="J17" s="467">
        <v>0</v>
      </c>
      <c r="K17" s="1667">
        <f t="shared" si="0"/>
        <v>0</v>
      </c>
      <c r="L17" s="471">
        <v>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44844</v>
      </c>
      <c r="I22" s="613"/>
      <c r="J22" s="475"/>
      <c r="K22" s="1667">
        <f t="shared" si="0"/>
        <v>44844</v>
      </c>
      <c r="L22" s="471">
        <v>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2970405</v>
      </c>
      <c r="D33" s="1666">
        <f t="shared" ref="D33:L33" si="1">SUM(D5:D32)</f>
        <v>632176</v>
      </c>
      <c r="E33" s="1666">
        <f t="shared" si="1"/>
        <v>61451</v>
      </c>
      <c r="F33" s="1666">
        <f t="shared" si="1"/>
        <v>128725</v>
      </c>
      <c r="G33" s="1666">
        <f t="shared" si="1"/>
        <v>33782</v>
      </c>
      <c r="H33" s="1666">
        <f t="shared" si="1"/>
        <v>68771</v>
      </c>
      <c r="I33" s="1666">
        <f t="shared" si="1"/>
        <v>0</v>
      </c>
      <c r="J33" s="1666">
        <f t="shared" si="1"/>
        <v>0</v>
      </c>
      <c r="K33" s="1666">
        <f t="shared" si="1"/>
        <v>3895310</v>
      </c>
      <c r="L33" s="1666">
        <f t="shared" si="1"/>
        <v>3966275</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0</v>
      </c>
      <c r="D36" s="479">
        <v>0</v>
      </c>
      <c r="E36" s="479">
        <v>0</v>
      </c>
      <c r="F36" s="479">
        <v>0</v>
      </c>
      <c r="G36" s="479">
        <v>0</v>
      </c>
      <c r="H36" s="479">
        <v>0</v>
      </c>
      <c r="I36" s="467">
        <v>0</v>
      </c>
      <c r="J36" s="467">
        <v>0</v>
      </c>
      <c r="K36" s="1667">
        <f t="shared" ref="K36:K41" si="2">SUM(C36:J36)</f>
        <v>0</v>
      </c>
      <c r="L36" s="466">
        <v>0</v>
      </c>
    </row>
    <row r="37" spans="1:14" x14ac:dyDescent="0.2">
      <c r="A37" s="1500" t="s">
        <v>1090</v>
      </c>
      <c r="B37" s="611">
        <v>2120</v>
      </c>
      <c r="C37" s="466">
        <v>79268</v>
      </c>
      <c r="D37" s="466">
        <v>15966</v>
      </c>
      <c r="E37" s="466">
        <v>0</v>
      </c>
      <c r="F37" s="466">
        <v>0</v>
      </c>
      <c r="G37" s="466">
        <v>0</v>
      </c>
      <c r="H37" s="466">
        <v>0</v>
      </c>
      <c r="I37" s="467">
        <v>0</v>
      </c>
      <c r="J37" s="467">
        <v>0</v>
      </c>
      <c r="K37" s="1667">
        <f t="shared" si="2"/>
        <v>95234</v>
      </c>
      <c r="L37" s="466">
        <v>101512</v>
      </c>
    </row>
    <row r="38" spans="1:14" x14ac:dyDescent="0.2">
      <c r="A38" s="1500" t="s">
        <v>198</v>
      </c>
      <c r="B38" s="611">
        <v>2130</v>
      </c>
      <c r="C38" s="466">
        <v>6210</v>
      </c>
      <c r="D38" s="466">
        <v>2048</v>
      </c>
      <c r="E38" s="466">
        <v>1350</v>
      </c>
      <c r="F38" s="466">
        <v>582</v>
      </c>
      <c r="G38" s="466">
        <v>0</v>
      </c>
      <c r="H38" s="466">
        <v>0</v>
      </c>
      <c r="I38" s="467">
        <v>0</v>
      </c>
      <c r="J38" s="467">
        <v>0</v>
      </c>
      <c r="K38" s="1667">
        <f t="shared" si="2"/>
        <v>10190</v>
      </c>
      <c r="L38" s="466">
        <v>16537</v>
      </c>
    </row>
    <row r="39" spans="1:14" x14ac:dyDescent="0.2">
      <c r="A39" s="1500" t="s">
        <v>199</v>
      </c>
      <c r="B39" s="611">
        <v>2140</v>
      </c>
      <c r="C39" s="466">
        <v>0</v>
      </c>
      <c r="D39" s="466">
        <v>0</v>
      </c>
      <c r="E39" s="466">
        <v>0</v>
      </c>
      <c r="F39" s="466">
        <v>0</v>
      </c>
      <c r="G39" s="466">
        <v>0</v>
      </c>
      <c r="H39" s="466">
        <v>0</v>
      </c>
      <c r="I39" s="467">
        <v>0</v>
      </c>
      <c r="J39" s="467">
        <v>0</v>
      </c>
      <c r="K39" s="1667">
        <f t="shared" si="2"/>
        <v>0</v>
      </c>
      <c r="L39" s="466">
        <v>0</v>
      </c>
    </row>
    <row r="40" spans="1:14" x14ac:dyDescent="0.2">
      <c r="A40" s="1500" t="s">
        <v>200</v>
      </c>
      <c r="B40" s="611">
        <v>2150</v>
      </c>
      <c r="C40" s="466">
        <v>57253</v>
      </c>
      <c r="D40" s="466">
        <v>7595</v>
      </c>
      <c r="E40" s="466">
        <v>0</v>
      </c>
      <c r="F40" s="466">
        <v>1142</v>
      </c>
      <c r="G40" s="466">
        <v>0</v>
      </c>
      <c r="H40" s="466">
        <v>0</v>
      </c>
      <c r="I40" s="467">
        <v>0</v>
      </c>
      <c r="J40" s="467">
        <v>0</v>
      </c>
      <c r="K40" s="1667">
        <f t="shared" si="2"/>
        <v>65990</v>
      </c>
      <c r="L40" s="466">
        <v>71140</v>
      </c>
    </row>
    <row r="41" spans="1:14" x14ac:dyDescent="0.2">
      <c r="A41" s="1500" t="s">
        <v>1669</v>
      </c>
      <c r="B41" s="611">
        <v>2190</v>
      </c>
      <c r="C41" s="466">
        <v>0</v>
      </c>
      <c r="D41" s="466">
        <v>0</v>
      </c>
      <c r="E41" s="466">
        <v>0</v>
      </c>
      <c r="F41" s="466">
        <v>0</v>
      </c>
      <c r="G41" s="466">
        <v>0</v>
      </c>
      <c r="H41" s="466">
        <v>4296</v>
      </c>
      <c r="I41" s="467">
        <v>0</v>
      </c>
      <c r="J41" s="467">
        <v>0</v>
      </c>
      <c r="K41" s="1667">
        <f t="shared" si="2"/>
        <v>4296</v>
      </c>
      <c r="L41" s="466">
        <v>4500</v>
      </c>
    </row>
    <row r="42" spans="1:14" ht="12.75" customHeight="1" thickBot="1" x14ac:dyDescent="0.25">
      <c r="A42" s="1664" t="s">
        <v>560</v>
      </c>
      <c r="B42" s="1665" t="s">
        <v>716</v>
      </c>
      <c r="C42" s="1666">
        <f>SUM(C36:C41)</f>
        <v>142731</v>
      </c>
      <c r="D42" s="1666">
        <f t="shared" ref="D42:L42" si="3">SUM(D36:D41)</f>
        <v>25609</v>
      </c>
      <c r="E42" s="1666">
        <f t="shared" si="3"/>
        <v>1350</v>
      </c>
      <c r="F42" s="1666">
        <f t="shared" si="3"/>
        <v>1724</v>
      </c>
      <c r="G42" s="1666">
        <f t="shared" si="3"/>
        <v>0</v>
      </c>
      <c r="H42" s="1666">
        <f t="shared" si="3"/>
        <v>4296</v>
      </c>
      <c r="I42" s="1666">
        <f t="shared" si="3"/>
        <v>0</v>
      </c>
      <c r="J42" s="1666">
        <f t="shared" si="3"/>
        <v>0</v>
      </c>
      <c r="K42" s="1666">
        <f t="shared" si="3"/>
        <v>175710</v>
      </c>
      <c r="L42" s="1666">
        <f t="shared" si="3"/>
        <v>193689</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44577</v>
      </c>
      <c r="D44" s="479">
        <v>8352</v>
      </c>
      <c r="E44" s="479">
        <v>650</v>
      </c>
      <c r="F44" s="479">
        <v>0</v>
      </c>
      <c r="G44" s="479">
        <v>0</v>
      </c>
      <c r="H44" s="479">
        <v>0</v>
      </c>
      <c r="I44" s="467">
        <v>0</v>
      </c>
      <c r="J44" s="467">
        <v>0</v>
      </c>
      <c r="K44" s="1668">
        <f>SUM(C44:J44)</f>
        <v>53579</v>
      </c>
      <c r="L44" s="479">
        <v>54770</v>
      </c>
    </row>
    <row r="45" spans="1:14" x14ac:dyDescent="0.2">
      <c r="A45" s="1500" t="s">
        <v>815</v>
      </c>
      <c r="B45" s="611">
        <v>2220</v>
      </c>
      <c r="C45" s="466">
        <v>65925</v>
      </c>
      <c r="D45" s="466">
        <v>15116</v>
      </c>
      <c r="E45" s="466">
        <v>0</v>
      </c>
      <c r="F45" s="466">
        <v>4292</v>
      </c>
      <c r="G45" s="466">
        <v>0</v>
      </c>
      <c r="H45" s="466">
        <v>0</v>
      </c>
      <c r="I45" s="467">
        <v>0</v>
      </c>
      <c r="J45" s="467">
        <v>0</v>
      </c>
      <c r="K45" s="1668">
        <f>SUM(C45:J45)</f>
        <v>85333</v>
      </c>
      <c r="L45" s="466">
        <v>93830</v>
      </c>
    </row>
    <row r="46" spans="1:14" x14ac:dyDescent="0.2">
      <c r="A46" s="1500" t="s">
        <v>816</v>
      </c>
      <c r="B46" s="611">
        <v>2230</v>
      </c>
      <c r="C46" s="466">
        <v>0</v>
      </c>
      <c r="D46" s="466">
        <v>0</v>
      </c>
      <c r="E46" s="466">
        <v>0</v>
      </c>
      <c r="F46" s="466">
        <v>0</v>
      </c>
      <c r="G46" s="466">
        <v>0</v>
      </c>
      <c r="H46" s="466">
        <v>0</v>
      </c>
      <c r="I46" s="467">
        <v>0</v>
      </c>
      <c r="J46" s="467">
        <v>0</v>
      </c>
      <c r="K46" s="1668">
        <f>SUM(C46:J46)</f>
        <v>0</v>
      </c>
      <c r="L46" s="466">
        <v>0</v>
      </c>
    </row>
    <row r="47" spans="1:14" ht="12.75" customHeight="1" thickBot="1" x14ac:dyDescent="0.25">
      <c r="A47" s="1664" t="s">
        <v>561</v>
      </c>
      <c r="B47" s="1665" t="s">
        <v>32</v>
      </c>
      <c r="C47" s="1666">
        <f>SUM(C44:C46)</f>
        <v>110502</v>
      </c>
      <c r="D47" s="1666">
        <f t="shared" ref="D47:K47" si="4">SUM(D44:D46)</f>
        <v>23468</v>
      </c>
      <c r="E47" s="1666">
        <f t="shared" si="4"/>
        <v>650</v>
      </c>
      <c r="F47" s="1666">
        <f t="shared" si="4"/>
        <v>4292</v>
      </c>
      <c r="G47" s="1666">
        <f t="shared" si="4"/>
        <v>0</v>
      </c>
      <c r="H47" s="1666">
        <f t="shared" si="4"/>
        <v>0</v>
      </c>
      <c r="I47" s="1666">
        <f t="shared" si="4"/>
        <v>0</v>
      </c>
      <c r="J47" s="1666">
        <f t="shared" si="4"/>
        <v>0</v>
      </c>
      <c r="K47" s="1666">
        <f t="shared" si="4"/>
        <v>138912</v>
      </c>
      <c r="L47" s="1666">
        <f>SUM(L44:L46)</f>
        <v>148600</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0</v>
      </c>
      <c r="D49" s="479">
        <v>0</v>
      </c>
      <c r="E49" s="479">
        <v>25355</v>
      </c>
      <c r="F49" s="479">
        <v>1895</v>
      </c>
      <c r="G49" s="479">
        <v>0</v>
      </c>
      <c r="H49" s="479">
        <v>19511</v>
      </c>
      <c r="I49" s="467">
        <v>0</v>
      </c>
      <c r="J49" s="467">
        <v>0</v>
      </c>
      <c r="K49" s="1668">
        <f>SUM(C49:J49)</f>
        <v>46761</v>
      </c>
      <c r="L49" s="479">
        <v>55000</v>
      </c>
    </row>
    <row r="50" spans="1:14" x14ac:dyDescent="0.2">
      <c r="A50" s="1500" t="s">
        <v>818</v>
      </c>
      <c r="B50" s="611">
        <v>2320</v>
      </c>
      <c r="C50" s="467">
        <v>131205</v>
      </c>
      <c r="D50" s="466">
        <v>26443</v>
      </c>
      <c r="E50" s="466">
        <v>1712</v>
      </c>
      <c r="F50" s="466">
        <v>895</v>
      </c>
      <c r="G50" s="466">
        <v>0</v>
      </c>
      <c r="H50" s="466">
        <v>2585</v>
      </c>
      <c r="I50" s="467">
        <v>0</v>
      </c>
      <c r="J50" s="467">
        <v>0</v>
      </c>
      <c r="K50" s="1668">
        <f>SUM(C50:J50)</f>
        <v>162840</v>
      </c>
      <c r="L50" s="466">
        <v>162750</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131205</v>
      </c>
      <c r="D53" s="1666">
        <f t="shared" ref="D53:L53" si="5">SUM(D49:D52)</f>
        <v>26443</v>
      </c>
      <c r="E53" s="1666">
        <f t="shared" si="5"/>
        <v>27067</v>
      </c>
      <c r="F53" s="1666">
        <f t="shared" si="5"/>
        <v>2790</v>
      </c>
      <c r="G53" s="1666">
        <f t="shared" si="5"/>
        <v>0</v>
      </c>
      <c r="H53" s="1666">
        <f t="shared" si="5"/>
        <v>22096</v>
      </c>
      <c r="I53" s="1666">
        <f t="shared" si="5"/>
        <v>0</v>
      </c>
      <c r="J53" s="1666">
        <f t="shared" si="5"/>
        <v>0</v>
      </c>
      <c r="K53" s="1666">
        <f t="shared" si="5"/>
        <v>209601</v>
      </c>
      <c r="L53" s="1666">
        <f t="shared" si="5"/>
        <v>217750</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214860</v>
      </c>
      <c r="D55" s="479">
        <v>60064</v>
      </c>
      <c r="E55" s="479">
        <v>25644</v>
      </c>
      <c r="F55" s="479">
        <v>3336</v>
      </c>
      <c r="G55" s="479">
        <v>0</v>
      </c>
      <c r="H55" s="479">
        <v>433</v>
      </c>
      <c r="I55" s="467">
        <v>0</v>
      </c>
      <c r="J55" s="467">
        <v>0</v>
      </c>
      <c r="K55" s="1668">
        <f>SUM(C55:J55)</f>
        <v>304337</v>
      </c>
      <c r="L55" s="479">
        <v>316205</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214860</v>
      </c>
      <c r="D57" s="1670">
        <f t="shared" ref="D57:K57" si="6">SUM(D55:D56)</f>
        <v>60064</v>
      </c>
      <c r="E57" s="1670">
        <f t="shared" si="6"/>
        <v>25644</v>
      </c>
      <c r="F57" s="1670">
        <f t="shared" si="6"/>
        <v>3336</v>
      </c>
      <c r="G57" s="1670">
        <f t="shared" si="6"/>
        <v>0</v>
      </c>
      <c r="H57" s="1670">
        <f t="shared" si="6"/>
        <v>433</v>
      </c>
      <c r="I57" s="1670">
        <f t="shared" si="6"/>
        <v>0</v>
      </c>
      <c r="J57" s="1670">
        <f t="shared" si="6"/>
        <v>0</v>
      </c>
      <c r="K57" s="1670">
        <f t="shared" si="6"/>
        <v>304337</v>
      </c>
      <c r="L57" s="1666">
        <f>SUM(L55:L56)</f>
        <v>316205</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48180</v>
      </c>
      <c r="D60" s="466">
        <v>157</v>
      </c>
      <c r="E60" s="466">
        <v>0</v>
      </c>
      <c r="F60" s="466">
        <v>5973</v>
      </c>
      <c r="G60" s="466">
        <v>0</v>
      </c>
      <c r="H60" s="466">
        <v>0</v>
      </c>
      <c r="I60" s="467">
        <v>0</v>
      </c>
      <c r="J60" s="467">
        <v>0</v>
      </c>
      <c r="K60" s="1668">
        <f t="shared" si="7"/>
        <v>54310</v>
      </c>
      <c r="L60" s="466">
        <v>56045</v>
      </c>
      <c r="M60" s="606"/>
      <c r="N60" s="606"/>
    </row>
    <row r="61" spans="1:14" s="343" customFormat="1" x14ac:dyDescent="0.2">
      <c r="A61" s="1500" t="s">
        <v>197</v>
      </c>
      <c r="B61" s="611">
        <v>2540</v>
      </c>
      <c r="C61" s="466">
        <v>0</v>
      </c>
      <c r="D61" s="466">
        <v>0</v>
      </c>
      <c r="E61" s="466">
        <v>0</v>
      </c>
      <c r="F61" s="466">
        <v>0</v>
      </c>
      <c r="G61" s="466">
        <v>0</v>
      </c>
      <c r="H61" s="466">
        <v>0</v>
      </c>
      <c r="I61" s="467">
        <v>0</v>
      </c>
      <c r="J61" s="467">
        <v>0</v>
      </c>
      <c r="K61" s="1668">
        <f t="shared" si="7"/>
        <v>0</v>
      </c>
      <c r="L61" s="466">
        <v>0</v>
      </c>
      <c r="M61" s="606"/>
      <c r="N61" s="606"/>
    </row>
    <row r="62" spans="1:14" s="343" customFormat="1" x14ac:dyDescent="0.2">
      <c r="A62" s="1500" t="s">
        <v>953</v>
      </c>
      <c r="B62" s="611">
        <v>2550</v>
      </c>
      <c r="C62" s="466">
        <v>0</v>
      </c>
      <c r="D62" s="466">
        <v>0</v>
      </c>
      <c r="E62" s="466">
        <v>0</v>
      </c>
      <c r="F62" s="466">
        <v>0</v>
      </c>
      <c r="G62" s="466">
        <v>0</v>
      </c>
      <c r="H62" s="466">
        <v>0</v>
      </c>
      <c r="I62" s="467">
        <v>0</v>
      </c>
      <c r="J62" s="467">
        <v>0</v>
      </c>
      <c r="K62" s="1668">
        <f t="shared" si="7"/>
        <v>0</v>
      </c>
      <c r="L62" s="466">
        <v>0</v>
      </c>
      <c r="M62" s="606"/>
      <c r="N62" s="606"/>
    </row>
    <row r="63" spans="1:14" s="606" customFormat="1" x14ac:dyDescent="0.2">
      <c r="A63" s="1500" t="s">
        <v>100</v>
      </c>
      <c r="B63" s="611">
        <v>2560</v>
      </c>
      <c r="C63" s="466">
        <v>118842</v>
      </c>
      <c r="D63" s="466">
        <v>13626</v>
      </c>
      <c r="E63" s="466">
        <v>2336</v>
      </c>
      <c r="F63" s="466">
        <v>165809</v>
      </c>
      <c r="G63" s="466">
        <v>0</v>
      </c>
      <c r="H63" s="466">
        <v>570</v>
      </c>
      <c r="I63" s="467">
        <v>0</v>
      </c>
      <c r="J63" s="467">
        <v>0</v>
      </c>
      <c r="K63" s="1668">
        <f t="shared" si="7"/>
        <v>301183</v>
      </c>
      <c r="L63" s="466">
        <v>313710</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167022</v>
      </c>
      <c r="D65" s="1666">
        <f t="shared" ref="D65:L65" si="8">SUM(D59:D64)</f>
        <v>13783</v>
      </c>
      <c r="E65" s="1666">
        <f t="shared" si="8"/>
        <v>2336</v>
      </c>
      <c r="F65" s="1666">
        <f t="shared" si="8"/>
        <v>171782</v>
      </c>
      <c r="G65" s="1666">
        <f t="shared" si="8"/>
        <v>0</v>
      </c>
      <c r="H65" s="1666">
        <f t="shared" si="8"/>
        <v>570</v>
      </c>
      <c r="I65" s="1666">
        <f t="shared" si="8"/>
        <v>0</v>
      </c>
      <c r="J65" s="1666">
        <f t="shared" si="8"/>
        <v>0</v>
      </c>
      <c r="K65" s="1666">
        <f t="shared" si="8"/>
        <v>355493</v>
      </c>
      <c r="L65" s="1666">
        <f t="shared" si="8"/>
        <v>369755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3587</v>
      </c>
      <c r="D69" s="466">
        <v>422</v>
      </c>
      <c r="E69" s="466">
        <v>0</v>
      </c>
      <c r="F69" s="466">
        <v>0</v>
      </c>
      <c r="G69" s="466">
        <v>0</v>
      </c>
      <c r="H69" s="466">
        <v>0</v>
      </c>
      <c r="I69" s="467">
        <v>0</v>
      </c>
      <c r="J69" s="467">
        <v>0</v>
      </c>
      <c r="K69" s="1668">
        <f>SUM(C69:J69)</f>
        <v>4009</v>
      </c>
      <c r="L69" s="466">
        <v>4045</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72907</v>
      </c>
      <c r="D71" s="466">
        <v>15982</v>
      </c>
      <c r="E71" s="466">
        <v>0</v>
      </c>
      <c r="F71" s="466">
        <v>0</v>
      </c>
      <c r="G71" s="466">
        <v>0</v>
      </c>
      <c r="H71" s="466">
        <v>0</v>
      </c>
      <c r="I71" s="467">
        <v>0</v>
      </c>
      <c r="J71" s="467">
        <v>0</v>
      </c>
      <c r="K71" s="1668">
        <f>SUM(C71:J71)</f>
        <v>88889</v>
      </c>
      <c r="L71" s="466">
        <v>92771</v>
      </c>
      <c r="M71" s="606"/>
      <c r="N71" s="606"/>
    </row>
    <row r="72" spans="1:14" s="343" customFormat="1" ht="12.75" customHeight="1" thickBot="1" x14ac:dyDescent="0.25">
      <c r="A72" s="1664" t="s">
        <v>37</v>
      </c>
      <c r="B72" s="1671" t="s">
        <v>36</v>
      </c>
      <c r="C72" s="1666">
        <f>SUM(C67:C71)</f>
        <v>76494</v>
      </c>
      <c r="D72" s="1666">
        <f t="shared" ref="D72:K72" si="9">SUM(D67:D71)</f>
        <v>16404</v>
      </c>
      <c r="E72" s="1666">
        <f t="shared" si="9"/>
        <v>0</v>
      </c>
      <c r="F72" s="1666">
        <f t="shared" si="9"/>
        <v>0</v>
      </c>
      <c r="G72" s="1666">
        <f t="shared" si="9"/>
        <v>0</v>
      </c>
      <c r="H72" s="1666">
        <f t="shared" si="9"/>
        <v>0</v>
      </c>
      <c r="I72" s="1666">
        <f t="shared" si="9"/>
        <v>0</v>
      </c>
      <c r="J72" s="1666">
        <f t="shared" si="9"/>
        <v>0</v>
      </c>
      <c r="K72" s="1666">
        <f t="shared" si="9"/>
        <v>92898</v>
      </c>
      <c r="L72" s="1666">
        <f>SUM(L67:L71)</f>
        <v>96816</v>
      </c>
      <c r="M72" s="606"/>
      <c r="N72" s="606"/>
    </row>
    <row r="73" spans="1:14" s="343" customFormat="1" ht="14.25" thickTop="1" thickBot="1" x14ac:dyDescent="0.25">
      <c r="A73" s="1506" t="s">
        <v>980</v>
      </c>
      <c r="B73" s="629" t="s">
        <v>574</v>
      </c>
      <c r="C73" s="467">
        <v>0</v>
      </c>
      <c r="D73" s="467">
        <v>0</v>
      </c>
      <c r="E73" s="467">
        <v>0</v>
      </c>
      <c r="F73" s="467">
        <v>0</v>
      </c>
      <c r="G73" s="467">
        <v>0</v>
      </c>
      <c r="H73" s="467">
        <v>0</v>
      </c>
      <c r="I73" s="467">
        <v>0</v>
      </c>
      <c r="J73" s="467">
        <v>0</v>
      </c>
      <c r="K73" s="1666">
        <f>SUM(C73:J73)</f>
        <v>0</v>
      </c>
      <c r="L73" s="573">
        <v>0</v>
      </c>
      <c r="M73" s="606"/>
      <c r="N73" s="606"/>
    </row>
    <row r="74" spans="1:14" ht="12.75" customHeight="1" thickTop="1" thickBot="1" x14ac:dyDescent="0.25">
      <c r="A74" s="1664" t="s">
        <v>811</v>
      </c>
      <c r="B74" s="1672">
        <v>2000</v>
      </c>
      <c r="C74" s="1673">
        <f>SUM(C42,C47,C53,C57,C65,C72,C73)</f>
        <v>842814</v>
      </c>
      <c r="D74" s="1673">
        <f t="shared" ref="D74:K74" si="10">SUM(D42,D47,D53,D57,D65,D72,D73)</f>
        <v>165771</v>
      </c>
      <c r="E74" s="1673">
        <f t="shared" si="10"/>
        <v>57047</v>
      </c>
      <c r="F74" s="1673">
        <f t="shared" si="10"/>
        <v>183924</v>
      </c>
      <c r="G74" s="1673">
        <f t="shared" si="10"/>
        <v>0</v>
      </c>
      <c r="H74" s="1673">
        <f t="shared" si="10"/>
        <v>27395</v>
      </c>
      <c r="I74" s="1673">
        <f t="shared" si="10"/>
        <v>0</v>
      </c>
      <c r="J74" s="1673">
        <f t="shared" si="10"/>
        <v>0</v>
      </c>
      <c r="K74" s="1673">
        <f t="shared" si="10"/>
        <v>1276951</v>
      </c>
      <c r="L74" s="1673">
        <f>SUM(L42,L47,L53,L57,L65,L72,L73)</f>
        <v>1342815</v>
      </c>
    </row>
    <row r="75" spans="1:14" s="259" customFormat="1" ht="15.75" customHeight="1" thickTop="1" thickBot="1" x14ac:dyDescent="0.25">
      <c r="A75" s="1606" t="s">
        <v>47</v>
      </c>
      <c r="B75" s="1607" t="s">
        <v>575</v>
      </c>
      <c r="C75" s="467">
        <v>0</v>
      </c>
      <c r="D75" s="467">
        <v>0</v>
      </c>
      <c r="E75" s="467">
        <v>0</v>
      </c>
      <c r="F75" s="467">
        <v>0</v>
      </c>
      <c r="G75" s="467">
        <v>0</v>
      </c>
      <c r="H75" s="467">
        <v>0</v>
      </c>
      <c r="I75" s="467">
        <v>0</v>
      </c>
      <c r="J75" s="467">
        <v>0</v>
      </c>
      <c r="K75" s="1666">
        <f>SUM(C75:J75)</f>
        <v>0</v>
      </c>
      <c r="L75" s="573">
        <v>0</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0</v>
      </c>
      <c r="F78" s="613"/>
      <c r="G78" s="613"/>
      <c r="H78" s="631">
        <v>0</v>
      </c>
      <c r="I78" s="475"/>
      <c r="J78" s="475"/>
      <c r="K78" s="1667">
        <f t="shared" ref="K78:K83" si="11">SUM(C78:J78)</f>
        <v>0</v>
      </c>
      <c r="L78" s="479">
        <v>0</v>
      </c>
    </row>
    <row r="79" spans="1:14" x14ac:dyDescent="0.2">
      <c r="A79" s="1500" t="s">
        <v>304</v>
      </c>
      <c r="B79" s="611">
        <v>4120</v>
      </c>
      <c r="C79" s="613"/>
      <c r="D79" s="613"/>
      <c r="E79" s="466">
        <v>216364</v>
      </c>
      <c r="F79" s="613"/>
      <c r="G79" s="613"/>
      <c r="H79" s="466">
        <v>0</v>
      </c>
      <c r="I79" s="475"/>
      <c r="J79" s="475"/>
      <c r="K79" s="1667">
        <f t="shared" si="11"/>
        <v>216364</v>
      </c>
      <c r="L79" s="466">
        <v>217300</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0</v>
      </c>
      <c r="I83" s="475"/>
      <c r="J83" s="475"/>
      <c r="K83" s="1667">
        <f t="shared" si="11"/>
        <v>0</v>
      </c>
      <c r="L83" s="466">
        <v>0</v>
      </c>
    </row>
    <row r="84" spans="1:12" ht="13.5" thickBot="1" x14ac:dyDescent="0.25">
      <c r="A84" s="1664" t="s">
        <v>1485</v>
      </c>
      <c r="B84" s="1674">
        <v>4100</v>
      </c>
      <c r="C84" s="613"/>
      <c r="D84" s="613"/>
      <c r="E84" s="1666">
        <f>SUM(E78:E83)</f>
        <v>216364</v>
      </c>
      <c r="F84" s="613"/>
      <c r="G84" s="613"/>
      <c r="H84" s="1666">
        <f>SUM(H78:H83)</f>
        <v>0</v>
      </c>
      <c r="I84" s="475"/>
      <c r="J84" s="475"/>
      <c r="K84" s="1666">
        <f>SUM(K78:K83)</f>
        <v>216364</v>
      </c>
      <c r="L84" s="1666">
        <f>SUM(L78:L83)</f>
        <v>217300</v>
      </c>
    </row>
    <row r="85" spans="1:12" ht="12.75" customHeight="1" thickTop="1" thickBot="1" x14ac:dyDescent="0.25">
      <c r="A85" s="1507" t="s">
        <v>255</v>
      </c>
      <c r="B85" s="632">
        <v>4210</v>
      </c>
      <c r="C85" s="613"/>
      <c r="D85" s="613"/>
      <c r="E85" s="633"/>
      <c r="F85" s="613"/>
      <c r="G85" s="613"/>
      <c r="H85" s="532">
        <v>0</v>
      </c>
      <c r="I85" s="475"/>
      <c r="J85" s="475"/>
      <c r="K85" s="1673">
        <f>H85</f>
        <v>0</v>
      </c>
      <c r="L85" s="527">
        <v>0</v>
      </c>
    </row>
    <row r="86" spans="1:12" ht="12.75" customHeight="1" thickTop="1" thickBot="1" x14ac:dyDescent="0.25">
      <c r="A86" s="1508" t="s">
        <v>699</v>
      </c>
      <c r="B86" s="634">
        <v>4220</v>
      </c>
      <c r="C86" s="613"/>
      <c r="D86" s="613"/>
      <c r="E86" s="635"/>
      <c r="F86" s="613"/>
      <c r="G86" s="613"/>
      <c r="H86" s="467">
        <v>269353</v>
      </c>
      <c r="I86" s="475"/>
      <c r="J86" s="475"/>
      <c r="K86" s="1673">
        <f t="shared" ref="K86:K98" si="12">H86</f>
        <v>269353</v>
      </c>
      <c r="L86" s="527">
        <v>289000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269353</v>
      </c>
      <c r="I92" s="475"/>
      <c r="J92" s="475"/>
      <c r="K92" s="1673">
        <f t="shared" si="12"/>
        <v>269353</v>
      </c>
      <c r="L92" s="1666">
        <f>SUM(L85:L91)</f>
        <v>289000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216364</v>
      </c>
      <c r="F102" s="613"/>
      <c r="G102" s="613"/>
      <c r="H102" s="1673">
        <f>SUM(H84,H92,H100,H101)</f>
        <v>269353</v>
      </c>
      <c r="I102" s="475"/>
      <c r="J102" s="475"/>
      <c r="K102" s="1673">
        <f>SUM(K84,K92,K100,K101)</f>
        <v>485717</v>
      </c>
      <c r="L102" s="1673">
        <f>SUM(L84,L92,L100,L101)</f>
        <v>506300</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5000</v>
      </c>
      <c r="M113" s="610"/>
      <c r="N113" s="610"/>
    </row>
    <row r="114" spans="1:14" ht="12.75" customHeight="1" thickTop="1" thickBot="1" x14ac:dyDescent="0.25">
      <c r="A114" s="1664" t="s">
        <v>48</v>
      </c>
      <c r="B114" s="1678"/>
      <c r="C114" s="1666">
        <f>SUM(C33,C74,C75,C102,C112,C113)</f>
        <v>3813219</v>
      </c>
      <c r="D114" s="1666">
        <f t="shared" ref="D114:K114" si="13">SUM(D33,D74,D75,D102,D112,D113)</f>
        <v>797947</v>
      </c>
      <c r="E114" s="1666">
        <f t="shared" si="13"/>
        <v>334862</v>
      </c>
      <c r="F114" s="1666">
        <f t="shared" si="13"/>
        <v>312649</v>
      </c>
      <c r="G114" s="1666">
        <f t="shared" si="13"/>
        <v>33782</v>
      </c>
      <c r="H114" s="1666">
        <f>SUM(H33,H74,H75,H102,H112,H113)</f>
        <v>365519</v>
      </c>
      <c r="I114" s="1666">
        <f t="shared" si="13"/>
        <v>0</v>
      </c>
      <c r="J114" s="1666">
        <f t="shared" si="13"/>
        <v>0</v>
      </c>
      <c r="K114" s="1666">
        <f t="shared" si="13"/>
        <v>5657978</v>
      </c>
      <c r="L114" s="1666">
        <f>SUM(L33,L74,L75,L102,L112,L113)</f>
        <v>5820390</v>
      </c>
    </row>
    <row r="115" spans="1:14" ht="13.5" thickTop="1" x14ac:dyDescent="0.2">
      <c r="A115" s="2154" t="s">
        <v>996</v>
      </c>
      <c r="B115" s="2155"/>
      <c r="C115" s="615"/>
      <c r="D115" s="615"/>
      <c r="E115" s="615"/>
      <c r="F115" s="615"/>
      <c r="G115" s="615"/>
      <c r="H115" s="615"/>
      <c r="I115" s="615"/>
      <c r="J115" s="615"/>
      <c r="K115" s="1680">
        <f>'Revenues 9-14'!C268-'Expenditures 15-22'!K114</f>
        <v>131333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9" t="s">
        <v>296</v>
      </c>
      <c r="B117" s="2160"/>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1600</v>
      </c>
      <c r="G120" s="466">
        <v>0</v>
      </c>
      <c r="H120" s="466">
        <v>0</v>
      </c>
      <c r="I120" s="467">
        <v>0</v>
      </c>
      <c r="J120" s="467">
        <v>0</v>
      </c>
      <c r="K120" s="1667">
        <f>SUM(C120:J120)</f>
        <v>1600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7130</v>
      </c>
      <c r="F123" s="466">
        <v>9235</v>
      </c>
      <c r="G123" s="466">
        <v>25499</v>
      </c>
      <c r="H123" s="466">
        <v>0</v>
      </c>
      <c r="I123" s="467">
        <v>0</v>
      </c>
      <c r="J123" s="467">
        <v>0</v>
      </c>
      <c r="K123" s="1666">
        <f>SUM(C123:J123)</f>
        <v>41864</v>
      </c>
      <c r="L123" s="466">
        <v>292500</v>
      </c>
    </row>
    <row r="124" spans="1:14" ht="14.25" thickTop="1" thickBot="1" x14ac:dyDescent="0.25">
      <c r="A124" s="1500" t="s">
        <v>197</v>
      </c>
      <c r="B124" s="611">
        <v>2540</v>
      </c>
      <c r="C124" s="466">
        <v>175972</v>
      </c>
      <c r="D124" s="466">
        <v>25831</v>
      </c>
      <c r="E124" s="466">
        <v>76670</v>
      </c>
      <c r="F124" s="466">
        <v>162363</v>
      </c>
      <c r="G124" s="466">
        <v>3758</v>
      </c>
      <c r="H124" s="466">
        <v>0</v>
      </c>
      <c r="I124" s="467">
        <v>0</v>
      </c>
      <c r="J124" s="467">
        <v>0</v>
      </c>
      <c r="K124" s="1666">
        <f>SUM(C124:J124)</f>
        <v>444594</v>
      </c>
      <c r="L124" s="466">
        <v>496825</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175972</v>
      </c>
      <c r="D127" s="1666">
        <f t="shared" ref="D127:L127" si="14">SUM(D122:D126)</f>
        <v>25831</v>
      </c>
      <c r="E127" s="1666">
        <f t="shared" si="14"/>
        <v>83800</v>
      </c>
      <c r="F127" s="1666">
        <f t="shared" si="14"/>
        <v>171598</v>
      </c>
      <c r="G127" s="1666">
        <f t="shared" si="14"/>
        <v>29257</v>
      </c>
      <c r="H127" s="1666">
        <f t="shared" si="14"/>
        <v>0</v>
      </c>
      <c r="I127" s="1666">
        <f t="shared" si="14"/>
        <v>0</v>
      </c>
      <c r="J127" s="1666">
        <f t="shared" si="14"/>
        <v>0</v>
      </c>
      <c r="K127" s="1666">
        <f t="shared" si="14"/>
        <v>486458</v>
      </c>
      <c r="L127" s="1666">
        <f t="shared" si="14"/>
        <v>789325</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175972</v>
      </c>
      <c r="D129" s="1673">
        <f t="shared" ref="D129:L129" si="15">SUM(D120,D127,D128)</f>
        <v>25831</v>
      </c>
      <c r="E129" s="1673">
        <f t="shared" si="15"/>
        <v>83800</v>
      </c>
      <c r="F129" s="1673">
        <f t="shared" si="15"/>
        <v>173198</v>
      </c>
      <c r="G129" s="1673">
        <f t="shared" si="15"/>
        <v>29257</v>
      </c>
      <c r="H129" s="1673">
        <f t="shared" si="15"/>
        <v>0</v>
      </c>
      <c r="I129" s="1673">
        <f t="shared" si="15"/>
        <v>0</v>
      </c>
      <c r="J129" s="1673">
        <f t="shared" si="15"/>
        <v>0</v>
      </c>
      <c r="K129" s="1673">
        <f t="shared" si="15"/>
        <v>488058</v>
      </c>
      <c r="L129" s="1673">
        <f t="shared" si="15"/>
        <v>789325</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30000</v>
      </c>
    </row>
    <row r="151" spans="1:14" ht="12.75" customHeight="1" thickTop="1" thickBot="1" x14ac:dyDescent="0.25">
      <c r="A151" s="2171" t="s">
        <v>620</v>
      </c>
      <c r="B151" s="2151"/>
      <c r="C151" s="1666">
        <f>SUM(C129,C130,C139,C149,C150)</f>
        <v>175972</v>
      </c>
      <c r="D151" s="1666">
        <f t="shared" ref="D151:K151" si="16">SUM(D129,D130,D139,D149,D150)</f>
        <v>25831</v>
      </c>
      <c r="E151" s="1666">
        <f t="shared" si="16"/>
        <v>83800</v>
      </c>
      <c r="F151" s="1666">
        <f t="shared" si="16"/>
        <v>173198</v>
      </c>
      <c r="G151" s="1666">
        <f t="shared" si="16"/>
        <v>29257</v>
      </c>
      <c r="H151" s="1666">
        <f t="shared" si="16"/>
        <v>0</v>
      </c>
      <c r="I151" s="1666">
        <f t="shared" si="16"/>
        <v>0</v>
      </c>
      <c r="J151" s="1666">
        <f t="shared" si="16"/>
        <v>0</v>
      </c>
      <c r="K151" s="1666">
        <f t="shared" si="16"/>
        <v>488058</v>
      </c>
      <c r="L151" s="1666">
        <f>SUM(L129,L130,L139,L149,L150)</f>
        <v>819325</v>
      </c>
    </row>
    <row r="152" spans="1:14" ht="12.75" customHeight="1" thickTop="1" x14ac:dyDescent="0.2">
      <c r="A152" s="2174" t="s">
        <v>1178</v>
      </c>
      <c r="B152" s="2175"/>
      <c r="C152" s="615"/>
      <c r="D152" s="615"/>
      <c r="E152" s="615"/>
      <c r="F152" s="615"/>
      <c r="G152" s="615"/>
      <c r="H152" s="615"/>
      <c r="I152" s="615"/>
      <c r="J152" s="613"/>
      <c r="K152" s="1680">
        <f>'Revenues 9-14'!D268-'Expenditures 15-22'!K151</f>
        <v>160110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9" t="s">
        <v>621</v>
      </c>
      <c r="B154" s="2161"/>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144966</v>
      </c>
      <c r="I169" s="613"/>
      <c r="J169" s="613"/>
      <c r="K169" s="1667">
        <f>SUM(C169:H169)</f>
        <v>144966</v>
      </c>
      <c r="L169" s="653">
        <v>145000</v>
      </c>
    </row>
    <row r="170" spans="1:14" ht="33.75" customHeight="1" x14ac:dyDescent="0.2">
      <c r="A170" s="666" t="s">
        <v>1670</v>
      </c>
      <c r="B170" s="668" t="s">
        <v>31</v>
      </c>
      <c r="C170" s="613"/>
      <c r="D170" s="613"/>
      <c r="E170" s="613"/>
      <c r="F170" s="613"/>
      <c r="G170" s="613"/>
      <c r="H170" s="566">
        <v>950000</v>
      </c>
      <c r="I170" s="613"/>
      <c r="J170" s="613"/>
      <c r="K170" s="1667">
        <f>SUM(C170:J170)</f>
        <v>950000</v>
      </c>
      <c r="L170" s="566">
        <v>950000</v>
      </c>
    </row>
    <row r="171" spans="1:14" ht="15.75" customHeight="1" x14ac:dyDescent="0.2">
      <c r="A171" s="618" t="s">
        <v>766</v>
      </c>
      <c r="B171" s="669" t="s">
        <v>84</v>
      </c>
      <c r="C171" s="613"/>
      <c r="D171" s="613"/>
      <c r="E171" s="466">
        <v>0</v>
      </c>
      <c r="F171" s="613"/>
      <c r="G171" s="613"/>
      <c r="H171" s="566">
        <v>0</v>
      </c>
      <c r="I171" s="475"/>
      <c r="J171" s="613"/>
      <c r="K171" s="1667">
        <f>SUM(C171:J171)</f>
        <v>0</v>
      </c>
      <c r="L171" s="566">
        <v>1000</v>
      </c>
    </row>
    <row r="172" spans="1:14" ht="12.75" customHeight="1" thickBot="1" x14ac:dyDescent="0.25">
      <c r="A172" s="1664" t="s">
        <v>638</v>
      </c>
      <c r="B172" s="1665" t="s">
        <v>492</v>
      </c>
      <c r="C172" s="613"/>
      <c r="D172" s="613"/>
      <c r="E172" s="1673">
        <f>SUM(E168,E169,E170,E171)</f>
        <v>0</v>
      </c>
      <c r="F172" s="613"/>
      <c r="G172" s="613"/>
      <c r="H172" s="1673">
        <f>SUM(H168,H169,H170,H171)</f>
        <v>1094966</v>
      </c>
      <c r="I172" s="635"/>
      <c r="J172" s="613"/>
      <c r="K172" s="1673">
        <f>SUM(K168,K169,K170,K171)</f>
        <v>1094966</v>
      </c>
      <c r="L172" s="1673">
        <f>SUM(L168,L169,L170,L171)</f>
        <v>1096000</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1094966</v>
      </c>
      <c r="I174" s="635"/>
      <c r="J174" s="613"/>
      <c r="K174" s="1673">
        <f>SUM(K160,K172,K173)</f>
        <v>1094966</v>
      </c>
      <c r="L174" s="1673">
        <f>SUM(L160,L172,L173)</f>
        <v>1096000</v>
      </c>
    </row>
    <row r="175" spans="1:14" ht="13.5" thickTop="1" x14ac:dyDescent="0.2">
      <c r="A175" s="2154" t="s">
        <v>996</v>
      </c>
      <c r="B175" s="2155"/>
      <c r="C175" s="613"/>
      <c r="D175" s="613"/>
      <c r="E175" s="613"/>
      <c r="F175" s="613"/>
      <c r="G175" s="613"/>
      <c r="H175" s="615"/>
      <c r="I175" s="613"/>
      <c r="J175" s="613"/>
      <c r="K175" s="1680">
        <f>'Revenues 9-14'!E268-'Expenditures 15-22'!K174</f>
        <v>174457</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186323</v>
      </c>
      <c r="D182" s="466">
        <v>17919</v>
      </c>
      <c r="E182" s="466">
        <v>4565</v>
      </c>
      <c r="F182" s="466">
        <v>78846</v>
      </c>
      <c r="G182" s="466">
        <v>94000</v>
      </c>
      <c r="H182" s="466">
        <v>0</v>
      </c>
      <c r="I182" s="467">
        <v>0</v>
      </c>
      <c r="J182" s="467">
        <v>0</v>
      </c>
      <c r="K182" s="1667">
        <f>SUM(C182:J182)</f>
        <v>381653</v>
      </c>
      <c r="L182" s="466">
        <v>329124</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186323</v>
      </c>
      <c r="D184" s="1673">
        <f t="shared" ref="D184:J184" si="17">SUM(D180,D182,D183)</f>
        <v>17919</v>
      </c>
      <c r="E184" s="1673">
        <f t="shared" si="17"/>
        <v>4565</v>
      </c>
      <c r="F184" s="1673">
        <f t="shared" si="17"/>
        <v>78846</v>
      </c>
      <c r="G184" s="1673">
        <f t="shared" si="17"/>
        <v>94000</v>
      </c>
      <c r="H184" s="1673">
        <f t="shared" si="17"/>
        <v>0</v>
      </c>
      <c r="I184" s="1673">
        <f t="shared" si="17"/>
        <v>0</v>
      </c>
      <c r="J184" s="1673">
        <f t="shared" si="17"/>
        <v>0</v>
      </c>
      <c r="K184" s="1673">
        <f>SUM(K180,K182,K183)</f>
        <v>381653</v>
      </c>
      <c r="L184" s="1673">
        <f>SUM(L180, L182:L183)</f>
        <v>329124</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2349</v>
      </c>
      <c r="I205" s="613"/>
      <c r="J205" s="613"/>
      <c r="K205" s="1681">
        <f>SUM(H205)</f>
        <v>2349</v>
      </c>
      <c r="L205" s="532">
        <v>4200</v>
      </c>
    </row>
    <row r="206" spans="1:14" ht="30" customHeight="1" x14ac:dyDescent="0.2">
      <c r="A206" s="678" t="s">
        <v>1671</v>
      </c>
      <c r="B206" s="669" t="s">
        <v>31</v>
      </c>
      <c r="C206" s="613"/>
      <c r="D206" s="613"/>
      <c r="E206" s="613"/>
      <c r="F206" s="613"/>
      <c r="G206" s="613"/>
      <c r="H206" s="466">
        <v>31193</v>
      </c>
      <c r="I206" s="613"/>
      <c r="J206" s="613"/>
      <c r="K206" s="1667">
        <f>SUM(H206)</f>
        <v>31193</v>
      </c>
      <c r="L206" s="466">
        <v>127550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33542</v>
      </c>
      <c r="I208" s="613"/>
      <c r="J208" s="613"/>
      <c r="K208" s="1673">
        <f>SUM(K204,K205,K206,K207)</f>
        <v>33542</v>
      </c>
      <c r="L208" s="1673">
        <f>SUM(L204,L205,L206,L207)</f>
        <v>131750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186323</v>
      </c>
      <c r="D210" s="1666">
        <f>SUM(D184,D185)</f>
        <v>17919</v>
      </c>
      <c r="E210" s="1666">
        <f>SUM(E184,E185,E196)</f>
        <v>4565</v>
      </c>
      <c r="F210" s="1666">
        <f>SUM(F184,F185)</f>
        <v>78846</v>
      </c>
      <c r="G210" s="1666">
        <f>SUM(G184,G185)</f>
        <v>94000</v>
      </c>
      <c r="H210" s="1666">
        <f>SUM(H184,H185,H196,H208,H209)</f>
        <v>33542</v>
      </c>
      <c r="I210" s="1666">
        <f>SUM(I184,I185)</f>
        <v>0</v>
      </c>
      <c r="J210" s="1666">
        <f>SUM(J184,J185)</f>
        <v>0</v>
      </c>
      <c r="K210" s="1667">
        <f>SUM(K184,K185,K196,K208,K209)</f>
        <v>415195</v>
      </c>
      <c r="L210" s="1666">
        <f>SUM(L184,L185,L196,L208,L209)</f>
        <v>460874</v>
      </c>
    </row>
    <row r="211" spans="1:14" ht="13.5" thickTop="1" x14ac:dyDescent="0.2">
      <c r="A211" s="2154" t="s">
        <v>996</v>
      </c>
      <c r="B211" s="2155"/>
      <c r="C211" s="615"/>
      <c r="D211" s="615"/>
      <c r="E211" s="615"/>
      <c r="F211" s="615"/>
      <c r="G211" s="615"/>
      <c r="H211" s="615"/>
      <c r="I211" s="613"/>
      <c r="J211" s="613"/>
      <c r="K211" s="1680">
        <f>'Revenues 9-14'!F268-'Expenditures 15-22'!K210</f>
        <v>-19751</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6" t="s">
        <v>965</v>
      </c>
      <c r="B213" s="2177"/>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34610</v>
      </c>
      <c r="E215" s="613"/>
      <c r="F215" s="613"/>
      <c r="G215" s="613"/>
      <c r="H215" s="613"/>
      <c r="I215" s="613"/>
      <c r="J215" s="613"/>
      <c r="K215" s="1667">
        <f>D215</f>
        <v>34610</v>
      </c>
      <c r="L215" s="466">
        <v>36075</v>
      </c>
    </row>
    <row r="216" spans="1:14" x14ac:dyDescent="0.2">
      <c r="A216" s="1500" t="s">
        <v>163</v>
      </c>
      <c r="B216" s="611" t="s">
        <v>967</v>
      </c>
      <c r="C216" s="613"/>
      <c r="D216" s="467">
        <v>0</v>
      </c>
      <c r="E216" s="613"/>
      <c r="F216" s="613"/>
      <c r="G216" s="613"/>
      <c r="H216" s="613"/>
      <c r="I216" s="613"/>
      <c r="J216" s="613"/>
      <c r="K216" s="1667">
        <f t="shared" ref="K216:K228" si="19">D216</f>
        <v>0</v>
      </c>
      <c r="L216" s="466">
        <v>0</v>
      </c>
    </row>
    <row r="217" spans="1:14" x14ac:dyDescent="0.2">
      <c r="A217" s="1500" t="s">
        <v>164</v>
      </c>
      <c r="B217" s="611">
        <v>1200</v>
      </c>
      <c r="C217" s="613"/>
      <c r="D217" s="466">
        <v>34751</v>
      </c>
      <c r="E217" s="613"/>
      <c r="F217" s="613"/>
      <c r="G217" s="613"/>
      <c r="H217" s="613"/>
      <c r="I217" s="613"/>
      <c r="J217" s="613"/>
      <c r="K217" s="1667">
        <f t="shared" si="19"/>
        <v>34751</v>
      </c>
      <c r="L217" s="466">
        <v>38830</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505</v>
      </c>
      <c r="E219" s="613"/>
      <c r="F219" s="613"/>
      <c r="G219" s="613"/>
      <c r="H219" s="613"/>
      <c r="I219" s="613"/>
      <c r="J219" s="613"/>
      <c r="K219" s="1667">
        <f t="shared" si="19"/>
        <v>505</v>
      </c>
      <c r="L219" s="466">
        <v>675</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0</v>
      </c>
      <c r="E222" s="613"/>
      <c r="F222" s="613"/>
      <c r="G222" s="613"/>
      <c r="H222" s="613"/>
      <c r="I222" s="613"/>
      <c r="J222" s="613"/>
      <c r="K222" s="1667">
        <f t="shared" si="19"/>
        <v>0</v>
      </c>
      <c r="L222" s="466">
        <v>0</v>
      </c>
    </row>
    <row r="223" spans="1:14" x14ac:dyDescent="0.2">
      <c r="A223" s="1500" t="s">
        <v>963</v>
      </c>
      <c r="B223" s="611">
        <v>1500</v>
      </c>
      <c r="C223" s="613"/>
      <c r="D223" s="466">
        <v>2791</v>
      </c>
      <c r="E223" s="613"/>
      <c r="F223" s="613"/>
      <c r="G223" s="613"/>
      <c r="H223" s="613"/>
      <c r="I223" s="613"/>
      <c r="J223" s="613"/>
      <c r="K223" s="1667">
        <f t="shared" si="19"/>
        <v>2791</v>
      </c>
      <c r="L223" s="466">
        <v>2915</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17</v>
      </c>
      <c r="E225" s="613"/>
      <c r="F225" s="613"/>
      <c r="G225" s="613"/>
      <c r="H225" s="613"/>
      <c r="I225" s="613"/>
      <c r="J225" s="613"/>
      <c r="K225" s="1667">
        <f t="shared" si="19"/>
        <v>17</v>
      </c>
      <c r="L225" s="466">
        <v>0</v>
      </c>
    </row>
    <row r="226" spans="1:12" x14ac:dyDescent="0.2">
      <c r="A226" s="1500" t="s">
        <v>724</v>
      </c>
      <c r="B226" s="611" t="s">
        <v>162</v>
      </c>
      <c r="C226" s="613"/>
      <c r="D226" s="467">
        <v>0</v>
      </c>
      <c r="E226" s="613"/>
      <c r="F226" s="613"/>
      <c r="G226" s="613"/>
      <c r="H226" s="613"/>
      <c r="I226" s="613"/>
      <c r="J226" s="613"/>
      <c r="K226" s="1667">
        <f t="shared" si="19"/>
        <v>0</v>
      </c>
      <c r="L226" s="466">
        <v>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72674</v>
      </c>
      <c r="E229" s="613"/>
      <c r="F229" s="613"/>
      <c r="G229" s="613"/>
      <c r="H229" s="613"/>
      <c r="I229" s="613"/>
      <c r="J229" s="613"/>
      <c r="K229" s="1666">
        <f>SUM(K215:K228)</f>
        <v>72674</v>
      </c>
      <c r="L229" s="1666">
        <f>SUM(L215:L228)</f>
        <v>78495</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0</v>
      </c>
      <c r="E232" s="613"/>
      <c r="F232" s="613"/>
      <c r="G232" s="613"/>
      <c r="H232" s="613"/>
      <c r="I232" s="613"/>
      <c r="J232" s="613"/>
      <c r="K232" s="1667">
        <f t="shared" ref="K232:K237" si="20">D232</f>
        <v>0</v>
      </c>
      <c r="L232" s="466">
        <v>0</v>
      </c>
    </row>
    <row r="233" spans="1:12" x14ac:dyDescent="0.2">
      <c r="A233" s="1500" t="s">
        <v>1090</v>
      </c>
      <c r="B233" s="611">
        <v>2120</v>
      </c>
      <c r="C233" s="613"/>
      <c r="D233" s="466">
        <v>1130</v>
      </c>
      <c r="E233" s="613"/>
      <c r="F233" s="613"/>
      <c r="G233" s="613"/>
      <c r="H233" s="613"/>
      <c r="I233" s="613"/>
      <c r="J233" s="613"/>
      <c r="K233" s="1667">
        <f t="shared" si="20"/>
        <v>1130</v>
      </c>
      <c r="L233" s="466">
        <v>1300</v>
      </c>
    </row>
    <row r="234" spans="1:12" x14ac:dyDescent="0.2">
      <c r="A234" s="1500" t="s">
        <v>198</v>
      </c>
      <c r="B234" s="611">
        <v>2130</v>
      </c>
      <c r="C234" s="613"/>
      <c r="D234" s="466">
        <v>1144</v>
      </c>
      <c r="E234" s="613"/>
      <c r="F234" s="613"/>
      <c r="G234" s="613"/>
      <c r="H234" s="613"/>
      <c r="I234" s="613"/>
      <c r="J234" s="613"/>
      <c r="K234" s="1667">
        <f t="shared" si="20"/>
        <v>1144</v>
      </c>
      <c r="L234" s="466">
        <v>1725</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729</v>
      </c>
      <c r="E236" s="613"/>
      <c r="F236" s="613"/>
      <c r="G236" s="613"/>
      <c r="H236" s="613"/>
      <c r="I236" s="613"/>
      <c r="J236" s="613"/>
      <c r="K236" s="1667">
        <f t="shared" si="20"/>
        <v>729</v>
      </c>
      <c r="L236" s="466">
        <v>925</v>
      </c>
    </row>
    <row r="237" spans="1:12" x14ac:dyDescent="0.2">
      <c r="A237" s="1500" t="s">
        <v>165</v>
      </c>
      <c r="B237" s="611">
        <v>2190</v>
      </c>
      <c r="C237" s="613"/>
      <c r="D237" s="466">
        <v>0</v>
      </c>
      <c r="E237" s="613"/>
      <c r="F237" s="613"/>
      <c r="G237" s="613"/>
      <c r="H237" s="613"/>
      <c r="I237" s="613"/>
      <c r="J237" s="613"/>
      <c r="K237" s="1667">
        <f t="shared" si="20"/>
        <v>0</v>
      </c>
      <c r="L237" s="466">
        <v>0</v>
      </c>
    </row>
    <row r="238" spans="1:12" ht="12.75" customHeight="1" thickBot="1" x14ac:dyDescent="0.25">
      <c r="A238" s="1664" t="s">
        <v>560</v>
      </c>
      <c r="B238" s="1671" t="s">
        <v>716</v>
      </c>
      <c r="C238" s="613"/>
      <c r="D238" s="1666">
        <f>SUM(D232:D237)</f>
        <v>3003</v>
      </c>
      <c r="E238" s="613"/>
      <c r="F238" s="613"/>
      <c r="G238" s="613"/>
      <c r="H238" s="613"/>
      <c r="I238" s="613"/>
      <c r="J238" s="613"/>
      <c r="K238" s="1666">
        <f>SUM(K232:K237)</f>
        <v>3003</v>
      </c>
      <c r="L238" s="1666">
        <f>SUM(L232:L237)</f>
        <v>3950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642</v>
      </c>
      <c r="E240" s="613"/>
      <c r="F240" s="613"/>
      <c r="G240" s="613"/>
      <c r="H240" s="613"/>
      <c r="I240" s="613"/>
      <c r="J240" s="613"/>
      <c r="K240" s="1668">
        <f>D240</f>
        <v>642</v>
      </c>
      <c r="L240" s="479">
        <v>650</v>
      </c>
    </row>
    <row r="241" spans="1:12" x14ac:dyDescent="0.2">
      <c r="A241" s="1500" t="s">
        <v>815</v>
      </c>
      <c r="B241" s="611">
        <v>2220</v>
      </c>
      <c r="C241" s="613"/>
      <c r="D241" s="466">
        <v>3994</v>
      </c>
      <c r="E241" s="613"/>
      <c r="F241" s="613"/>
      <c r="G241" s="613"/>
      <c r="H241" s="613"/>
      <c r="I241" s="613"/>
      <c r="J241" s="613"/>
      <c r="K241" s="1668">
        <f>D241</f>
        <v>3994</v>
      </c>
      <c r="L241" s="466">
        <v>4525</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4636</v>
      </c>
      <c r="E243" s="613"/>
      <c r="F243" s="613"/>
      <c r="G243" s="613"/>
      <c r="H243" s="613"/>
      <c r="I243" s="613"/>
      <c r="J243" s="613"/>
      <c r="K243" s="1666">
        <f>SUM(K240:K242)</f>
        <v>4636</v>
      </c>
      <c r="L243" s="1666">
        <f>SUM(L240:L242)</f>
        <v>5175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0</v>
      </c>
      <c r="E245" s="613"/>
      <c r="F245" s="613"/>
      <c r="G245" s="613"/>
      <c r="H245" s="613"/>
      <c r="I245" s="613"/>
      <c r="J245" s="613"/>
      <c r="K245" s="1668">
        <f>D245</f>
        <v>0</v>
      </c>
      <c r="L245" s="479">
        <v>0</v>
      </c>
    </row>
    <row r="246" spans="1:12" x14ac:dyDescent="0.2">
      <c r="A246" s="1500" t="s">
        <v>818</v>
      </c>
      <c r="B246" s="611">
        <v>2320</v>
      </c>
      <c r="C246" s="613"/>
      <c r="D246" s="466">
        <v>10683</v>
      </c>
      <c r="E246" s="613"/>
      <c r="F246" s="613"/>
      <c r="G246" s="613"/>
      <c r="H246" s="613"/>
      <c r="I246" s="613"/>
      <c r="J246" s="613"/>
      <c r="K246" s="1668">
        <f t="shared" ref="K246:K256" si="21">D246</f>
        <v>10683</v>
      </c>
      <c r="L246" s="466">
        <v>10475</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0</v>
      </c>
      <c r="E254" s="613"/>
      <c r="F254" s="613"/>
      <c r="G254" s="613"/>
      <c r="H254" s="613"/>
      <c r="I254" s="613"/>
      <c r="J254" s="613"/>
      <c r="K254" s="1668">
        <f t="shared" si="21"/>
        <v>0</v>
      </c>
      <c r="L254" s="466">
        <v>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10683</v>
      </c>
      <c r="E257" s="613"/>
      <c r="F257" s="613"/>
      <c r="G257" s="613"/>
      <c r="H257" s="613"/>
      <c r="I257" s="613"/>
      <c r="J257" s="613"/>
      <c r="K257" s="1666">
        <f>SUM(K245:K256)</f>
        <v>10683</v>
      </c>
      <c r="L257" s="1666">
        <f>SUM(L245:L256)</f>
        <v>10475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19779</v>
      </c>
      <c r="E259" s="613"/>
      <c r="F259" s="613"/>
      <c r="G259" s="613"/>
      <c r="H259" s="613"/>
      <c r="I259" s="613"/>
      <c r="J259" s="613"/>
      <c r="K259" s="1668">
        <f>D259</f>
        <v>19779</v>
      </c>
      <c r="L259" s="479">
        <v>21300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19779</v>
      </c>
      <c r="E261" s="613"/>
      <c r="F261" s="613"/>
      <c r="G261" s="613"/>
      <c r="H261" s="613"/>
      <c r="I261" s="613"/>
      <c r="J261" s="613"/>
      <c r="K261" s="1666">
        <f>SUM(K259:K260)</f>
        <v>19779</v>
      </c>
      <c r="L261" s="1666">
        <f>SUM(L259:L260)</f>
        <v>21300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9075</v>
      </c>
      <c r="E264" s="613"/>
      <c r="F264" s="613"/>
      <c r="G264" s="613"/>
      <c r="H264" s="613"/>
      <c r="I264" s="613"/>
      <c r="J264" s="613"/>
      <c r="K264" s="1668">
        <f t="shared" ref="K264:K269" si="22">D264</f>
        <v>9075</v>
      </c>
      <c r="L264" s="466">
        <v>9175</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48199</v>
      </c>
      <c r="E266" s="613"/>
      <c r="F266" s="613"/>
      <c r="G266" s="613"/>
      <c r="H266" s="613"/>
      <c r="I266" s="613"/>
      <c r="J266" s="613"/>
      <c r="K266" s="1668">
        <f t="shared" si="22"/>
        <v>48199</v>
      </c>
      <c r="L266" s="466">
        <v>55100</v>
      </c>
    </row>
    <row r="267" spans="1:14" x14ac:dyDescent="0.2">
      <c r="A267" s="1500" t="s">
        <v>953</v>
      </c>
      <c r="B267" s="611">
        <v>2550</v>
      </c>
      <c r="C267" s="613"/>
      <c r="D267" s="466">
        <v>21806</v>
      </c>
      <c r="E267" s="613"/>
      <c r="F267" s="613"/>
      <c r="G267" s="613"/>
      <c r="H267" s="613"/>
      <c r="I267" s="613"/>
      <c r="J267" s="613"/>
      <c r="K267" s="1668">
        <f t="shared" si="22"/>
        <v>21806</v>
      </c>
      <c r="L267" s="466">
        <v>25825</v>
      </c>
    </row>
    <row r="268" spans="1:14" x14ac:dyDescent="0.2">
      <c r="A268" s="1500" t="s">
        <v>100</v>
      </c>
      <c r="B268" s="611">
        <v>2560</v>
      </c>
      <c r="C268" s="613"/>
      <c r="D268" s="466">
        <v>15902</v>
      </c>
      <c r="E268" s="613"/>
      <c r="F268" s="613"/>
      <c r="G268" s="613"/>
      <c r="H268" s="613"/>
      <c r="I268" s="613"/>
      <c r="J268" s="613"/>
      <c r="K268" s="1668">
        <f t="shared" si="22"/>
        <v>15902</v>
      </c>
      <c r="L268" s="466">
        <v>18575</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94982</v>
      </c>
      <c r="E270" s="613"/>
      <c r="F270" s="613"/>
      <c r="G270" s="613"/>
      <c r="H270" s="613"/>
      <c r="I270" s="613"/>
      <c r="J270" s="613"/>
      <c r="K270" s="1666">
        <f>SUM(K263:K269)</f>
        <v>94982</v>
      </c>
      <c r="L270" s="1666">
        <f>SUM(L263:L269)</f>
        <v>108675</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52</v>
      </c>
      <c r="E274" s="613"/>
      <c r="F274" s="613"/>
      <c r="G274" s="613"/>
      <c r="H274" s="613"/>
      <c r="I274" s="613"/>
      <c r="J274" s="613"/>
      <c r="K274" s="1668">
        <f>D274</f>
        <v>52</v>
      </c>
      <c r="L274" s="466">
        <v>60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13176</v>
      </c>
      <c r="E276" s="613"/>
      <c r="F276" s="613"/>
      <c r="G276" s="613"/>
      <c r="H276" s="613"/>
      <c r="I276" s="613"/>
      <c r="J276" s="613"/>
      <c r="K276" s="1668">
        <f>D276</f>
        <v>13176</v>
      </c>
      <c r="L276" s="466">
        <v>13550</v>
      </c>
    </row>
    <row r="277" spans="1:12" ht="12.75" customHeight="1" thickBot="1" x14ac:dyDescent="0.25">
      <c r="A277" s="1687" t="s">
        <v>37</v>
      </c>
      <c r="B277" s="1665" t="s">
        <v>36</v>
      </c>
      <c r="C277" s="613"/>
      <c r="D277" s="1666">
        <f>SUM(D272:D276)</f>
        <v>13228</v>
      </c>
      <c r="E277" s="613"/>
      <c r="F277" s="613"/>
      <c r="G277" s="613"/>
      <c r="H277" s="613"/>
      <c r="I277" s="613"/>
      <c r="J277" s="613"/>
      <c r="K277" s="1666">
        <f>SUM(K272:K276)</f>
        <v>13228</v>
      </c>
      <c r="L277" s="1666">
        <f>SUM(L272:L276)</f>
        <v>13610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146311</v>
      </c>
      <c r="E279" s="613"/>
      <c r="F279" s="613"/>
      <c r="G279" s="613"/>
      <c r="H279" s="613"/>
      <c r="I279" s="613"/>
      <c r="J279" s="613"/>
      <c r="K279" s="1673">
        <f>SUM(K238,K243,K257,K261,K270,K277,K278)</f>
        <v>146311</v>
      </c>
      <c r="L279" s="1673">
        <f>SUM(L238,L243,L257,L261,L270,L277,L278)</f>
        <v>163185</v>
      </c>
    </row>
    <row r="280" spans="1:12" ht="15.75" customHeight="1" thickTop="1" thickBot="1" x14ac:dyDescent="0.25">
      <c r="A280" s="1620" t="s">
        <v>875</v>
      </c>
      <c r="B280" s="1609">
        <v>3000</v>
      </c>
      <c r="C280" s="613"/>
      <c r="D280" s="573">
        <v>0</v>
      </c>
      <c r="E280" s="613"/>
      <c r="F280" s="613"/>
      <c r="G280" s="613"/>
      <c r="H280" s="613"/>
      <c r="I280" s="613"/>
      <c r="J280" s="613"/>
      <c r="K280" s="1675">
        <f>D280</f>
        <v>0</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172" t="s">
        <v>505</v>
      </c>
      <c r="B295" s="2173"/>
      <c r="C295" s="613"/>
      <c r="D295" s="1666">
        <f>SUM(D229,D279,D280,D285)</f>
        <v>218985</v>
      </c>
      <c r="E295" s="613"/>
      <c r="F295" s="613"/>
      <c r="G295" s="613"/>
      <c r="H295" s="1666">
        <f>H293</f>
        <v>0</v>
      </c>
      <c r="I295" s="613"/>
      <c r="J295" s="613"/>
      <c r="K295" s="1666">
        <f>SUM(K229,K279,K280,K285,K293,K294)</f>
        <v>218985</v>
      </c>
      <c r="L295" s="1666">
        <f>SUM(L229,L279,L280,L285,L293,L294)</f>
        <v>241680</v>
      </c>
    </row>
    <row r="296" spans="1:14" ht="13.5" thickTop="1" x14ac:dyDescent="0.2">
      <c r="A296" s="2154" t="s">
        <v>996</v>
      </c>
      <c r="B296" s="2155"/>
      <c r="C296" s="613"/>
      <c r="D296" s="615"/>
      <c r="E296" s="613"/>
      <c r="F296" s="613"/>
      <c r="G296" s="613"/>
      <c r="H296" s="684"/>
      <c r="I296" s="613"/>
      <c r="J296" s="613"/>
      <c r="K296" s="1680">
        <f>'Revenues 9-14'!G268-'Expenditures 15-22'!K295</f>
        <v>-30790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4" t="s">
        <v>143</v>
      </c>
      <c r="B298" s="2158"/>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0</v>
      </c>
      <c r="F301" s="466">
        <v>0</v>
      </c>
      <c r="G301" s="466">
        <v>0</v>
      </c>
      <c r="H301" s="466">
        <v>0</v>
      </c>
      <c r="I301" s="467">
        <v>0</v>
      </c>
      <c r="J301" s="467">
        <v>0</v>
      </c>
      <c r="K301" s="1667">
        <f>SUM(C301:J301)</f>
        <v>0</v>
      </c>
      <c r="L301" s="467">
        <v>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169" t="s">
        <v>277</v>
      </c>
      <c r="B312" s="2170"/>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662"/>
      <c r="N312" s="662"/>
    </row>
    <row r="313" spans="1:14" ht="13.5" thickTop="1" x14ac:dyDescent="0.2">
      <c r="A313" s="2165" t="s">
        <v>996</v>
      </c>
      <c r="B313" s="2166"/>
      <c r="C313" s="623"/>
      <c r="D313" s="623"/>
      <c r="E313" s="623"/>
      <c r="F313" s="623"/>
      <c r="G313" s="623"/>
      <c r="H313" s="623"/>
      <c r="I313" s="623"/>
      <c r="J313" s="623"/>
      <c r="K313" s="1681">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8" t="s">
        <v>149</v>
      </c>
      <c r="B315" s="2179"/>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80" t="s">
        <v>898</v>
      </c>
      <c r="B317" s="2179"/>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33159</v>
      </c>
      <c r="F320" s="467">
        <v>0</v>
      </c>
      <c r="G320" s="467">
        <v>0</v>
      </c>
      <c r="H320" s="467">
        <v>0</v>
      </c>
      <c r="I320" s="467">
        <v>0</v>
      </c>
      <c r="J320" s="467">
        <v>0</v>
      </c>
      <c r="K320" s="1667">
        <f t="shared" ref="K320:K327" si="24">SUM(C320:J320)</f>
        <v>33159</v>
      </c>
      <c r="L320" s="467">
        <v>35000</v>
      </c>
      <c r="M320" s="662"/>
      <c r="N320" s="662"/>
    </row>
    <row r="321" spans="1:14" s="671" customFormat="1" x14ac:dyDescent="0.2">
      <c r="A321" s="1515" t="s">
        <v>300</v>
      </c>
      <c r="B321" s="694" t="s">
        <v>283</v>
      </c>
      <c r="C321" s="467">
        <v>0</v>
      </c>
      <c r="D321" s="467">
        <v>0</v>
      </c>
      <c r="E321" s="467">
        <v>3851</v>
      </c>
      <c r="F321" s="467">
        <v>0</v>
      </c>
      <c r="G321" s="467">
        <v>0</v>
      </c>
      <c r="H321" s="467">
        <v>0</v>
      </c>
      <c r="I321" s="467">
        <v>0</v>
      </c>
      <c r="J321" s="467">
        <v>0</v>
      </c>
      <c r="K321" s="1667">
        <f t="shared" si="24"/>
        <v>3851</v>
      </c>
      <c r="L321" s="467">
        <v>5000</v>
      </c>
      <c r="M321" s="662"/>
      <c r="N321" s="662"/>
    </row>
    <row r="322" spans="1:14" s="671" customFormat="1" x14ac:dyDescent="0.2">
      <c r="A322" s="1515" t="s">
        <v>238</v>
      </c>
      <c r="B322" s="694" t="s">
        <v>284</v>
      </c>
      <c r="C322" s="467">
        <v>0</v>
      </c>
      <c r="D322" s="467">
        <v>0</v>
      </c>
      <c r="E322" s="467">
        <v>0</v>
      </c>
      <c r="F322" s="467">
        <v>0</v>
      </c>
      <c r="G322" s="467">
        <v>0</v>
      </c>
      <c r="H322" s="467">
        <v>0</v>
      </c>
      <c r="I322" s="467">
        <v>0</v>
      </c>
      <c r="J322" s="467">
        <v>0</v>
      </c>
      <c r="K322" s="1667">
        <f t="shared" si="24"/>
        <v>0</v>
      </c>
      <c r="L322" s="467">
        <v>0</v>
      </c>
      <c r="M322" s="662"/>
      <c r="N322" s="662"/>
    </row>
    <row r="323" spans="1:14" s="671" customFormat="1" x14ac:dyDescent="0.2">
      <c r="A323" s="1515" t="s">
        <v>702</v>
      </c>
      <c r="B323" s="694" t="s">
        <v>285</v>
      </c>
      <c r="C323" s="467">
        <v>145513</v>
      </c>
      <c r="D323" s="467">
        <v>34118</v>
      </c>
      <c r="E323" s="467">
        <v>1891</v>
      </c>
      <c r="F323" s="467">
        <v>0</v>
      </c>
      <c r="G323" s="467">
        <v>0</v>
      </c>
      <c r="H323" s="467">
        <v>0</v>
      </c>
      <c r="I323" s="467">
        <v>0</v>
      </c>
      <c r="J323" s="467">
        <v>0</v>
      </c>
      <c r="K323" s="1667">
        <f t="shared" si="24"/>
        <v>181522</v>
      </c>
      <c r="L323" s="467">
        <v>210355</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0</v>
      </c>
      <c r="D325" s="467">
        <v>0</v>
      </c>
      <c r="E325" s="467">
        <v>0</v>
      </c>
      <c r="F325" s="467">
        <v>0</v>
      </c>
      <c r="G325" s="467">
        <v>0</v>
      </c>
      <c r="H325" s="467">
        <v>0</v>
      </c>
      <c r="I325" s="467">
        <v>0</v>
      </c>
      <c r="J325" s="467">
        <v>0</v>
      </c>
      <c r="K325" s="1667">
        <f t="shared" si="24"/>
        <v>0</v>
      </c>
      <c r="L325" s="467">
        <v>2300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0</v>
      </c>
      <c r="F327" s="467">
        <v>0</v>
      </c>
      <c r="G327" s="467">
        <v>0</v>
      </c>
      <c r="H327" s="467">
        <v>0</v>
      </c>
      <c r="I327" s="467">
        <v>0</v>
      </c>
      <c r="J327" s="467">
        <v>0</v>
      </c>
      <c r="K327" s="1667">
        <f t="shared" si="24"/>
        <v>0</v>
      </c>
      <c r="L327" s="467">
        <v>0</v>
      </c>
      <c r="M327" s="662"/>
      <c r="N327" s="662"/>
    </row>
    <row r="328" spans="1:14" s="671" customFormat="1" x14ac:dyDescent="0.2">
      <c r="A328" s="1516" t="s">
        <v>472</v>
      </c>
      <c r="B328" s="687" t="s">
        <v>1132</v>
      </c>
      <c r="C328" s="473">
        <v>0</v>
      </c>
      <c r="D328" s="473">
        <v>0</v>
      </c>
      <c r="E328" s="473">
        <v>59088</v>
      </c>
      <c r="F328" s="473">
        <v>0</v>
      </c>
      <c r="G328" s="473">
        <v>0</v>
      </c>
      <c r="H328" s="473">
        <v>0</v>
      </c>
      <c r="I328" s="473">
        <v>0</v>
      </c>
      <c r="J328" s="473">
        <v>0</v>
      </c>
      <c r="K328" s="1695">
        <f>SUM(C328:J328)</f>
        <v>59088</v>
      </c>
      <c r="L328" s="473">
        <v>60000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145513</v>
      </c>
      <c r="D330" s="1666">
        <f t="shared" ref="D330:J330" si="25">SUM(D319:D329)</f>
        <v>34118</v>
      </c>
      <c r="E330" s="1666">
        <f t="shared" si="25"/>
        <v>97989</v>
      </c>
      <c r="F330" s="1666">
        <f t="shared" si="25"/>
        <v>0</v>
      </c>
      <c r="G330" s="1666">
        <f t="shared" si="25"/>
        <v>0</v>
      </c>
      <c r="H330" s="1666">
        <f t="shared" si="25"/>
        <v>0</v>
      </c>
      <c r="I330" s="1666">
        <f t="shared" si="25"/>
        <v>0</v>
      </c>
      <c r="J330" s="1666">
        <f t="shared" si="25"/>
        <v>0</v>
      </c>
      <c r="K330" s="1666">
        <f>SUM(K319:K329)</f>
        <v>277620</v>
      </c>
      <c r="L330" s="1666">
        <f>SUM(L319:L329)</f>
        <v>312655</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145513</v>
      </c>
      <c r="D342" s="1666">
        <f>SUM(D330)</f>
        <v>34118</v>
      </c>
      <c r="E342" s="1666">
        <f>SUM(E330)</f>
        <v>97989</v>
      </c>
      <c r="F342" s="1666">
        <f>SUM(F330)</f>
        <v>0</v>
      </c>
      <c r="G342" s="1666">
        <f>SUM(G330)</f>
        <v>0</v>
      </c>
      <c r="H342" s="1666">
        <f>SUM(H330,H334,H340)</f>
        <v>0</v>
      </c>
      <c r="I342" s="1666">
        <f>SUM(I330)</f>
        <v>0</v>
      </c>
      <c r="J342" s="1666">
        <f>SUM(J330)</f>
        <v>0</v>
      </c>
      <c r="K342" s="1666">
        <f>SUM(K330,K334,K340)</f>
        <v>277620</v>
      </c>
      <c r="L342" s="1673">
        <f>SUM(L330,L340,L341)</f>
        <v>312655</v>
      </c>
    </row>
    <row r="343" spans="1:14" ht="12.75" customHeight="1" thickTop="1" x14ac:dyDescent="0.2">
      <c r="A343" s="2167" t="s">
        <v>996</v>
      </c>
      <c r="B343" s="2168"/>
      <c r="C343" s="613"/>
      <c r="D343" s="613"/>
      <c r="E343" s="613"/>
      <c r="F343" s="613"/>
      <c r="G343" s="613"/>
      <c r="H343" s="613"/>
      <c r="I343" s="613"/>
      <c r="J343" s="613"/>
      <c r="K343" s="1680">
        <f>'Revenues 9-14'!J268-'Expenditures 15-22'!K342</f>
        <v>7999</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7" t="s">
        <v>966</v>
      </c>
      <c r="B345" s="2158"/>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0</v>
      </c>
      <c r="H348" s="466">
        <v>0</v>
      </c>
      <c r="I348" s="467">
        <v>0</v>
      </c>
      <c r="J348" s="467">
        <v>0</v>
      </c>
      <c r="K348" s="1667">
        <f>SUM(C348:J348)</f>
        <v>0</v>
      </c>
      <c r="L348" s="466">
        <v>0</v>
      </c>
    </row>
    <row r="349" spans="1:14" x14ac:dyDescent="0.2">
      <c r="A349" s="1500" t="s">
        <v>197</v>
      </c>
      <c r="B349" s="611">
        <v>2540</v>
      </c>
      <c r="C349" s="466">
        <v>0</v>
      </c>
      <c r="D349" s="466">
        <v>0</v>
      </c>
      <c r="E349" s="466">
        <v>0</v>
      </c>
      <c r="F349" s="466">
        <v>0</v>
      </c>
      <c r="G349" s="466">
        <v>14175</v>
      </c>
      <c r="H349" s="466">
        <v>0</v>
      </c>
      <c r="I349" s="467">
        <v>0</v>
      </c>
      <c r="J349" s="467">
        <v>0</v>
      </c>
      <c r="K349" s="1667">
        <f>SUM(C349:J349)</f>
        <v>14175</v>
      </c>
      <c r="L349" s="466">
        <v>14175</v>
      </c>
    </row>
    <row r="350" spans="1:14" ht="12.75" customHeight="1" thickBot="1" x14ac:dyDescent="0.25">
      <c r="A350" s="1664" t="s">
        <v>719</v>
      </c>
      <c r="B350" s="1665" t="s">
        <v>35</v>
      </c>
      <c r="C350" s="1666">
        <f>SUM(C348:C349)</f>
        <v>0</v>
      </c>
      <c r="D350" s="1666">
        <f t="shared" ref="D350:L350" si="26">SUM(D348:D349)</f>
        <v>0</v>
      </c>
      <c r="E350" s="1666">
        <f t="shared" si="26"/>
        <v>0</v>
      </c>
      <c r="F350" s="1666">
        <f t="shared" si="26"/>
        <v>0</v>
      </c>
      <c r="G350" s="1666">
        <f t="shared" si="26"/>
        <v>14175</v>
      </c>
      <c r="H350" s="1666">
        <f t="shared" si="26"/>
        <v>0</v>
      </c>
      <c r="I350" s="1666">
        <f t="shared" si="26"/>
        <v>0</v>
      </c>
      <c r="J350" s="1666">
        <f t="shared" si="26"/>
        <v>0</v>
      </c>
      <c r="K350" s="1666">
        <f t="shared" si="26"/>
        <v>14175</v>
      </c>
      <c r="L350" s="1666">
        <f t="shared" si="26"/>
        <v>14175</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0</v>
      </c>
      <c r="G352" s="1666">
        <f t="shared" si="27"/>
        <v>14175</v>
      </c>
      <c r="H352" s="1666">
        <f t="shared" si="27"/>
        <v>0</v>
      </c>
      <c r="I352" s="1666">
        <f t="shared" si="27"/>
        <v>0</v>
      </c>
      <c r="J352" s="1666">
        <f t="shared" si="27"/>
        <v>0</v>
      </c>
      <c r="K352" s="1666">
        <f t="shared" si="27"/>
        <v>14175</v>
      </c>
      <c r="L352" s="1666">
        <f t="shared" si="27"/>
        <v>14175</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0</v>
      </c>
      <c r="G367" s="1666">
        <f t="shared" si="28"/>
        <v>14175</v>
      </c>
      <c r="H367" s="1666">
        <f t="shared" si="28"/>
        <v>0</v>
      </c>
      <c r="I367" s="1666">
        <f t="shared" si="28"/>
        <v>0</v>
      </c>
      <c r="J367" s="1666">
        <f t="shared" si="28"/>
        <v>0</v>
      </c>
      <c r="K367" s="1666">
        <f t="shared" si="28"/>
        <v>14175</v>
      </c>
      <c r="L367" s="1666">
        <f t="shared" si="28"/>
        <v>14175</v>
      </c>
    </row>
    <row r="368" spans="1:14" ht="13.5" thickTop="1" x14ac:dyDescent="0.2">
      <c r="A368" s="2154" t="s">
        <v>996</v>
      </c>
      <c r="B368" s="2155"/>
      <c r="C368" s="651"/>
      <c r="D368" s="651"/>
      <c r="E368" s="623"/>
      <c r="F368" s="623"/>
      <c r="G368" s="623"/>
      <c r="H368" s="623"/>
      <c r="I368" s="623"/>
      <c r="J368" s="620"/>
      <c r="K368" s="1667">
        <f>'Revenues 9-14'!K268-'Expenditures 15-22'!K367</f>
        <v>-13836</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3" right="0.15" top="0.86"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http://schemas.microsoft.com/office/infopath/2007/PartnerControls"/>
    <ds:schemaRef ds:uri="http://schemas.openxmlformats.org/package/2006/metadata/core-properties"/>
    <ds:schemaRef ds:uri="4d435f69-8686-490b-bd6d-b153bf22ab50"/>
    <ds:schemaRef ds:uri="http://schemas.microsoft.com/office/2006/documentManagement/types"/>
    <ds:schemaRef ds:uri="http://www.w3.org/XML/1998/namespace"/>
    <ds:schemaRef ds:uri="6ce3111e-7420-4802-b50a-75d4e9a0b980"/>
    <ds:schemaRef ds:uri="http://purl.org/dc/terms/"/>
    <ds:schemaRef ds:uri="http://schemas.microsoft.com/sharepoint/v3"/>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2019-09-30T21:14:10Z</cp:lastPrinted>
  <dcterms:created xsi:type="dcterms:W3CDTF">2003-10-29T19:06:34Z</dcterms:created>
  <dcterms:modified xsi:type="dcterms:W3CDTF">2019-11-20T20:22:51Z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