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74FA4FE-9A49-4858-B927-82DD1B5D1E6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2" i="11" l="1"/>
  <c r="D12" i="11"/>
  <c r="F5" i="29" l="1"/>
  <c r="G5" i="29"/>
  <c r="J32" i="8" l="1"/>
  <c r="G16" i="5" l="1"/>
  <c r="G17" i="5"/>
  <c r="E325" i="29"/>
  <c r="E327" i="29"/>
  <c r="E320" i="29"/>
  <c r="D223" i="29" l="1"/>
  <c r="D219" i="29"/>
  <c r="D217" i="29"/>
  <c r="E79" i="29"/>
  <c r="D50" i="29"/>
  <c r="D14" i="29"/>
  <c r="D13" i="29"/>
  <c r="C13" i="29"/>
  <c r="C10" i="29"/>
  <c r="D10" i="29"/>
  <c r="C104"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D27" i="108"/>
  <c r="E27" i="108"/>
  <c r="G27"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D22" i="37"/>
  <c r="B5752" i="106"/>
  <c r="D5752" i="106" s="1"/>
  <c r="B3647" i="106" l="1"/>
  <c r="D3647" i="106" s="1"/>
  <c r="L5" i="11"/>
  <c r="B2056" i="106" s="1"/>
  <c r="D2056" i="106" s="1"/>
  <c r="D24" i="37"/>
  <c r="B4270" i="106" s="1"/>
  <c r="D4270" i="106" s="1"/>
  <c r="D54" i="36"/>
  <c r="L22" i="37"/>
  <c r="L13" i="11"/>
  <c r="B2060" i="106" s="1"/>
  <c r="D2060" i="106" s="1"/>
  <c r="G15" i="145"/>
  <c r="H29" i="118"/>
  <c r="D68" i="36"/>
  <c r="H28" i="118"/>
  <c r="J22" i="37"/>
  <c r="H44" i="4"/>
  <c r="K76" i="4"/>
  <c r="B3586" i="106" s="1"/>
  <c r="D3586" i="106" s="1"/>
  <c r="H76" i="4"/>
  <c r="B3298" i="106" s="1"/>
  <c r="D3298" i="106" s="1"/>
  <c r="H33" i="118"/>
  <c r="D6103" i="106"/>
  <c r="D69" i="36"/>
  <c r="H112" i="29"/>
  <c r="B7018" i="106" s="1"/>
  <c r="D7018" i="106" s="1"/>
  <c r="L367" i="29"/>
  <c r="G29" i="108"/>
  <c r="K184" i="29"/>
  <c r="F13" i="4" s="1"/>
  <c r="B2596" i="106" s="1"/>
  <c r="D2596" i="106" s="1"/>
  <c r="E29" i="108"/>
  <c r="F28" i="108"/>
  <c r="F41" i="108" s="1"/>
  <c r="G43" i="108" s="1"/>
  <c r="E28" i="108"/>
  <c r="C129" i="29"/>
  <c r="C151" i="29" s="1"/>
  <c r="B1226" i="106" s="1"/>
  <c r="D1226" i="106" s="1"/>
  <c r="G30" i="108"/>
  <c r="F37" i="34"/>
  <c r="J210" i="29"/>
  <c r="B7072" i="106" s="1"/>
  <c r="D7072" i="106" s="1"/>
  <c r="F34" i="34"/>
  <c r="D9" i="7"/>
  <c r="B1767" i="106" s="1"/>
  <c r="D1767" i="106" s="1"/>
  <c r="J352" i="29"/>
  <c r="J367" i="29" s="1"/>
  <c r="B7245" i="106" s="1"/>
  <c r="D7245" i="106" s="1"/>
  <c r="J77" i="4"/>
  <c r="B6262" i="106" s="1"/>
  <c r="D6262" i="106" s="1"/>
  <c r="J41" i="3"/>
  <c r="D51" i="36" s="1"/>
  <c r="L342" i="29"/>
  <c r="C342" i="29"/>
  <c r="B7216" i="106" s="1"/>
  <c r="D7216" i="106" s="1"/>
  <c r="H365" i="29"/>
  <c r="B7242" i="106" s="1"/>
  <c r="D7242" i="106" s="1"/>
  <c r="G210" i="29"/>
  <c r="F77" i="4"/>
  <c r="B3255" i="106" s="1"/>
  <c r="D3255" i="106" s="1"/>
  <c r="I210" i="29"/>
  <c r="B7071" i="106" s="1"/>
  <c r="D7071" i="106" s="1"/>
  <c r="D17" i="7"/>
  <c r="B4104" i="106" s="1"/>
  <c r="D4104" i="106" s="1"/>
  <c r="D11" i="37"/>
  <c r="D31" i="36"/>
  <c r="B7235" i="106"/>
  <c r="D7235" i="106" s="1"/>
  <c r="B4087" i="106"/>
  <c r="D4087" i="106" s="1"/>
  <c r="K41" i="3"/>
  <c r="L15" i="11"/>
  <c r="B3459" i="106" s="1"/>
  <c r="D3459" i="106" s="1"/>
  <c r="F19" i="7"/>
  <c r="B1807" i="106" s="1"/>
  <c r="D1807" i="106" s="1"/>
  <c r="C352" i="29"/>
  <c r="C367" i="29" s="1"/>
  <c r="B1308" i="106"/>
  <c r="D1308" i="106" s="1"/>
  <c r="E174" i="29"/>
  <c r="B1309" i="106" s="1"/>
  <c r="D1309" i="106" s="1"/>
  <c r="B1126" i="106"/>
  <c r="D1126"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B1365" i="106"/>
  <c r="D1365" i="106" s="1"/>
  <c r="F65" i="34"/>
  <c r="I7" i="4"/>
  <c r="B4444" i="106" s="1"/>
  <c r="D4444" i="106" s="1"/>
  <c r="D7252" i="106"/>
  <c r="K77" i="4"/>
  <c r="B3587" i="106" s="1"/>
  <c r="D3587" i="106" s="1"/>
  <c r="K28" i="118"/>
  <c r="O27" i="118" s="1"/>
  <c r="O29" i="118" s="1"/>
  <c r="B6216" i="106"/>
  <c r="D6216" i="106" s="1"/>
  <c r="L114" i="29"/>
  <c r="B1381" i="106"/>
  <c r="D1381" i="106" s="1"/>
  <c r="C114" i="29"/>
  <c r="B757" i="106" s="1"/>
  <c r="D757" i="106" s="1"/>
  <c r="D7255" i="106"/>
  <c r="D7256" i="106"/>
  <c r="D7251" i="106"/>
  <c r="B5778" i="106"/>
  <c r="D5778" i="106" s="1"/>
  <c r="G6" i="4"/>
  <c r="B2604" i="106" s="1"/>
  <c r="D2604" i="106" s="1"/>
  <c r="B1996" i="106"/>
  <c r="D1996" i="106" s="1"/>
  <c r="I26" i="12"/>
  <c r="B7741" i="106" s="1"/>
  <c r="D7741" i="106" s="1"/>
  <c r="B3568" i="106"/>
  <c r="D3568" i="106" s="1"/>
  <c r="D52" i="36"/>
  <c r="D7253" i="106"/>
  <c r="B5527" i="106"/>
  <c r="D5527" i="106" s="1"/>
  <c r="D44" i="36"/>
  <c r="F174" i="34"/>
  <c r="K342" i="29"/>
  <c r="F13" i="34" s="1"/>
  <c r="B5770" i="106"/>
  <c r="D5770" i="106" s="1"/>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F8" i="4"/>
  <c r="F10" i="4" s="1"/>
  <c r="B4125" i="106" s="1"/>
  <c r="D4125" i="106" s="1"/>
  <c r="K17" i="4"/>
  <c r="K19" i="4" s="1"/>
  <c r="B4144" i="106" s="1"/>
  <c r="D4144" i="106" s="1"/>
  <c r="B6223" i="106"/>
  <c r="D6223" i="106" s="1"/>
  <c r="J10" i="4"/>
  <c r="B6225" i="106" s="1"/>
  <c r="D6225" i="106" s="1"/>
  <c r="D8" i="146"/>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K20"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<sst xmlns="http://schemas.openxmlformats.org/spreadsheetml/2006/main" count="5096" uniqueCount="2117">
  <si>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</si>
  <si>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</si>
  <si>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</si>
  <si>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</si>
  <si>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</si>
  <si>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</si>
  <si>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</si>
  <si>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</si>
  <si>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</si>
  <si>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</si>
  <si>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</si>
  <si>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</si>
  <si>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</si>
  <si>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</si>
  <si>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</si>
  <si>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</si>
  <si>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</si>
  <si>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</si>
  <si>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</si>
  <si>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</si>
  <si>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</si>
  <si>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</si>
  <si>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</si>
  <si>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</si>
  <si>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</si>
  <si>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</si>
  <si>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</si>
  <si>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</si>
  <si>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</si>
  <si>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</si>
  <si>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</si>
  <si>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</si>
  <si>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</si>
  <si>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</si>
  <si>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</si>
  <si>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</si>
  <si>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</si>
  <si>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</si>
  <si>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</si>
  <si>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</si>
  <si>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</si>
  <si>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</si>
  <si>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</si>
  <si>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</si>
  <si>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</si>
  <si>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</si>
  <si>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</si>
  <si>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</si>
  <si>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</si>
  <si>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</si>
  <si>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</si>
  <si>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</si>
  <si>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</si>
  <si>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</si>
  <si>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</si>
  <si>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</si>
  <si>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</si>
  <si>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</si>
  <si>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</si>
  <si>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</si>
  <si>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</si>
  <si>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</si>
  <si>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</si>
  <si>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</si>
  <si>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</si>
  <si>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</si>
  <si>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</si>
  <si>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</si>
  <si>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</si>
  <si>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</si>
  <si>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</si>
  <si>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</si>
  <si>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</si>
  <si>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</si>
  <si>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</si>
  <si>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</si>
  <si>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</si>
  <si>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</si>
  <si>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</si>
  <si>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</si>
  <si>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</si>
  <si>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</si>
  <si>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</si>
  <si>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</si>
  <si>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</si>
  <si>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</si>
  <si>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</si>
  <si>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</si>
  <si>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</si>
  <si>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</si>
  <si>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</si>
  <si>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</si>
  <si>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</si>
  <si>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</si>
  <si>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</si>
  <si>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</si>
  <si>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</si>
  <si>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</si>
  <si>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</si>
  <si>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</si>
  <si>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</si>
  <si>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</si>
  <si>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</si>
  <si>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</si>
  <si>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</si>
  <si>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</si>
  <si>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</si>
  <si>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</si>
  <si>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</si>
  <si>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</si>
  <si>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</si>
  <si>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</si>
  <si>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</si>
  <si>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</si>
  <si>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</si>
  <si>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</si>
  <si>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</si>
  <si>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</si>
  <si>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</si>
  <si>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</si>
  <si>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</si>
  <si>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</si>
  <si>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</si>
  <si>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</si>
  <si>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</si>
  <si>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</si>
  <si>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</si>
  <si>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</si>
  <si>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</si>
  <si>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</si>
  <si>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</si>
  <si>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</si>
  <si>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</si>
  <si>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</si>
  <si>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</si>
  <si>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</si>
  <si>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</si>
  <si>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</si>
  <si>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</si>
  <si>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</si>
  <si>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</si>
  <si>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</si>
  <si>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</si>
  <si>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</si>
  <si>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</si>
  <si>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</si>
  <si>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</si>
  <si>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</si>
  <si>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</si>
  <si>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</si>
  <si>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</si>
  <si>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</si>
  <si>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</si>
  <si>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</si>
  <si>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</si>
  <si>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</si>
  <si>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</si>
  <si>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</si>
  <si>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</si>
  <si>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</si>
  <si>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</si>
  <si>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</si>
  <si>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</si>
  <si>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</si>
  <si>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</si>
  <si>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</si>
  <si>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</si>
  <si>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</si>
  <si>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</si>
  <si>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</si>
  <si>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</si>
  <si>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</si>
  <si>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</si>
  <si>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</si>
  <si>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</si>
  <si>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</si>
  <si>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</si>
  <si>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</si>
  <si>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</si>
  <si>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</si>
  <si>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</si>
  <si>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</si>
  <si>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</si>
  <si>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</si>
  <si>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</si>
  <si>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</si>
  <si>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</si>
  <si>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</si>
  <si>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</si>
  <si>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</si>
  <si>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</si>
  <si>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</si>
  <si>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</si>
  <si>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</si>
  <si>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</si>
  <si>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</si>
  <si>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</si>
  <si>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</si>
  <si>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</si>
  <si>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</si>
  <si>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</si>
  <si>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</si>
  <si>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</si>
  <si>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</si>
  <si>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</si>
  <si>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</si>
  <si>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</si>
  <si>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</si>
  <si>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</si>
  <si>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</si>
  <si>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</si>
  <si>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</si>
  <si>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</si>
  <si>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</si>
  <si>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</si>
  <si>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</si>
  <si>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</si>
  <si>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</si>
  <si>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</si>
  <si>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</si>
  <si>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</si>
  <si>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</si>
  <si>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</si>
  <si>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</si>
  <si>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</si>
  <si>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</si>
  <si>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</si>
  <si>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</si>
  <si>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</si>
  <si>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</si>
  <si>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</si>
  <si>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</si>
  <si>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</si>
  <si>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</si>
  <si>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</si>
  <si>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</si>
  <si>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</si>
  <si>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</si>
  <si>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</si>
  <si>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</si>
  <si>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</si>
  <si>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</si>
  <si>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</si>
  <si>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</si>
  <si>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</si>
  <si>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</si>
  <si>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</si>
  <si>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</si>
  <si>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</si>
  <si>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</si>
  <si>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</si>
  <si>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</si>
  <si>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</si>
  <si>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</si>
  <si>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</si>
  <si>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</si>
  <si>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</si>
  <si>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</si>
  <si>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</si>
  <si>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</si>
  <si>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</si>
  <si>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</si>
  <si>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</si>
  <si>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</si>
  <si>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</si>
  <si>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</si>
  <si>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</si>
  <si>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</si>
  <si>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</si>
  <si>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</si>
  <si>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</si>
  <si>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</si>
  <si>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</si>
  <si>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</si>
  <si>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</si>
  <si>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</si>
  <si>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</si>
  <si>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</si>
  <si>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</si>
  <si>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</si>
  <si>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</si>
  <si>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</si>
  <si>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</si>
  <si>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</si>
  <si>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</si>
  <si>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</si>
  <si>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</si>
  <si>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</si>
  <si>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</si>
  <si>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</si>
  <si>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</si>
  <si>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</si>
  <si>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</si>
  <si>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</si>
  <si>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</si>
  <si>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</si>
  <si>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</si>
  <si>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</si>
  <si>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</si>
  <si>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</si>
  <si>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</si>
  <si>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</si>
  <si>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</si>
  <si>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</si>
  <si>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</si>
  <si>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</si>
  <si>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</si>
  <si>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</si>
  <si>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</si>
  <si>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</si>
  <si>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</si>
  <si>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</si>
  <si>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</si>
  <si>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</si>
  <si>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</si>
  <si>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</si>
  <si>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</si>
  <si>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</si>
  <si>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</si>
  <si>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</si>
  <si>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</si>
  <si>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</si>
  <si>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</si>
  <si>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</si>
  <si>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</si>
  <si>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</si>
  <si>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</si>
  <si>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</si>
  <si>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</si>
  <si>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</si>
  <si>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</si>
  <si>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</si>
  <si>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</si>
  <si>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</si>
  <si>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</si>
  <si>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</si>
  <si>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</si>
  <si>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</si>
  <si>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</si>
  <si>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</si>
  <si>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</si>
  <si>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</si>
  <si>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</si>
  <si>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</si>
  <si>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</si>
  <si>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</si>
  <si>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</si>
  <si>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</si>
  <si>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</si>
  <si>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</si>
  <si>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</si>
  <si>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</si>
  <si>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</si>
  <si>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</si>
  <si>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</si>
  <si>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</si>
  <si>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</si>
  <si>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</si>
  <si>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</si>
  <si>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</si>
  <si>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</si>
  <si>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</si>
  <si>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</si>
  <si>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</si>
  <si>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</si>
  <si>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</si>
  <si>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</si>
  <si>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</si>
  <si>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</si>
  <si>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</si>
  <si>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</si>
  <si>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</si>
  <si>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</si>
  <si>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</si>
  <si>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</si>
  <si>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</si>
  <si>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</si>
  <si>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</si>
  <si>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</si>
  <si>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</si>
  <si>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</si>
  <si>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</si>
  <si>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</si>
  <si>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</si>
  <si>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</si>
  <si>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</si>
  <si>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</si>
  <si>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</si>
  <si>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</si>
  <si>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</si>
  <si>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</si>
  <si>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</si>
  <si>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</si>
  <si>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</si>
  <si>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</si>
  <si>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</si>
  <si>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</si>
  <si>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</si>
  <si>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</si>
  <si>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</si>
  <si>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</si>
  <si>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</si>
  <si>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</si>
  <si>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</si>
  <si>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</si>
  <si>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</si>
  <si>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</si>
  <si>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</si>
  <si>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</si>
  <si>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</si>
  <si>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</si>
  <si>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</si>
  <si>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</si>
  <si>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</si>
  <si>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</si>
  <si>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</si>
  <si>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</si>
  <si>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</si>
  <si>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</si>
  <si>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</si>
  <si>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</si>
  <si>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</si>
  <si>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</si>
  <si>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</si>
  <si>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</si>
  <si>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</si>
  <si>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</si>
  <si>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</si>
  <si>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</si>
  <si>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</si>
  <si>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</si>
  <si>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</si>
  <si>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</si>
  <si>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</si>
  <si>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</si>
  <si>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</si>
  <si>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</si>
  <si>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</si>
  <si>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</si>
  <si>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</si>
  <si>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</si>
  <si>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</si>
  <si>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</si>
  <si>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</si>
  <si>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</si>
  <si>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</si>
  <si>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</si>
  <si>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</si>
  <si>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</si>
  <si>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</si>
  <si>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</si>
  <si>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</si>
  <si>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</si>
  <si>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</si>
  <si>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</si>
  <si>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</si>
  <si>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</si>
  <si>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</si>
  <si>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</si>
  <si>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</si>
  <si>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</si>
  <si>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</si>
  <si>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</si>
  <si>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</si>
  <si>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</si>
  <si>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</si>
  <si>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</si>
  <si>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</si>
  <si>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</si>
  <si>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</si>
  <si>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</si>
  <si>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</si>
  <si>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</si>
  <si>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</si>
  <si>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</si>
  <si>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</si>
  <si>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</si>
  <si>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</si>
  <si>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</si>
  <si>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</si>
  <si>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</si>
  <si>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</si>
  <si>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</si>
  <si>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</si>
  <si>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</si>
  <si>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</si>
  <si>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</si>
  <si>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</si>
  <si>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</si>
  <si>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</si>
  <si>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</si>
  <si>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</si>
  <si>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</si>
  <si>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</si>
  <si>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</si>
  <si>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</si>
  <si>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</si>
  <si>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</si>
  <si>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</si>
  <si>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</si>
  <si>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</si>
  <si>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</si>
  <si>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</si>
  <si>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</si>
  <si>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</si>
  <si>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</si>
  <si>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</si>
  <si>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</si>
  <si>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</si>
  <si>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</si>
  <si>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</si>
  <si>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</si>
  <si>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</si>
  <si>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</si>
  <si>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</si>
  <si>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</si>
  <si>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</si>
  <si>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</si>
  <si>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</si>
  <si>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</si>
  <si>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</si>
  <si>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</si>
  <si>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</si>
  <si>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</si>
  <si>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</si>
  <si>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</si>
  <si>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</si>
  <si>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</si>
  <si>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</si>
  <si>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</si>
  <si>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</si>
  <si>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</si>
  <si>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</si>
  <si>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</si>
  <si>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</si>
  <si>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</si>
  <si>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</si>
  <si>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</si>
  <si>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</si>
  <si>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</si>
  <si>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</si>
  <si>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</si>
  <si>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</si>
  <si>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</si>
  <si>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</si>
  <si>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</si>
  <si>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</si>
  <si>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</si>
  <si>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</si>
  <si>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</si>
  <si>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</si>
  <si>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</si>
  <si>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</si>
  <si>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</si>
  <si>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</si>
  <si>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</si>
  <si>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</si>
  <si>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</si>
  <si>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</si>
  <si>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</si>
  <si>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</si>
  <si>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</si>
  <si>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</si>
  <si>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</si>
  <si>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</si>
  <si>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</si>
  <si>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</si>
  <si>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</si>
  <si>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</si>
  <si>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</si>
  <si>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</si>
  <si>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</si>
  <si>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</si>
  <si>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</si>
  <si>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</si>
  <si>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</si>
  <si>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</si>
  <si>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</si>
  <si>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</si>
  <si>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</si>
  <si>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</si>
  <si>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</si>
  <si>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</si>
  <si>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</si>
  <si>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</si>
  <si>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</si>
  <si>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</si>
  <si>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</si>
  <si>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</si>
  <si>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</si>
  <si>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</si>
  <si>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</si>
  <si>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</si>
  <si>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</si>
  <si>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</si>
  <si>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</si>
  <si>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</si>
  <si>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</si>
  <si>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</si>
  <si>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</si>
  <si>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</si>
  <si>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</si>
  <si>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</si>
  <si>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</si>
  <si>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</si>
  <si>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</si>
  <si>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</si>
  <si>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</si>
  <si>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</si>
  <si>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</si>
  <si>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</si>
  <si>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</si>
  <si>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</si>
  <si>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</si>
  <si>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</si>
  <si>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</si>
  <si>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</si>
  <si>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</si>
  <si>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</si>
  <si>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</si>
  <si>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</si>
  <si>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</si>
  <si>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</si>
  <si>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</si>
  <si>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</si>
  <si>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</si>
  <si>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</si>
  <si>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</si>
  <si>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</si>
  <si>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</si>
  <si>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</si>
  <si>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</si>
  <si>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</si>
  <si>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</si>
  <si>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</si>
  <si>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</si>
  <si>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</si>
  <si>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</si>
  <si>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</si>
  <si>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</si>
  <si>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</si>
  <si>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</si>
  <si>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</si>
  <si>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</si>
  <si>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</si>
  <si>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</si>
  <si>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</si>
  <si>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</si>
  <si>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</si>
  <si>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</si>
  <si>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</si>
  <si>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</si>
  <si>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</si>
  <si>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</si>
  <si>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</si>
  <si>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</si>
  <si>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</si>
  <si>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</si>
  <si>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</si>
  <si>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</si>
  <si>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</si>
  <si>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</si>
  <si>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</si>
  <si>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</si>
  <si>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</si>
  <si>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</si>
  <si>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</si>
  <si>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</si>
  <si>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</si>
  <si>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</si>
  <si>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</si>
  <si>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</si>
  <si>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</si>
  <si>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</si>
  <si>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</si>
  <si>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</si>
  <si>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</si>
  <si>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</si>
  <si>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</si>
  <si>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</si>
  <si>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</si>
  <si>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</si>
  <si>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</si>
  <si>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</si>
  <si>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</si>
  <si>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</si>
  <si>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</si>
  <si>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</si>
  <si>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</si>
  <si>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</si>
  <si>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</si>
  <si>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</si>
  <si>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</si>
  <si>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</si>
  <si>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</si>
  <si>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</si>
  <si>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</si>
  <si>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</si>
  <si>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</si>
  <si>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</si>
  <si>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</si>
  <si>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</si>
  <si>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</si>
  <si>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</si>
  <si>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</si>
  <si>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</si>
  <si>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</si>
  <si>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</si>
  <si>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</si>
  <si>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</si>
  <si>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</si>
  <si>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</si>
  <si>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</si>
  <si>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</si>
  <si>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</si>
  <si>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</si>
  <si>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</si>
  <si>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</si>
  <si>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</si>
  <si>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</si>
  <si>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</si>
  <si>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</si>
  <si>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</si>
  <si>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</si>
  <si>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</si>
  <si>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</si>
  <si>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</si>
  <si>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</si>
  <si>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</si>
  <si>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</si>
  <si>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</si>
  <si>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</si>
  <si>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</si>
  <si>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</si>
  <si>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</si>
  <si>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</si>
  <si>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</si>
  <si>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</si>
  <si>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</si>
  <si>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</si>
  <si>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</si>
  <si>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</si>
  <si>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</si>
  <si>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</si>
  <si>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</si>
  <si>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</si>
  <si>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</si>
  <si>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</si>
  <si>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</si>
  <si>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</si>
  <si>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</si>
  <si>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</si>
  <si>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</si>
  <si>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</si>
  <si>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</si>
  <si>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</si>
  <si>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</si>
  <si>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</si>
  <si>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</si>
  <si>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</si>
  <si>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</si>
  <si>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</si>
  <si>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</si>
  <si>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</si>
  <si>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</si>
  <si>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</si>
  <si>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</si>
  <si>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</si>
  <si>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</si>
  <si>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</si>
  <si>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</si>
  <si>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</si>
  <si>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</si>
  <si>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</si>
  <si>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</si>
  <si>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</si>
  <si>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</si>
  <si>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</si>
  <si>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</si>
  <si>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</si>
  <si>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</si>
  <si>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</si>
  <si>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</si>
  <si>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</si>
  <si>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</si>
  <si>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</si>
  <si>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</si>
  <si>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</si>
  <si>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</si>
  <si>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</si>
  <si>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</si>
  <si>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</si>
  <si>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</si>
  <si>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</si>
  <si>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</si>
  <si>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</si>
  <si>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</si>
  <si>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</si>
  <si>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</si>
  <si>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</si>
  <si>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</si>
  <si>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</si>
  <si>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</si>
  <si>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</si>
  <si>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</si>
  <si>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</si>
  <si>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</si>
  <si>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</si>
  <si>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</si>
  <si>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</si>
  <si>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</si>
  <si>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</si>
  <si>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</si>
  <si>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</si>
  <si>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</si>
  <si>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</si>
  <si>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</si>
  <si>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</si>
  <si>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</si>
  <si>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</si>
  <si>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</si>
  <si>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</si>
  <si>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</si>
  <si>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</si>
  <si>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</si>
  <si>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</si>
  <si>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</si>
  <si>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</si>
  <si>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</si>
  <si>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</si>
  <si>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</si>
  <si>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</si>
  <si>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</si>
  <si>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</si>
  <si>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</si>
  <si>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</si>
  <si>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</si>
  <si>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</si>
  <si>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</si>
  <si>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</si>
  <si>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</si>
  <si>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</si>
  <si>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</si>
  <si>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</si>
  <si>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</si>
  <si>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</si>
  <si>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</si>
  <si>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</si>
  <si>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</si>
  <si>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</si>
  <si>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</si>
  <si>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</si>
  <si>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</si>
  <si>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</si>
  <si>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</si>
  <si>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</si>
  <si>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</si>
  <si>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</si>
  <si>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</si>
  <si>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</si>
  <si>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</si>
  <si>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</si>
  <si>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</si>
  <si>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</si>
  <si>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</si>
  <si>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</si>
  <si>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</si>
  <si>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</si>
  <si>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</si>
  <si>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</si>
  <si>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</si>
  <si>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</si>
  <si>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</si>
  <si>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</si>
  <si>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</si>
  <si>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</si>
  <si>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</si>
  <si>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</si>
  <si>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</si>
  <si>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</si>
  <si>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</si>
  <si>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</si>
  <si>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</si>
  <si>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</si>
  <si>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</si>
  <si>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</si>
  <si>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</si>
  <si>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</si>
  <si>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</si>
  <si>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</si>
  <si>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</si>
  <si>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</si>
  <si>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</si>
  <si>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</si>
  <si>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</si>
  <si>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</si>
  <si>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</si>
  <si>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</si>
  <si>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</si>
  <si>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</si>
  <si>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</si>
  <si>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</si>
  <si>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</si>
  <si>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</si>
  <si>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</si>
  <si>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</si>
  <si>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</si>
  <si>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</si>
  <si>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</si>
  <si>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</si>
  <si>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</si>
  <si>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</si>
  <si>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</si>
  <si>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</si>
  <si>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</si>
  <si>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</si>
  <si>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</si>
  <si>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</si>
  <si>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</si>
  <si>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</si>
  <si>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</si>
  <si>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</si>
  <si>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</si>
  <si>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</si>
  <si>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</si>
  <si>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</si>
  <si>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</si>
  <si>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</si>
  <si>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</si>
  <si>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</si>
  <si>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</si>
  <si>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</si>
  <si>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</si>
  <si>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</si>
  <si>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</si>
  <si>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</si>
  <si>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</si>
  <si>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</si>
  <si>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</si>
  <si>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</si>
  <si>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</si>
  <si>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</si>
  <si>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</si>
  <si>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</si>
  <si>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</si>
  <si>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</si>
  <si>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</si>
  <si>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</si>
  <si>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</si>
  <si>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</si>
  <si>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</si>
  <si>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</si>
  <si>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</si>
  <si>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</si>
  <si>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</si>
  <si>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</si>
  <si>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</si>
  <si>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</si>
  <si>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</si>
  <si>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</si>
  <si>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</si>
  <si>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</si>
  <si>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</si>
  <si>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</si>
  <si>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</si>
  <si>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</si>
  <si>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</si>
  <si>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</si>
  <si>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</si>
  <si>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</si>
  <si>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</si>
  <si>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</si>
  <si>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</si>
  <si>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</si>
  <si>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</si>
  <si>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</si>
  <si>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</si>
  <si>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</si>
  <si>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</si>
  <si>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</si>
  <si>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</si>
  <si>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</si>
  <si>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</si>
  <si>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</si>
  <si>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</si>
  <si>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</si>
  <si>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</si>
  <si>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</si>
  <si>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</si>
  <si>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</si>
  <si>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</si>
  <si>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</si>
  <si>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</si>
  <si>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</si>
  <si>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</si>
  <si>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</si>
  <si>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</si>
  <si>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</si>
  <si>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</si>
  <si>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</si>
  <si>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</si>
  <si>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</si>
  <si>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</si>
  <si>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</si>
  <si>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</si>
  <si>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</si>
  <si>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</si>
  <si>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</si>
  <si>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</si>
  <si>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</si>
  <si>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</si>
  <si>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</si>
  <si>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</si>
  <si>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</si>
  <si>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</si>
  <si>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</si>
  <si>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</si>
  <si>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</si>
  <si>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</si>
  <si>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</si>
  <si>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</si>
  <si>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</si>
  <si>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</si>
  <si>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</si>
  <si>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</si>
  <si>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</si>
  <si>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</si>
  <si>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</si>
  <si>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</si>
  <si>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</si>
  <si>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</si>
  <si>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</si>
  <si>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</si>
  <si>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</si>
  <si>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</si>
  <si>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</si>
  <si>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</si>
  <si>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</si>
  <si>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</si>
  <si>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</si>
  <si>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</si>
  <si>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</si>
  <si>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</si>
  <si>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</si>
  <si>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</si>
  <si>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</si>
  <si>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</si>
  <si>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</si>
  <si>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</si>
  <si>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</si>
  <si>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</si>
  <si>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</si>
  <si>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</si>
  <si>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</si>
  <si>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</si>
  <si>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</si>
  <si>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</si>
  <si>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</si>
  <si>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</si>
  <si>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</si>
  <si>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</si>
  <si>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</si>
  <si>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</si>
  <si>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</si>
  <si>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</si>
  <si>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</si>
  <si>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</si>
  <si>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</si>
  <si>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</si>
  <si>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</si>
  <si>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</si>
  <si>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</si>
  <si>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</si>
  <si>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</si>
  <si>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</si>
  <si>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</si>
  <si>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</si>
  <si>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</si>
  <si>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</si>
  <si>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</si>
  <si>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</si>
  <si>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</si>
  <si>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</si>
  <si>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</si>
  <si>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</si>
  <si>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</si>
  <si>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</si>
  <si>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</si>
  <si>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</si>
  <si>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</si>
  <si>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</si>
  <si>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</si>
  <si>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</si>
  <si>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</si>
  <si>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</si>
  <si>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</si>
  <si>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</si>
  <si>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</si>
  <si>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</si>
  <si>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</si>
  <si>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</si>
  <si>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</si>
  <si>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</si>
  <si>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</si>
  <si>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</si>
  <si>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</si>
  <si>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</si>
  <si>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</si>
  <si>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</si>
  <si>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</si>
  <si>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</si>
  <si>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</si>
  <si>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</si>
  <si>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</si>
  <si>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</si>
  <si>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</si>
  <si>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</si>
  <si>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</si>
  <si>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</si>
  <si>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</si>
  <si>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</si>
  <si>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</si>
  <si>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</si>
  <si>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</si>
  <si>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</si>
  <si>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</si>
  <si>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</si>
  <si>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</si>
  <si>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</si>
  <si>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</si>
  <si>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</si>
  <si>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</si>
  <si>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</si>
  <si>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</si>
  <si>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</si>
  <si>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</si>
  <si>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</si>
  <si>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</si>
  <si>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</si>
  <si>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</si>
  <si>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</si>
  <si>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</si>
  <si>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</si>
  <si>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</si>
  <si>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</si>
  <si>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</si>
  <si>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</si>
  <si>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</si>
  <si>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</si>
  <si>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</si>
  <si>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</si>
  <si>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</si>
  <si>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</si>
  <si>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</si>
  <si>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</si>
  <si>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</si>
  <si>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</si>
  <si>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</si>
  <si>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</si>
  <si>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</si>
  <si>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</si>
  <si>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</si>
  <si>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</si>
  <si>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</si>
  <si>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</si>
  <si>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</si>
  <si>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</si>
  <si>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</si>
  <si>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</si>
  <si>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</si>
  <si>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</si>
  <si>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</si>
  <si>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</si>
  <si>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</si>
  <si>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</si>
  <si>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</si>
  <si>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</si>
  <si>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</si>
  <si>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</si>
  <si>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</si>
  <si>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</si>
  <si>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</si>
  <si>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</si>
  <si>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</si>
  <si>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</si>
  <si>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</si>
  <si>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</si>
  <si>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</si>
  <si>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</si>
  <si>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</si>
  <si>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</si>
  <si>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</si>
  <si>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</si>
  <si>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</si>
  <si>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</si>
  <si>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</si>
  <si>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</si>
  <si>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</si>
  <si>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</si>
  <si>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</si>
  <si>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</si>
  <si>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</si>
  <si>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</si>
  <si>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</si>
  <si>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</si>
  <si>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</si>
  <si>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</si>
  <si>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</si>
  <si>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</si>
  <si>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</si>
  <si>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</si>
  <si>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</si>
  <si>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</si>
  <si>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</si>
  <si>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</si>
  <si>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</si>
  <si>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</si>
  <si>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</si>
  <si>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</si>
  <si>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</si>
  <si>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</si>
  <si>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</si>
  <si>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</si>
  <si>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</si>
  <si>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</si>
  <si>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</si>
  <si>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</si>
  <si>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</si>
  <si>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</si>
  <si>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</si>
  <si>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</si>
  <si>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</si>
  <si>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</si>
  <si>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</si>
  <si>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</si>
  <si>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</si>
  <si>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</si>
  <si>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</si>
  <si>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</si>
  <si>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</si>
  <si>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</si>
  <si>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</si>
  <si>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</si>
  <si>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</si>
  <si>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</si>
  <si>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</si>
  <si>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</si>
  <si>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</si>
  <si>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</si>
  <si>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</si>
  <si>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</si>
  <si>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</si>
  <si>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</si>
  <si>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</si>
  <si>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</si>
  <si>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</si>
  <si>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</si>
  <si>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</si>
  <si>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</si>
  <si>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</si>
  <si>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</si>
  <si>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</si>
  <si>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</si>
  <si>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</si>
  <si>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</si>
  <si>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</si>
  <si>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</si>
  <si>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</si>
  <si>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</si>
  <si>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</si>
  <si>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</si>
  <si>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</si>
  <si>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</si>
  <si>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</si>
  <si>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</si>
  <si>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</si>
  <si>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</si>
  <si>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</si>
  <si>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</si>
  <si>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</si>
  <si>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</si>
  <si>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</si>
  <si>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</si>
  <si>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</si>
  <si>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</si>
  <si>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</si>
  <si>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</si>
  <si>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</si>
  <si>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</si>
  <si>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</si>
  <si>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</si>
  <si>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</si>
  <si>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</si>
  <si>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</si>
  <si>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</si>
  <si>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</si>
  <si>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</si>
  <si>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</si>
  <si>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</si>
  <si>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</si>
  <si>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</si>
  <si>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</si>
  <si>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</si>
  <si>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</si>
  <si>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</si>
  <si>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</si>
  <si>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</si>
  <si>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</si>
  <si>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</si>
  <si>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</si>
  <si>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</si>
  <si>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</si>
  <si>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</si>
  <si>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</si>
  <si>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</si>
  <si>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</si>
  <si>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</si>
  <si>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</si>
  <si>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</si>
  <si>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</si>
  <si>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</si>
  <si>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</si>
  <si>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</si>
  <si>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</si>
  <si>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</si>
  <si>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</si>
  <si>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</si>
  <si>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</si>
  <si>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</si>
  <si>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</si>
  <si>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</si>
  <si>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</si>
  <si>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</si>
  <si>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</si>
  <si>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</si>
  <si>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</si>
  <si>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</si>
  <si>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</si>
  <si>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</si>
  <si>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</si>
  <si>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</si>
  <si>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</si>
  <si>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</si>
  <si>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</si>
  <si>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</si>
  <si>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</si>
  <si>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</si>
  <si>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</si>
  <si>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</si>
  <si>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</si>
  <si>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</si>
  <si>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</si>
  <si>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</si>
  <si>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</si>
  <si>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</si>
  <si>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</si>
  <si>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</si>
  <si>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</si>
  <si>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</si>
  <si>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</si>
  <si>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</si>
  <si>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</si>
  <si>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</si>
  <si>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</si>
  <si>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</si>
  <si>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</si>
  <si>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</si>
  <si>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</si>
  <si>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</si>
  <si>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</si>
  <si>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</si>
  <si>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</si>
  <si>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</si>
  <si>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</si>
  <si>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</si>
  <si>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</si>
  <si>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</si>
  <si>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</si>
  <si>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</si>
  <si>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</si>
  <si>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</si>
  <si>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</si>
  <si>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</si>
  <si>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</si>
  <si>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</si>
  <si>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</si>
  <si>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</si>
  <si>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</si>
  <si>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</si>
  <si>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</si>
  <si>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</si>
  <si>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</si>
  <si>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</si>
  <si>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</si>
  <si>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</si>
  <si>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</si>
  <si>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</si>
  <si>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</si>
  <si>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</si>
  <si>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</si>
  <si>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</si>
  <si>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</si>
  <si>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</si>
  <si>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</si>
  <si>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</si>
  <si>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</si>
  <si>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</si>
  <si>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</si>
  <si>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</si>
  <si>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</si>
  <si>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</si>
  <si>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</si>
  <si>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</si>
  <si>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</si>
  <si>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</si>
  <si>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</si>
  <si>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</si>
  <si>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</si>
  <si>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</si>
  <si>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</si>
  <si>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</si>
  <si>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</si>
  <si>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</si>
  <si>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</si>
  <si>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</si>
  <si>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</si>
  <si>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</si>
  <si>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</si>
  <si>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</si>
  <si>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</si>
  <si>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</si>
  <si>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</si>
  <si>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</si>
  <si>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</si>
  <si>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</si>
  <si>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</si>
  <si>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</si>
  <si>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</si>
  <si>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</si>
  <si>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</si>
  <si>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</si>
  <si>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</si>
  <si>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</si>
  <si>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</si>
  <si>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</si>
  <si>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</si>
  <si>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</si>
  <si>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</si>
  <si>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</si>
  <si>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</si>
  <si>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</si>
  <si>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</si>
  <si>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</si>
  <si>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</si>
  <si>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</si>
  <si>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</si>
  <si>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</si>
  <si>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</si>
  <si>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</si>
  <si>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</si>
  <si>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</si>
  <si>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</si>
  <si>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</si>
  <si>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</si>
  <si>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</si>
  <si>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</si>
  <si>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</si>
  <si>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</si>
  <si>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</si>
  <si>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</si>
  <si>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</si>
  <si>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</si>
  <si>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</si>
  <si>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</si>
  <si>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</si>
  <si>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</si>
  <si>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</si>
  <si>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</si>
  <si>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</si>
  <si>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</si>
  <si>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</si>
  <si>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</si>
  <si>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</si>
  <si>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</si>
  <si>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</si>
  <si>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</si>
  <si>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</si>
  <si>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</si>
  <si>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</si>
  <si>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</si>
  <si>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</si>
  <si>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</si>
  <si>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</si>
  <si>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</si>
  <si>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</si>
  <si>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</si>
  <si>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</si>
  <si>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</si>
  <si>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</si>
  <si>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</si>
  <si>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</si>
  <si>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</si>
  <si>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</si>
  <si>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</si>
  <si>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</si>
  <si>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</si>
  <si>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</si>
  <si>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</si>
  <si>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</si>
  <si>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</si>
  <si>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</si>
  <si>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</si>
  <si>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</si>
  <si>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</si>
  <si>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</si>
  <si>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</si>
  <si>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</si>
  <si>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</si>
  <si>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</si>
  <si>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</si>
  <si>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</si>
  <si>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</si>
  <si>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</si>
  <si>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</si>
  <si>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</si>
  <si>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</si>
  <si>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</si>
  <si>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</si>
  <si>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</si>
  <si>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</si>
  <si>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</si>
  <si>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</si>
  <si>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</si>
  <si>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</si>
  <si>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</si>
  <si>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</si>
  <si>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</si>
  <si>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</si>
  <si>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</si>
  <si>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</si>
  <si>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</si>
  <si>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</si>
  <si>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</si>
  <si>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</si>
  <si>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</si>
  <si>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</si>
  <si>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</si>
  <si>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</si>
  <si>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</si>
  <si>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</si>
  <si>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</si>
  <si>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</si>
  <si>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</si>
  <si>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</si>
  <si>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</si>
  <si>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</si>
  <si>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</si>
  <si>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</si>
  <si>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</si>
  <si>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</si>
  <si>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</si>
  <si>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</si>
  <si>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</si>
  <si>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</si>
  <si>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</si>
  <si>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</si>
  <si>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</si>
  <si>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</si>
  <si>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</si>
  <si>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</si>
  <si>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</si>
  <si>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</si>
  <si>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</si>
  <si>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</si>
  <si>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</si>
  <si>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</si>
  <si>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</si>
  <si>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</si>
  <si>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</si>
  <si>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</si>
  <si>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</si>
  <si>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</si>
  <si>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</si>
  <si>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</si>
  <si>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</si>
  <si>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</si>
  <si>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</si>
  <si>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</si>
  <si>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</si>
  <si>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</si>
  <si>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</si>
  <si>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</si>
  <si>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</si>
  <si>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</si>
  <si>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</si>
  <si>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</si>
  <si>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</si>
  <si>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</si>
  <si>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</si>
  <si>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</si>
  <si>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</si>
  <si>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</si>
  <si>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</si>
  <si>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</si>
  <si>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</si>
  <si>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</si>
  <si>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</si>
  <si>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</si>
  <si>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</si>
  <si>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</si>
  <si>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</si>
  <si>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</si>
  <si>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</si>
  <si>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</si>
  <si>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</si>
  <si>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</si>
  <si>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</si>
  <si>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</si>
  <si>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</si>
  <si>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</si>
  <si>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</si>
  <si>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</si>
  <si>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</si>
  <si>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</si>
  <si>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</si>
  <si>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</si>
  <si>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</si>
  <si>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</si>
  <si>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</si>
  <si>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</si>
  <si>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</si>
  <si>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</si>
  <si>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</si>
  <si>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</si>
  <si>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</si>
  <si>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</si>
  <si>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</si>
  <si>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</si>
  <si>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</si>
  <si>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</si>
  <si>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</si>
  <si>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</si>
  <si>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</si>
  <si>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</si>
  <si>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</si>
  <si>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</si>
  <si>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</si>
  <si>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</si>
  <si>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</si>
  <si>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</si>
  <si>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</si>
  <si>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</si>
  <si>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</si>
  <si>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</si>
  <si>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</si>
  <si>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</si>
  <si>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</si>
  <si>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</si>
  <si>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</si>
  <si>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</si>
  <si>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</si>
  <si>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</si>
  <si>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</si>
  <si>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</si>
  <si>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</si>
  <si>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</si>
  <si>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</si>
  <si>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</si>
  <si>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</si>
  <si>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</si>
  <si>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</si>
  <si>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</si>
  <si>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</si>
  <si>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</si>
  <si>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</si>
  <si>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</si>
  <si>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</si>
  <si>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</si>
  <si>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</si>
  <si>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</si>
  <si>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</si>
  <si>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</si>
  <si>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</si>
  <si>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</si>
  <si>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</si>
  <si>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</si>
  <si>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</si>
  <si>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</si>
  <si>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</si>
  <si>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</si>
  <si>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</si>
  <si>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</si>
  <si>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</si>
  <si>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</si>
  <si>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</si>
  <si>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</si>
  <si>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</si>
  <si>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</si>
  <si>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</si>
  <si>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</si>
  <si>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</si>
  <si>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</si>
  <si>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</si>
  <si>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</si>
  <si>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</si>
  <si>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</si>
  <si>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</si>
  <si>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</si>
  <si>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</si>
  <si>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</si>
  <si>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</si>
  <si>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</si>
  <si>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</si>
  <si>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</si>
  <si>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</si>
  <si>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</si>
  <si>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</si>
  <si>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</si>
  <si>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</si>
  <si>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</si>
  <si>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</si>
  <si>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</si>
  <si>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</si>
  <si>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</si>
  <si>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</si>
  <si>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</si>
  <si>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</si>
  <si>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</si>
  <si>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</si>
  <si>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</si>
  <si>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</si>
  <si>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</si>
  <si>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</si>
  <si>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</si>
  <si>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</si>
  <si>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</si>
  <si>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</si>
  <si>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</si>
  <si>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</si>
  <si>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</si>
  <si>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</si>
  <si>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</si>
  <si>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</si>
  <si>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</si>
  <si>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</si>
  <si>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</si>
  <si>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</si>
  <si>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</si>
  <si>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</si>
  <si>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</si>
  <si>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</si>
  <si>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</si>
  <si>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</si>
  <si>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</si>
  <si>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</si>
  <si>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</si>
  <si>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</si>
  <si>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</si>
  <si>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</si>
  <si>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</si>
  <si>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</si>
  <si>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</si>
  <si>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</si>
  <si>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</si>
  <si>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</si>
  <si>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</si>
  <si>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</si>
  <si>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</si>
  <si>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</si>
  <si>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</si>
  <si>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</si>
  <si>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</si>
  <si>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</si>
  <si>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</si>
  <si>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</si>
  <si>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</si>
  <si>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</si>
  <si>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</si>
  <si>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</si>
  <si>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</si>
  <si>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</si>
  <si>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</si>
  <si>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</si>
  <si>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</si>
  <si>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</si>
  <si>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</si>
  <si>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</si>
  <si>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</si>
  <si>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</si>
  <si>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</si>
  <si>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</si>
  <si>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</si>
  <si>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</si>
  <si>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</si>
  <si>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</si>
  <si>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</si>
  <si>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</si>
  <si>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</si>
  <si>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</si>
  <si>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</si>
  <si>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</si>
  <si>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</si>
  <si>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</si>
  <si>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</si>
  <si>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</si>
  <si>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</si>
  <si>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</si>
  <si>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</si>
  <si>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</si>
  <si>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</si>
  <si>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</si>
  <si>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</si>
  <si>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</si>
  <si>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</si>
  <si>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</si>
  <si>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</si>
  <si>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</si>
  <si>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</si>
  <si>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</si>
  <si>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</si>
  <si>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</si>
  <si>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</si>
  <si>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</si>
  <si>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</si>
  <si>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</si>
  <si>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</si>
  <si>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</si>
  <si>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</si>
  <si>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</si>
  <si>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</si>
  <si>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</si>
  <si>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</si>
  <si>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</si>
  <si>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</si>
  <si>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</si>
  <si>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</si>
  <si>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</si>
  <si>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</si>
  <si>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</si>
  <si>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</si>
  <si>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</si>
  <si>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</si>
  <si>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</si>
  <si>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</si>
  <si>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</si>
  <si>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</si>
  <si>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</si>
  <si>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</si>
  <si>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</si>
  <si>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</si>
  <si>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</si>
  <si>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</si>
  <si>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</si>
  <si>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</si>
  <si>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</si>
  <si>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</si>
  <si>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</si>
  <si>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</si>
  <si>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</si>
  <si>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</si>
  <si>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</si>
  <si>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</si>
  <si>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</si>
  <si>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</si>
  <si>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</si>
  <si>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</si>
  <si>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</si>
  <si>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</si>
  <si>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</si>
  <si>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</si>
  <si>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</si>
  <si>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</si>
  <si>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</si>
  <si>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</si>
  <si>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</si>
  <si>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</si>
  <si>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</si>
  <si>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</si>
  <si>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</si>
  <si>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</si>
  <si>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</si>
  <si>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</si>
  <si>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</si>
  <si>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</si>
  <si>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</si>
  <si>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</si>
  <si>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</si>
  <si>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</si>
  <si>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</si>
  <si>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</si>
  <si>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</si>
  <si>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</si>
  <si>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</si>
  <si>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</si>
  <si>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</si>
  <si>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</si>
  <si>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</si>
  <si>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</si>
  <si>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</si>
  <si>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</si>
  <si>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</si>
  <si>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</si>
  <si>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</si>
  <si>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</si>
  <si>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</si>
  <si>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</si>
  <si>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</si>
  <si>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</si>
  <si>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</si>
  <si>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</si>
  <si>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</si>
  <si>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</si>
  <si>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</si>
  <si>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</si>
  <si>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</si>
  <si>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</si>
  <si>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</si>
  <si>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</si>
  <si>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</si>
  <si>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</si>
  <si>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</si>
  <si>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</si>
  <si>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</si>
  <si>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</si>
  <si>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</si>
  <si>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</si>
  <si>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</si>
  <si>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</si>
  <si>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</si>
  <si>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</si>
  <si>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</si>
  <si>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</si>
  <si>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</si>
  <si>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</si>
  <si>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</si>
  <si>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</si>
  <si>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</si>
  <si>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</si>
  <si>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</si>
  <si>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</si>
  <si>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</si>
  <si>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</si>
  <si>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</si>
  <si>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</si>
  <si>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</si>
  <si>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</si>
  <si>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</si>
  <si>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</si>
  <si>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</si>
  <si>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</si>
  <si>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</si>
  <si>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</si>
  <si>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</si>
  <si>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</si>
  <si>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</si>
  <si>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</si>
  <si>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</si>
  <si>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</si>
  <si>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</si>
  <si>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</si>
  <si>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</si>
  <si>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</si>
  <si>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</si>
  <si>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</si>
  <si>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</si>
  <si>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</si>
  <si>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</si>
  <si>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</si>
  <si>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</si>
  <si>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</si>
  <si>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</si>
  <si>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</si>
  <si>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</si>
  <si>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</si>
  <si>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</si>
  <si>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</si>
  <si>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</si>
  <si>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</si>
  <si>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</si>
  <si>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</si>
  <si>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</si>
  <si>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</si>
  <si>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</si>
  <si>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</si>
  <si>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</si>
  <si>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</si>
  <si>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</si>
  <si>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</si>
  <si>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</si>
  <si>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</si>
  <si>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</si>
  <si>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</si>
  <si>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</si>
  <si>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</si>
  <si>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</si>
  <si>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</si>
  <si>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</si>
  <si>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</si>
  <si>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</si>
  <si>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</si>
  <si>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</si>
  <si>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</si>
  <si>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</si>
  <si>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</si>
  <si>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</si>
  <si>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</si>
  <si>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</si>
  <si>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</si>
  <si>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</si>
  <si>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</si>
  <si>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</si>
  <si>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</si>
  <si>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</si>
  <si>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</si>
  <si>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</si>
  <si>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</si>
  <si>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</si>
  <si>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</si>
  <si>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</si>
  <si>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</si>
  <si>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</si>
  <si>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</si>
  <si>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</si>
  <si>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</si>
  <si>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</si>
  <si>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</si>
  <si>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</si>
  <si>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</si>
  <si>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</si>
  <si>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</si>
  <si>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</si>
  <si>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</si>
  <si>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</si>
  <si>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</si>
  <si>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</si>
  <si>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</si>
  <si>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</si>
  <si>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</si>
  <si>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</si>
  <si>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</si>
  <si>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</si>
  <si>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</si>
  <si>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</si>
  <si>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</si>
  <si>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</si>
  <si>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</si>
  <si>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</si>
  <si>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</si>
  <si>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</si>
  <si>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</si>
  <si>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</si>
  <si>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</si>
  <si>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</si>
  <si>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</si>
  <si>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</si>
  <si>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</si>
  <si>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</si>
  <si>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</si>
  <si>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</si>
  <si>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</si>
  <si>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</si>
  <si>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</si>
  <si>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</si>
  <si>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</si>
  <si>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Working Cash Fund Bonds</t>
  </si>
  <si>
    <t>X</t>
  </si>
  <si>
    <t>School Districts located in North Central Illinois</t>
  </si>
  <si>
    <t>Central Il Ed Coop with Metamora High School</t>
  </si>
  <si>
    <t>Athletics Coop with Roanoke Benson, Henry, Midland</t>
  </si>
  <si>
    <t>Woodford and Marshall</t>
  </si>
  <si>
    <t>508 E Walnut Street</t>
  </si>
  <si>
    <t>Washburn</t>
  </si>
  <si>
    <t>schupp@lwcusd21.com</t>
  </si>
  <si>
    <t>61570-0596</t>
  </si>
  <si>
    <t>Duane Schupp</t>
  </si>
  <si>
    <t>(309)248-7522</t>
  </si>
  <si>
    <t>(309)248-7518</t>
  </si>
  <si>
    <t>Ginoli &amp; Company LTD</t>
  </si>
  <si>
    <t>Mark D Reinken</t>
  </si>
  <si>
    <t>7625 N University Street, Suite A</t>
  </si>
  <si>
    <t>Peoria</t>
  </si>
  <si>
    <t>IL</t>
  </si>
  <si>
    <t>61614-8303</t>
  </si>
  <si>
    <t>(309)671-2350</t>
  </si>
  <si>
    <t>(309)671-5459</t>
  </si>
  <si>
    <t>066-005055</t>
  </si>
  <si>
    <t>mreinken@ginolicpa.com</t>
  </si>
  <si>
    <t>Adverse due to regulatory basis of accounting.</t>
  </si>
  <si>
    <t>Internal controls are enhanced when responsibilities for authorizing, approving, executing, and recording transactions are separated among employees.  The segregation of these responsibilities also decreases the possibility of fraud, inefficiencies, and/or errors.</t>
  </si>
  <si>
    <t>The District has two office staff who work with different aspects of the accounting function.  However, the responsibilities are such that one individual is involved in some transactions from beginning to end.</t>
  </si>
  <si>
    <t>One individual handles most aspects of the purchasing and cash disbursements functions and another individual almost exclusively handles the payroll function.</t>
  </si>
  <si>
    <t>There is an increased risk of fraud, inefficiencies, and/or errors.</t>
  </si>
  <si>
    <t>Duties have been assigned based on the experience, abilities, and schedules of office personnel.</t>
  </si>
  <si>
    <t>Since office personnel are capable of filling in for each other, duties for the various functions could be shared so that one person does not handle every aspect of that function.</t>
  </si>
  <si>
    <t>Some segregation of duties has occurred, and the principals and superintendent are involved in various ways to enhance internal control.  Management feels that strengths and abilities of current office staff are best used in the areas they know best.  Additionally, it is not economically practical to hire additional personnel at this time.</t>
  </si>
  <si>
    <t>2018-001</t>
  </si>
  <si>
    <t>The District has two office staff who work</t>
  </si>
  <si>
    <t>with different aspects of the accounting function.</t>
  </si>
  <si>
    <t>However, the responsibilities are such that one</t>
  </si>
  <si>
    <t>individual is involved in some transactions</t>
  </si>
  <si>
    <t>from beginning to end.</t>
  </si>
  <si>
    <t>Finding 2019-001</t>
  </si>
  <si>
    <t>Page 9, Line 17 - Interest on property taxes received.</t>
  </si>
  <si>
    <t>Page 11, Line 106 - TIF money</t>
  </si>
  <si>
    <t>Page 12, Line 168 - Miscellaneous State grants</t>
  </si>
  <si>
    <t>Page 17, Line 136 - Cell tower taxes</t>
  </si>
  <si>
    <t>10-2560-400</t>
  </si>
  <si>
    <t>Kohls Foods</t>
  </si>
  <si>
    <t>Ed-Community Services-Purchased Services</t>
  </si>
  <si>
    <t>10-3000-300</t>
  </si>
  <si>
    <t>Frontier</t>
  </si>
  <si>
    <t>Page 18, Line 171 - Fees</t>
  </si>
  <si>
    <t>Page 11, Line 107 - Reimbursements</t>
  </si>
  <si>
    <t>Ed-Support Services-Business-Supplies &amp; Materials</t>
  </si>
  <si>
    <t>Ginoli &amp; Company Ltd</t>
  </si>
  <si>
    <t>Woodford County Special Ed Co-op</t>
  </si>
  <si>
    <t>Lowpoint-Washburn CUSD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</si>
</sst>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3"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2065</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2065</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53102021026</v>
      </c>
      <c r="B13" s="2019"/>
      <c r="C13" s="2019"/>
      <c r="D13" s="2019"/>
      <c r="E13" s="2019"/>
      <c r="F13" s="2019"/>
      <c r="G13" s="2019"/>
      <c r="H13" s="2020"/>
      <c r="I13" s="31"/>
      <c r="J13" s="30"/>
      <c r="K13" s="28"/>
      <c r="L13" s="30"/>
      <c r="M13" s="30"/>
      <c r="N13" s="30"/>
      <c r="O13" s="30"/>
      <c r="P13" s="30"/>
      <c r="Q13" s="30"/>
      <c r="R13" s="30"/>
      <c r="S13" s="30"/>
      <c r="T13" s="2023" t="s">
        <v>2077</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2069</v>
      </c>
      <c r="B15" s="2021"/>
      <c r="C15" s="2021"/>
      <c r="D15" s="2021"/>
      <c r="E15" s="2021"/>
      <c r="F15" s="2021"/>
      <c r="G15" s="2021"/>
      <c r="H15" s="2022"/>
      <c r="T15" s="2027" t="s">
        <v>2078</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2116</v>
      </c>
      <c r="B17" s="1978"/>
      <c r="C17" s="1978"/>
      <c r="D17" s="1978"/>
      <c r="E17" s="1978"/>
      <c r="F17" s="1978"/>
      <c r="G17" s="1978"/>
      <c r="H17" s="2003"/>
      <c r="T17" s="2034" t="s">
        <v>2079</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2070</v>
      </c>
      <c r="B19" s="1963"/>
      <c r="C19" s="1963"/>
      <c r="D19" s="1963"/>
      <c r="E19" s="1963"/>
      <c r="F19" s="1963"/>
      <c r="G19" s="1963"/>
      <c r="H19" s="1943"/>
      <c r="I19" s="30"/>
      <c r="J19" s="99"/>
      <c r="K19" s="40"/>
      <c r="L19" s="38"/>
      <c r="M19" s="112" t="s">
        <v>315</v>
      </c>
      <c r="P19" s="27"/>
      <c r="Q19" s="27"/>
      <c r="R19" s="27"/>
      <c r="S19" s="31"/>
      <c r="T19" s="2017" t="s">
        <v>2080</v>
      </c>
      <c r="U19" s="1942"/>
      <c r="V19" s="1942"/>
      <c r="W19" s="1943"/>
      <c r="X19" s="2032" t="s">
        <v>2081</v>
      </c>
      <c r="Y19" s="2033"/>
      <c r="Z19" s="2030" t="s">
        <v>2082</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2071</v>
      </c>
      <c r="B21" s="1942"/>
      <c r="C21" s="1942"/>
      <c r="D21" s="1942"/>
      <c r="E21" s="1942"/>
      <c r="F21" s="1942"/>
      <c r="G21" s="1942"/>
      <c r="H21" s="1943"/>
      <c r="I21" s="1997" t="s">
        <v>678</v>
      </c>
      <c r="J21" s="1992"/>
      <c r="K21" s="1992"/>
      <c r="L21" s="1992"/>
      <c r="M21" s="1992"/>
      <c r="N21" s="1992"/>
      <c r="O21" s="1992"/>
      <c r="P21" s="1992"/>
      <c r="Q21" s="1992"/>
      <c r="R21" s="1992"/>
      <c r="S21" s="1998"/>
      <c r="T21" s="2041" t="s">
        <v>2083</v>
      </c>
      <c r="U21" s="2042"/>
      <c r="V21" s="2042"/>
      <c r="W21" s="2042"/>
      <c r="X21" s="2047" t="s">
        <v>2084</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2072</v>
      </c>
      <c r="B23" s="1995"/>
      <c r="C23" s="1995"/>
      <c r="D23" s="1995"/>
      <c r="E23" s="1995"/>
      <c r="F23" s="1995"/>
      <c r="G23" s="1995"/>
      <c r="H23" s="1996"/>
      <c r="T23" s="1977" t="s">
        <v>2085</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t="s">
        <v>2073</v>
      </c>
      <c r="B25" s="1942"/>
      <c r="C25" s="1942"/>
      <c r="D25" s="1942"/>
      <c r="E25" s="1942"/>
      <c r="F25" s="1942"/>
      <c r="G25" s="1942"/>
      <c r="H25" s="1943"/>
      <c r="I25" s="113"/>
      <c r="J25" s="1966"/>
      <c r="K25" s="1966"/>
      <c r="L25" s="1966"/>
      <c r="M25" s="1966"/>
      <c r="N25" s="1966"/>
      <c r="O25" s="1966"/>
      <c r="P25" s="1966"/>
      <c r="Q25" s="1966"/>
      <c r="R25" s="1966"/>
      <c r="S25" s="1967"/>
      <c r="T25" s="2037" t="s">
        <v>2086</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2074</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2072</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2075</v>
      </c>
      <c r="B42" s="1961"/>
      <c r="C42" s="1962"/>
      <c r="D42" s="1960" t="s">
        <v>2076</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X26" sqref="X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1718558</v>
      </c>
      <c r="C4" s="1524"/>
      <c r="D4" s="1752">
        <f>B4-C4</f>
        <v>1718558</v>
      </c>
      <c r="E4" s="1524">
        <v>1790050</v>
      </c>
      <c r="F4" s="1752">
        <f>E4-C4</f>
        <v>1790050</v>
      </c>
    </row>
    <row r="5" spans="1:6" ht="13.7" customHeight="1" x14ac:dyDescent="0.2">
      <c r="A5" s="715" t="s">
        <v>870</v>
      </c>
      <c r="B5" s="1750">
        <f>'Revenues 9-14'!D5</f>
        <v>299445</v>
      </c>
      <c r="C5" s="585"/>
      <c r="D5" s="1753">
        <f t="shared" ref="D5:D18" si="0">B5-C5</f>
        <v>299445</v>
      </c>
      <c r="E5" s="585">
        <v>311903</v>
      </c>
      <c r="F5" s="1753">
        <f>E5-C5</f>
        <v>311903</v>
      </c>
    </row>
    <row r="6" spans="1:6" ht="13.7" customHeight="1" x14ac:dyDescent="0.2">
      <c r="A6" s="715" t="s">
        <v>411</v>
      </c>
      <c r="B6" s="1750">
        <f>'Revenues 9-14'!E5</f>
        <v>268404</v>
      </c>
      <c r="C6" s="585"/>
      <c r="D6" s="1753">
        <f t="shared" si="0"/>
        <v>268404</v>
      </c>
      <c r="E6" s="585">
        <v>261936</v>
      </c>
      <c r="F6" s="1753">
        <f t="shared" ref="F6:F18" si="1">E6-C6</f>
        <v>261936</v>
      </c>
    </row>
    <row r="7" spans="1:6" ht="13.7" customHeight="1" x14ac:dyDescent="0.2">
      <c r="A7" s="715" t="s">
        <v>155</v>
      </c>
      <c r="B7" s="1750">
        <f>'Revenues 9-14'!F5</f>
        <v>104154</v>
      </c>
      <c r="C7" s="585"/>
      <c r="D7" s="1753">
        <f t="shared" si="0"/>
        <v>104154</v>
      </c>
      <c r="E7" s="585">
        <v>108488</v>
      </c>
      <c r="F7" s="1753">
        <f t="shared" si="1"/>
        <v>108488</v>
      </c>
    </row>
    <row r="8" spans="1:6" ht="13.7" customHeight="1" x14ac:dyDescent="0.2">
      <c r="A8" s="715" t="s">
        <v>1179</v>
      </c>
      <c r="B8" s="1750">
        <f>'Revenues 9-14'!G5</f>
        <v>78989</v>
      </c>
      <c r="C8" s="585"/>
      <c r="D8" s="1753">
        <f t="shared" si="0"/>
        <v>78989</v>
      </c>
      <c r="E8" s="585">
        <v>80606</v>
      </c>
      <c r="F8" s="1753">
        <f t="shared" si="1"/>
        <v>80606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26040</v>
      </c>
      <c r="C10" s="585"/>
      <c r="D10" s="1753">
        <f t="shared" si="0"/>
        <v>26040</v>
      </c>
      <c r="E10" s="585">
        <v>27122</v>
      </c>
      <c r="F10" s="1753">
        <f t="shared" si="1"/>
        <v>27122</v>
      </c>
    </row>
    <row r="11" spans="1:6" x14ac:dyDescent="0.2">
      <c r="A11" s="715" t="s">
        <v>409</v>
      </c>
      <c r="B11" s="1750">
        <f>'Revenues 9-14'!J5</f>
        <v>205227</v>
      </c>
      <c r="C11" s="585"/>
      <c r="D11" s="1753">
        <f t="shared" si="0"/>
        <v>205227</v>
      </c>
      <c r="E11" s="585">
        <v>209490</v>
      </c>
      <c r="F11" s="1753">
        <f t="shared" si="1"/>
        <v>209490</v>
      </c>
    </row>
    <row r="12" spans="1:6" ht="13.7" customHeight="1" x14ac:dyDescent="0.2">
      <c r="A12" s="715" t="s">
        <v>157</v>
      </c>
      <c r="B12" s="1750">
        <f>'Revenues 9-14'!K5</f>
        <v>26040</v>
      </c>
      <c r="C12" s="585"/>
      <c r="D12" s="1753">
        <f t="shared" si="0"/>
        <v>26040</v>
      </c>
      <c r="E12" s="585">
        <v>27122</v>
      </c>
      <c r="F12" s="1753">
        <f t="shared" si="1"/>
        <v>27122</v>
      </c>
    </row>
    <row r="13" spans="1:6" ht="13.7" customHeight="1" x14ac:dyDescent="0.2">
      <c r="A13" s="715" t="s">
        <v>936</v>
      </c>
      <c r="B13" s="1750">
        <f>SUM('Revenues 9-14'!C6:D6)</f>
        <v>26040</v>
      </c>
      <c r="C13" s="585"/>
      <c r="D13" s="1753">
        <f t="shared" si="0"/>
        <v>26040</v>
      </c>
      <c r="E13" s="585">
        <v>27122</v>
      </c>
      <c r="F13" s="1753">
        <f t="shared" si="1"/>
        <v>27122</v>
      </c>
    </row>
    <row r="14" spans="1:6" ht="13.7" customHeight="1" x14ac:dyDescent="0.2">
      <c r="A14" s="715" t="s">
        <v>410</v>
      </c>
      <c r="B14" s="1750">
        <f>SUM('Revenues 9-14'!C7:D7,'Revenues 9-14'!F7:H7)</f>
        <v>20831</v>
      </c>
      <c r="C14" s="585"/>
      <c r="D14" s="1753">
        <f t="shared" si="0"/>
        <v>20831</v>
      </c>
      <c r="E14" s="585">
        <v>21698</v>
      </c>
      <c r="F14" s="1753">
        <f t="shared" si="1"/>
        <v>21698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78989</v>
      </c>
      <c r="C16" s="585"/>
      <c r="D16" s="1753">
        <f t="shared" si="0"/>
        <v>78989</v>
      </c>
      <c r="E16" s="585">
        <v>80606</v>
      </c>
      <c r="F16" s="1753">
        <f t="shared" si="1"/>
        <v>80606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2852717</v>
      </c>
      <c r="C19" s="1751">
        <f>SUM(C4:C18)</f>
        <v>0</v>
      </c>
      <c r="D19" s="1751">
        <f>SUM(D4:D18)</f>
        <v>2852717</v>
      </c>
      <c r="E19" s="1751">
        <f>SUM(E4:E18)</f>
        <v>2946143</v>
      </c>
      <c r="F19" s="1751">
        <f>SUM(F4:F18)</f>
        <v>2946143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 colorId="8" zoomScale="110" zoomScaleNormal="110" workbookViewId="0">
      <selection activeCell="X26" sqref="X2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2064</v>
      </c>
      <c r="B31" s="733">
        <v>41431</v>
      </c>
      <c r="C31" s="734">
        <v>1200000</v>
      </c>
      <c r="D31" s="735">
        <v>1</v>
      </c>
      <c r="E31" s="734">
        <v>265000</v>
      </c>
      <c r="F31" s="734"/>
      <c r="G31" s="734"/>
      <c r="H31" s="734">
        <v>265000</v>
      </c>
      <c r="I31" s="1756">
        <f>((E31+F31)-H31)+G31</f>
        <v>0</v>
      </c>
      <c r="J31" s="734"/>
      <c r="K31" s="736"/>
    </row>
    <row r="32" spans="1:11" ht="12" customHeight="1" x14ac:dyDescent="0.2">
      <c r="A32" s="732" t="s">
        <v>2064</v>
      </c>
      <c r="B32" s="733">
        <v>43319</v>
      </c>
      <c r="C32" s="734">
        <v>1305000</v>
      </c>
      <c r="D32" s="735">
        <v>1</v>
      </c>
      <c r="E32" s="734"/>
      <c r="F32" s="734">
        <v>1305000</v>
      </c>
      <c r="G32" s="734"/>
      <c r="H32" s="734"/>
      <c r="I32" s="1756">
        <f>((E32+F32)-H32)+G32</f>
        <v>1305000</v>
      </c>
      <c r="J32" s="734">
        <f>1305000-5684</f>
        <v>1299316</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2505000</v>
      </c>
      <c r="D49" s="745"/>
      <c r="E49" s="1756">
        <f t="shared" ref="E49:J49" si="2">SUM(E31:E48)</f>
        <v>265000</v>
      </c>
      <c r="F49" s="1756">
        <f t="shared" si="2"/>
        <v>1305000</v>
      </c>
      <c r="G49" s="1756">
        <f t="shared" si="2"/>
        <v>0</v>
      </c>
      <c r="H49" s="1756">
        <f t="shared" si="2"/>
        <v>265000</v>
      </c>
      <c r="I49" s="1756">
        <f t="shared" si="2"/>
        <v>1305000</v>
      </c>
      <c r="J49" s="1756">
        <f t="shared" si="2"/>
        <v>1299316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X26" sqref="X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20831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5364</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20831</v>
      </c>
      <c r="I12" s="1758">
        <f>SUM(I5:I11)</f>
        <v>0</v>
      </c>
      <c r="J12" s="1758">
        <f>SUM(J5:J11)</f>
        <v>0</v>
      </c>
      <c r="K12" s="1758">
        <f>SUM(K5:K11)</f>
        <v>5364</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20831</v>
      </c>
      <c r="I14" s="771"/>
      <c r="J14" s="773"/>
      <c r="K14" s="765">
        <v>5364</v>
      </c>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20831</v>
      </c>
      <c r="I23" s="1758">
        <f>SUM(I14:I16,I21,I22)</f>
        <v>0</v>
      </c>
      <c r="J23" s="1758">
        <f>SUM(J14:J16,J21,J22)</f>
        <v>0</v>
      </c>
      <c r="K23" s="1758">
        <f>SUM(K14:K16,K21,K22)</f>
        <v>5364</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X26" sqref="X2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18400</v>
      </c>
      <c r="D5" s="841"/>
      <c r="E5" s="841"/>
      <c r="F5" s="1760">
        <f>(C5+D5)-E5</f>
        <v>18400</v>
      </c>
      <c r="G5" s="837"/>
      <c r="H5" s="842"/>
      <c r="I5" s="842"/>
      <c r="J5" s="842"/>
      <c r="K5" s="793"/>
      <c r="L5" s="1769">
        <f>F5-K5</f>
        <v>18400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3909628</v>
      </c>
      <c r="D8" s="844"/>
      <c r="E8" s="844"/>
      <c r="F8" s="1760">
        <f>(C8+D8)-E8</f>
        <v>3909628</v>
      </c>
      <c r="G8" s="843">
        <v>50</v>
      </c>
      <c r="H8" s="765">
        <v>2708353</v>
      </c>
      <c r="I8" s="765">
        <v>55986</v>
      </c>
      <c r="J8" s="765"/>
      <c r="K8" s="1769">
        <f>(H8+I8)-J8</f>
        <v>2764339</v>
      </c>
      <c r="L8" s="1769">
        <f>F8-K8</f>
        <v>1145289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225808</v>
      </c>
      <c r="D12" s="844">
        <f>22341+22181</f>
        <v>44522</v>
      </c>
      <c r="E12" s="844"/>
      <c r="F12" s="1760">
        <f>(C12+D12)-E12</f>
        <v>270330</v>
      </c>
      <c r="G12" s="843">
        <v>10</v>
      </c>
      <c r="H12" s="765">
        <v>129912</v>
      </c>
      <c r="I12" s="765">
        <f>23479+3554</f>
        <v>27033</v>
      </c>
      <c r="J12" s="765"/>
      <c r="K12" s="1769">
        <f>(H12+I12)-J12</f>
        <v>156945</v>
      </c>
      <c r="L12" s="1769">
        <f>F12-K12</f>
        <v>113385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v>21795</v>
      </c>
      <c r="E14" s="765"/>
      <c r="F14" s="1760">
        <f>(C14+D14)-E14</f>
        <v>21795</v>
      </c>
      <c r="G14" s="843">
        <v>3</v>
      </c>
      <c r="H14" s="765"/>
      <c r="I14" s="765">
        <v>7265</v>
      </c>
      <c r="J14" s="765"/>
      <c r="K14" s="1769">
        <f>(H14+I14)-J14</f>
        <v>7265</v>
      </c>
      <c r="L14" s="1769">
        <f>F14-K14</f>
        <v>14530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4153836</v>
      </c>
      <c r="D16" s="1760">
        <f>SUM(D3,D5:D6,D8:D10,D12:D15)</f>
        <v>66317</v>
      </c>
      <c r="E16" s="1760">
        <f>SUM(E3,E5:E6,E8:E10,E12:E15)</f>
        <v>0</v>
      </c>
      <c r="F16" s="1760">
        <f>SUM(F3,F5:F6,F8:F10,F12:F15)</f>
        <v>4220153</v>
      </c>
      <c r="G16" s="843"/>
      <c r="H16" s="1760">
        <f>SUM(H3,H6,H8:H10,H12:H14,)</f>
        <v>2838265</v>
      </c>
      <c r="I16" s="1760">
        <f>SUM(I3,I6,I8:I10,I12:I14,)</f>
        <v>90284</v>
      </c>
      <c r="J16" s="1760">
        <f>SUM(J3,J6,J8:J10,J12:J14,)</f>
        <v>0</v>
      </c>
      <c r="K16" s="1760">
        <f>(H16+I16)-J16</f>
        <v>2928549</v>
      </c>
      <c r="L16" s="1760">
        <f>F16-K16</f>
        <v>1291604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90284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9" activePane="bottomLeft" state="frozen"/>
      <selection activeCell="X26" sqref="X26"/>
      <selection pane="bottomLeft" activeCell="X26" sqref="X2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3282751</v>
      </c>
      <c r="G8" s="865"/>
    </row>
    <row r="9" spans="1:7" x14ac:dyDescent="0.2">
      <c r="A9" s="869" t="s">
        <v>460</v>
      </c>
      <c r="B9" s="870" t="s">
        <v>1877</v>
      </c>
      <c r="C9" s="871"/>
      <c r="D9" s="869" t="s">
        <v>501</v>
      </c>
      <c r="E9" s="868"/>
      <c r="F9" s="1909">
        <f>'Expenditures 15-22'!K151</f>
        <v>300677</v>
      </c>
      <c r="G9" s="872"/>
    </row>
    <row r="10" spans="1:7" x14ac:dyDescent="0.2">
      <c r="A10" s="869" t="s">
        <v>499</v>
      </c>
      <c r="B10" s="870" t="s">
        <v>1878</v>
      </c>
      <c r="C10" s="871"/>
      <c r="D10" s="869" t="s">
        <v>501</v>
      </c>
      <c r="E10" s="868"/>
      <c r="F10" s="1909">
        <f>'Expenditures 15-22'!K174</f>
        <v>269608</v>
      </c>
      <c r="G10" s="872"/>
    </row>
    <row r="11" spans="1:7" x14ac:dyDescent="0.2">
      <c r="A11" s="869" t="s">
        <v>461</v>
      </c>
      <c r="B11" s="870" t="s">
        <v>1879</v>
      </c>
      <c r="C11" s="871"/>
      <c r="D11" s="869" t="s">
        <v>501</v>
      </c>
      <c r="E11" s="868"/>
      <c r="F11" s="1909">
        <f>'Expenditures 15-22'!K210</f>
        <v>358285</v>
      </c>
      <c r="G11" s="872"/>
    </row>
    <row r="12" spans="1:7" x14ac:dyDescent="0.2">
      <c r="A12" s="869" t="s">
        <v>462</v>
      </c>
      <c r="B12" s="870" t="s">
        <v>1880</v>
      </c>
      <c r="C12" s="871"/>
      <c r="D12" s="869" t="s">
        <v>501</v>
      </c>
      <c r="E12" s="868"/>
      <c r="F12" s="1909">
        <f>'Expenditures 15-22'!K295</f>
        <v>149713</v>
      </c>
      <c r="G12" s="872"/>
    </row>
    <row r="13" spans="1:7" x14ac:dyDescent="0.2">
      <c r="A13" s="869" t="s">
        <v>106</v>
      </c>
      <c r="B13" s="870" t="s">
        <v>1881</v>
      </c>
      <c r="C13" s="871"/>
      <c r="D13" s="869" t="s">
        <v>501</v>
      </c>
      <c r="E13" s="868"/>
      <c r="F13" s="1909">
        <f>'Expenditures 15-22'!K342</f>
        <v>199325</v>
      </c>
      <c r="G13" s="873"/>
    </row>
    <row r="14" spans="1:7" ht="12" customHeight="1" thickBot="1" x14ac:dyDescent="0.25">
      <c r="A14" s="1770"/>
      <c r="B14" s="1771"/>
      <c r="C14" s="1772"/>
      <c r="D14" s="1773" t="s">
        <v>501</v>
      </c>
      <c r="E14" s="1774" t="s">
        <v>958</v>
      </c>
      <c r="F14" s="1775">
        <f>SUM(F8:F13)</f>
        <v>4560359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7502</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26181</v>
      </c>
      <c r="G52" s="865"/>
    </row>
    <row r="53" spans="1:7" x14ac:dyDescent="0.2">
      <c r="A53" s="869" t="s">
        <v>459</v>
      </c>
      <c r="B53" s="869" t="s">
        <v>1475</v>
      </c>
      <c r="C53" s="889">
        <f>'Expenditures 15-22'!B102</f>
        <v>4000</v>
      </c>
      <c r="D53" s="888" t="str">
        <f>'Expenditures 15-22'!A102</f>
        <v>Total Payments to Other Govt Units</v>
      </c>
      <c r="E53" s="868"/>
      <c r="F53" s="1913">
        <f>'Expenditures 15-22'!K102</f>
        <v>567977</v>
      </c>
      <c r="G53" s="865"/>
    </row>
    <row r="54" spans="1:7" x14ac:dyDescent="0.2">
      <c r="A54" s="869" t="s">
        <v>459</v>
      </c>
      <c r="B54" s="869" t="s">
        <v>1476</v>
      </c>
      <c r="C54" s="889" t="s">
        <v>982</v>
      </c>
      <c r="D54" s="885" t="s">
        <v>1095</v>
      </c>
      <c r="E54" s="868"/>
      <c r="F54" s="1913">
        <f>'Expenditures 15-22'!G114</f>
        <v>43977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5313</v>
      </c>
      <c r="G57" s="865"/>
    </row>
    <row r="58" spans="1:7" x14ac:dyDescent="0.2">
      <c r="A58" s="869" t="s">
        <v>460</v>
      </c>
      <c r="B58" s="869" t="s">
        <v>1883</v>
      </c>
      <c r="C58" s="886" t="s">
        <v>982</v>
      </c>
      <c r="D58" s="885" t="s">
        <v>1095</v>
      </c>
      <c r="E58" s="868"/>
      <c r="F58" s="1915">
        <f>'Expenditures 15-22'!G151</f>
        <v>6062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265000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922012</v>
      </c>
      <c r="G76" s="865"/>
    </row>
    <row r="77" spans="1:8" s="893" customFormat="1" ht="12" customHeight="1" thickTop="1" thickBot="1" x14ac:dyDescent="0.25">
      <c r="A77" s="1779"/>
      <c r="B77" s="1776"/>
      <c r="C77" s="1772"/>
      <c r="D77" s="1777" t="s">
        <v>1900</v>
      </c>
      <c r="E77" s="1774"/>
      <c r="F77" s="1780">
        <f>(F14-F76)</f>
        <v>3638347</v>
      </c>
      <c r="G77" s="869"/>
    </row>
    <row r="78" spans="1:8" s="893" customFormat="1" ht="12" customHeight="1" thickTop="1" x14ac:dyDescent="0.2">
      <c r="A78" s="1781"/>
      <c r="B78" s="1776"/>
      <c r="C78" s="1772"/>
      <c r="D78" s="1777" t="s">
        <v>2062</v>
      </c>
      <c r="E78" s="1774"/>
      <c r="F78" s="898">
        <v>310.5</v>
      </c>
      <c r="G78" s="899"/>
      <c r="H78" s="869"/>
    </row>
    <row r="79" spans="1:8" s="893" customFormat="1" ht="12" customHeight="1" thickBot="1" x14ac:dyDescent="0.25">
      <c r="A79" s="1782"/>
      <c r="B79" s="1776"/>
      <c r="C79" s="1772"/>
      <c r="D79" s="1777" t="s">
        <v>1901</v>
      </c>
      <c r="E79" s="1774" t="s">
        <v>958</v>
      </c>
      <c r="F79" s="1783">
        <f>IF(F78&gt;0,F77/F78," Complete Line 78")</f>
        <v>11717.703703703704</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50281</v>
      </c>
      <c r="G94" s="912"/>
    </row>
    <row r="95" spans="1:7" x14ac:dyDescent="0.2">
      <c r="A95" s="908" t="s">
        <v>140</v>
      </c>
      <c r="B95" s="908" t="s">
        <v>175</v>
      </c>
      <c r="C95" s="910">
        <v>1700</v>
      </c>
      <c r="D95" s="918" t="str">
        <f>'Revenues 9-14'!A82</f>
        <v>Total District/School Activity Income</v>
      </c>
      <c r="E95" s="906"/>
      <c r="F95" s="1789">
        <f>SUM('Revenues 9-14'!C82,'Revenues 9-14'!D82)</f>
        <v>7337</v>
      </c>
      <c r="G95" s="912"/>
    </row>
    <row r="96" spans="1:7" x14ac:dyDescent="0.2">
      <c r="A96" s="908" t="s">
        <v>459</v>
      </c>
      <c r="B96" s="908" t="s">
        <v>176</v>
      </c>
      <c r="C96" s="910">
        <f>'Revenues 9-14'!B84</f>
        <v>1811</v>
      </c>
      <c r="D96" s="911" t="str">
        <f>'Revenues 9-14'!A84</f>
        <v>Rentals - Regular Textbooks</v>
      </c>
      <c r="E96" s="906"/>
      <c r="F96" s="1789">
        <f>'Revenues 9-14'!C84</f>
        <v>11593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6857</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12030</v>
      </c>
      <c r="G103" s="912"/>
    </row>
    <row r="104" spans="1:7" x14ac:dyDescent="0.2">
      <c r="A104" s="908" t="s">
        <v>459</v>
      </c>
      <c r="B104" s="908" t="s">
        <v>808</v>
      </c>
      <c r="C104" s="910">
        <f>'Revenues 9-14'!B106</f>
        <v>1993</v>
      </c>
      <c r="D104" s="911" t="str">
        <f>'Revenues 9-14'!A106</f>
        <v>Other Local Fees (Describe &amp; Itemize)</v>
      </c>
      <c r="E104" s="906"/>
      <c r="F104" s="1789">
        <f>('Revenues 9-14'!C106)</f>
        <v>47993</v>
      </c>
      <c r="G104" s="912"/>
    </row>
    <row r="105" spans="1:7" x14ac:dyDescent="0.2">
      <c r="A105" s="908" t="s">
        <v>503</v>
      </c>
      <c r="B105" s="908" t="s">
        <v>2003</v>
      </c>
      <c r="C105" s="913">
        <v>3100</v>
      </c>
      <c r="D105" s="919" t="str">
        <f>'Revenues 9-14'!A132</f>
        <v>Total Special Education</v>
      </c>
      <c r="E105" s="906"/>
      <c r="F105" s="1789">
        <f>SUM('Revenues 9-14'!C132:D132,'Revenues 9-14'!F132)</f>
        <v>37593</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3872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1334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5364</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181855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3389</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80792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73802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9163</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94563</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12667</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6965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7743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92669</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747862</v>
      </c>
    </row>
    <row r="175" spans="1:7" ht="12" customHeight="1" x14ac:dyDescent="0.2">
      <c r="A175" s="1770"/>
      <c r="B175" s="1784"/>
      <c r="C175" s="1785"/>
      <c r="D175" s="1786" t="s">
        <v>2057</v>
      </c>
      <c r="E175" s="1787"/>
      <c r="F175" s="1789">
        <f>'PCTC-OEPP 27-28'!F77-F174</f>
        <v>2890485</v>
      </c>
    </row>
    <row r="176" spans="1:7" ht="12" customHeight="1" x14ac:dyDescent="0.2">
      <c r="A176" s="1770"/>
      <c r="B176" s="1784"/>
      <c r="C176" s="1785"/>
      <c r="D176" s="1786" t="s">
        <v>1817</v>
      </c>
      <c r="E176" s="1787"/>
      <c r="F176" s="1789">
        <f>'Cap Outlay Deprec 26'!I18</f>
        <v>90284</v>
      </c>
    </row>
    <row r="177" spans="1:7" ht="12" customHeight="1" x14ac:dyDescent="0.2">
      <c r="A177" s="1770"/>
      <c r="B177" s="1784"/>
      <c r="C177" s="1785"/>
      <c r="D177" s="1786" t="s">
        <v>2058</v>
      </c>
      <c r="E177" s="1787"/>
      <c r="F177" s="1789">
        <f>F175+F176</f>
        <v>2980769</v>
      </c>
    </row>
    <row r="178" spans="1:7" ht="12" customHeight="1" x14ac:dyDescent="0.2">
      <c r="A178" s="1770"/>
      <c r="B178" s="1790"/>
      <c r="C178" s="1785"/>
      <c r="D178" s="1786" t="str">
        <f>D78</f>
        <v>9 Month ADA from District Average Daily Attendance/Prior General State Aid Inquiry 2018-2019</v>
      </c>
      <c r="E178" s="1787"/>
      <c r="F178" s="1791">
        <f>'PCTC-OEPP 27-28'!F78</f>
        <v>310.5</v>
      </c>
      <c r="G178" s="930"/>
    </row>
    <row r="179" spans="1:7" ht="12" customHeight="1" thickBot="1" x14ac:dyDescent="0.25">
      <c r="A179" s="1770"/>
      <c r="B179" s="1790"/>
      <c r="C179" s="1785"/>
      <c r="D179" s="1786" t="s">
        <v>2059</v>
      </c>
      <c r="E179" s="1787" t="s">
        <v>1545</v>
      </c>
      <c r="F179" s="1792">
        <f>F177/F178</f>
        <v>9599.900161030595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0" sqref="D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2113</v>
      </c>
      <c r="B17" s="1938" t="s">
        <v>2106</v>
      </c>
      <c r="C17" s="1939" t="s">
        <v>2107</v>
      </c>
      <c r="D17" s="1844">
        <v>68764</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43764</v>
      </c>
      <c r="H17" s="1647"/>
    </row>
    <row r="18" spans="1:8" x14ac:dyDescent="0.25">
      <c r="A18" s="1937" t="s">
        <v>2108</v>
      </c>
      <c r="B18" s="1938" t="s">
        <v>2109</v>
      </c>
      <c r="C18" s="1939" t="s">
        <v>2110</v>
      </c>
      <c r="D18" s="1844">
        <v>26180</v>
      </c>
      <c r="E18" s="1540">
        <f t="shared" ref="E18:E140" si="2">IF(D18&lt;=25000,D18,IF(D18&gt;25000,25000,0))</f>
        <v>25000</v>
      </c>
      <c r="F18" s="1932">
        <f t="shared" si="1"/>
        <v>25000</v>
      </c>
      <c r="G18" s="1793">
        <f t="shared" ref="G18:G140" si="3">IF(F18=0,0,D18-F18)</f>
        <v>1180</v>
      </c>
    </row>
    <row r="19" spans="1:8" x14ac:dyDescent="0.25">
      <c r="A19" s="1937"/>
      <c r="B19" s="1938"/>
      <c r="C19" s="1939"/>
      <c r="D19" s="1844"/>
      <c r="E19" s="1540">
        <f t="shared" si="2"/>
        <v>0</v>
      </c>
      <c r="F19" s="1932">
        <f t="shared" si="1"/>
        <v>0</v>
      </c>
      <c r="G19" s="1793">
        <f t="shared" si="3"/>
        <v>0</v>
      </c>
    </row>
    <row r="20" spans="1:8" x14ac:dyDescent="0.25">
      <c r="A20" s="1937"/>
      <c r="B20" s="1938"/>
      <c r="C20" s="1939"/>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94944</v>
      </c>
      <c r="E141" s="1541">
        <f t="shared" si="0"/>
        <v>25000</v>
      </c>
      <c r="F141" s="1933">
        <f>SUM(F17:F140)</f>
        <v>50000</v>
      </c>
      <c r="G141" s="1795">
        <f>SUM(G17:G140)</f>
        <v>44944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80792</v>
      </c>
      <c r="F10" s="974"/>
      <c r="G10" s="975"/>
      <c r="H10" s="162"/>
      <c r="I10" s="162"/>
    </row>
    <row r="11" spans="1:9" s="668" customFormat="1" ht="22.5" customHeight="1" x14ac:dyDescent="0.2">
      <c r="A11" s="2287" t="s">
        <v>1977</v>
      </c>
      <c r="B11" s="2288"/>
      <c r="C11" s="2288"/>
      <c r="D11" s="2289"/>
      <c r="E11" s="977">
        <v>13046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1998510</v>
      </c>
      <c r="F19" s="1799"/>
      <c r="G19" s="1801">
        <f>'Expenditures 15-22'!K33-SUM('Expenditures 15-22'!G33,'Expenditures 15-22'!I33)+'Expenditures 15-22'!D229</f>
        <v>1998510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61794</v>
      </c>
      <c r="F21" s="1802"/>
      <c r="G21" s="1805">
        <f>'Expenditures 15-22'!K42-SUM('Expenditures 15-22'!G42,'Expenditures 15-22'!I42)+'Expenditures 15-22'!K120-SUM('Expenditures 15-22'!G120,'Expenditures 15-22'!I120)+'Expenditures 15-22'!K180-SUM('Expenditures 15-22'!G180,'Expenditures 15-22'!I180)+'Expenditures 15-22'!D238</f>
        <v>61794</v>
      </c>
      <c r="H21" s="987"/>
      <c r="I21" s="162"/>
    </row>
    <row r="22" spans="1:9" s="668" customFormat="1" ht="12" customHeight="1" x14ac:dyDescent="0.2">
      <c r="A22" s="994" t="s">
        <v>564</v>
      </c>
      <c r="B22" s="995"/>
      <c r="C22" s="993">
        <v>2200</v>
      </c>
      <c r="D22" s="1802"/>
      <c r="E22" s="1804">
        <f>'Expenditures 15-22'!K47-SUM('Expenditures 15-22'!G47,'Expenditures 15-22'!I47)+'Expenditures 15-22'!D243</f>
        <v>30336</v>
      </c>
      <c r="F22" s="1802"/>
      <c r="G22" s="1805">
        <f>'Expenditures 15-22'!K47-SUM('Expenditures 15-22'!G47,'Expenditures 15-22'!I47)+'Expenditures 15-22'!D243</f>
        <v>30336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320483</v>
      </c>
      <c r="F23" s="1802"/>
      <c r="G23" s="1804">
        <f>'Expenditures 15-22'!K53-SUM('Expenditures 15-22'!G53,'Expenditures 15-22'!I53)+'Expenditures 15-22'!D257+'Expenditures 15-22'!K330-SUM('Expenditures 15-22'!G330,'Expenditures 15-22'!I330)</f>
        <v>320483</v>
      </c>
      <c r="H23" s="987"/>
      <c r="I23" s="162"/>
    </row>
    <row r="24" spans="1:9" s="668" customFormat="1" ht="12" customHeight="1" x14ac:dyDescent="0.2">
      <c r="A24" s="994" t="s">
        <v>566</v>
      </c>
      <c r="B24" s="995"/>
      <c r="C24" s="993">
        <v>2400</v>
      </c>
      <c r="D24" s="1802"/>
      <c r="E24" s="1804">
        <f>'Expenditures 15-22'!K57-SUM('Expenditures 15-22'!G57,'Expenditures 15-22'!I57)+'Expenditures 15-22'!D261</f>
        <v>251399</v>
      </c>
      <c r="F24" s="1802"/>
      <c r="G24" s="1805">
        <f>'Expenditures 15-22'!K57-SUM('Expenditures 15-22'!G57,'Expenditures 15-22'!I57)+'Expenditures 15-22'!D261</f>
        <v>251399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97807</v>
      </c>
      <c r="E27" s="1804">
        <f>E8</f>
        <v>0</v>
      </c>
      <c r="F27" s="1804">
        <f>'Expenditures 15-22'!K60-SUM('Expenditures 15-22'!G60,'Expenditures 15-22'!I60)+'Expenditures 15-22'!D264-E8</f>
        <v>97807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316666</v>
      </c>
      <c r="F28" s="1806">
        <f>'Expenditures 15-22'!K61-SUM('Expenditures 15-22'!G61,'Expenditures 15-22'!I61)+'Expenditures 15-22'!K124-SUM('Expenditures 15-22'!G124,'Expenditures 15-22'!I124)+'Expenditures 15-22'!D266-E9</f>
        <v>316666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391370</v>
      </c>
      <c r="F29" s="1802"/>
      <c r="G29" s="1805">
        <f>'Expenditures 15-22'!K62-SUM('Expenditures 15-22'!G62,'Expenditures 15-22'!I62)+'Expenditures 15-22'!K125-SUM('Expenditures 15-22'!G125,'Expenditures 15-22'!I125)+'Expenditures 15-22'!K182-SUM('Expenditures 15-22'!G182,'Expenditures 15-22'!I182)+'Expenditures 15-22'!D267</f>
        <v>391370</v>
      </c>
      <c r="H29" s="985"/>
    </row>
    <row r="30" spans="1:9" ht="12" customHeight="1" x14ac:dyDescent="0.2">
      <c r="A30" s="994" t="s">
        <v>100</v>
      </c>
      <c r="B30" s="997"/>
      <c r="C30" s="993">
        <v>2560</v>
      </c>
      <c r="D30" s="1802"/>
      <c r="E30" s="1804">
        <f>'Expenditures 15-22'!K63-SUM('Expenditures 15-22'!G63,'Expenditures 15-22'!I63)+'Expenditures 15-22'!D268-E10</f>
        <v>78909</v>
      </c>
      <c r="F30" s="1802"/>
      <c r="G30" s="1804">
        <f>'Expenditures 15-22'!K63-SUM('Expenditures 15-22'!G63,'Expenditures 15-22'!I63)+'Expenditures 15-22'!D268-E10</f>
        <v>78909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13175</v>
      </c>
      <c r="E37" s="1804">
        <f>E14</f>
        <v>0</v>
      </c>
      <c r="F37" s="1804">
        <f>'Expenditures 15-22'!K71-SUM('Expenditures 15-22'!G71,'Expenditures 15-22'!I71)+'Expenditures 15-22'!D276-E14</f>
        <v>13175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26181</v>
      </c>
      <c r="F39" s="1802"/>
      <c r="G39" s="1804">
        <f>'Expenditures 15-22'!K75-SUM('Expenditures 15-22'!G75,'Expenditures 15-22'!I75)+'Expenditures 15-22'!K130-SUM('Expenditures 15-22'!G130,'Expenditures 15-22'!I130)+'Expenditures 15-22'!K185-SUM('Expenditures 15-22'!G185,'Expenditures 15-22'!I185)+'Expenditures 15-22'!D280</f>
        <v>26181</v>
      </c>
    </row>
    <row r="40" spans="1:7" ht="12" customHeight="1" x14ac:dyDescent="0.2">
      <c r="A40" s="990" t="s">
        <v>1823</v>
      </c>
      <c r="B40" s="991"/>
      <c r="C40" s="993"/>
      <c r="D40" s="1802"/>
      <c r="E40" s="1806">
        <f>-'Contracts Paid in CY 29'!G141</f>
        <v>-44944</v>
      </c>
      <c r="F40" s="1802"/>
      <c r="G40" s="1806">
        <f>-'Contracts Paid in CY 29'!G141</f>
        <v>-44944</v>
      </c>
    </row>
    <row r="41" spans="1:7" ht="12" customHeight="1" x14ac:dyDescent="0.2">
      <c r="A41" s="998" t="s">
        <v>156</v>
      </c>
      <c r="B41" s="999"/>
      <c r="C41" s="1000"/>
      <c r="D41" s="1806">
        <f>SUM(D19:D39)</f>
        <v>110982</v>
      </c>
      <c r="E41" s="1806">
        <f>SUM(E19:E40)</f>
        <v>3430704</v>
      </c>
      <c r="F41" s="1806">
        <f>SUM(F19:F39)</f>
        <v>427648</v>
      </c>
      <c r="G41" s="1806">
        <f>SUM(G19:G40)</f>
        <v>3114038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110982</v>
      </c>
      <c r="F43" s="1807" t="s">
        <v>473</v>
      </c>
      <c r="G43" s="1808">
        <f>F41</f>
        <v>427648</v>
      </c>
    </row>
    <row r="44" spans="1:7" ht="12" customHeight="1" x14ac:dyDescent="0.2">
      <c r="A44" s="987"/>
      <c r="B44" s="162"/>
      <c r="C44" s="1001"/>
      <c r="D44" s="1807" t="s">
        <v>474</v>
      </c>
      <c r="E44" s="1808">
        <f>E41</f>
        <v>3430704</v>
      </c>
      <c r="F44" s="1807" t="s">
        <v>474</v>
      </c>
      <c r="G44" s="1808">
        <f>G41</f>
        <v>3114038</v>
      </c>
    </row>
    <row r="45" spans="1:7" ht="12" customHeight="1" x14ac:dyDescent="0.2">
      <c r="A45" s="987"/>
      <c r="B45" s="162"/>
      <c r="C45" s="162"/>
      <c r="D45" s="1809" t="s">
        <v>1006</v>
      </c>
      <c r="E45" s="1810">
        <f>(E43/E44)</f>
        <v>3.2349628531053685E-2</v>
      </c>
      <c r="F45" s="1809" t="s">
        <v>1006</v>
      </c>
      <c r="G45" s="1810">
        <f>(G43/G44)</f>
        <v>0.13732908846969755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Lowpoint-Washburn CUSD 21</v>
      </c>
      <c r="D6" s="2308"/>
      <c r="E6" s="2308"/>
      <c r="F6" s="1852"/>
    </row>
    <row r="7" spans="1:10" ht="11.25" customHeight="1" thickBot="1" x14ac:dyDescent="0.3">
      <c r="A7" s="1850"/>
      <c r="B7" s="1851"/>
      <c r="C7" s="2309">
        <f>COVER!A13</f>
        <v>53102021026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2065</v>
      </c>
      <c r="D17" s="1865" t="s">
        <v>2065</v>
      </c>
      <c r="E17" s="1868"/>
      <c r="F17" s="1867" t="s">
        <v>2066</v>
      </c>
      <c r="H17" s="1878">
        <f t="shared" si="0"/>
        <v>5</v>
      </c>
      <c r="I17" s="1878">
        <f t="shared" si="1"/>
        <v>5</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c r="F26" s="1867" t="s">
        <v>2115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2067</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867" t="s">
        <v>2068</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X26" sqref="X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Lowpoint-Washburn CUSD 21</v>
      </c>
      <c r="J6" s="2318"/>
      <c r="Q6" s="1664"/>
    </row>
    <row r="7" spans="1:17" x14ac:dyDescent="0.2">
      <c r="A7" s="2319" t="s">
        <v>869</v>
      </c>
      <c r="B7" s="2320"/>
      <c r="C7" s="2320"/>
      <c r="D7" s="2320"/>
      <c r="E7" s="2321"/>
      <c r="F7" s="1017"/>
      <c r="G7" s="1009"/>
      <c r="H7" s="1016" t="s">
        <v>372</v>
      </c>
      <c r="I7" s="2322">
        <f>COVER!A13</f>
        <v>53102021026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102383</v>
      </c>
      <c r="F12" s="1039"/>
      <c r="G12" s="1811">
        <f t="shared" ref="G12:G18" si="0">SUM(E12:F12)</f>
        <v>102383</v>
      </c>
      <c r="H12" s="1040">
        <v>104611</v>
      </c>
      <c r="I12" s="1039"/>
      <c r="J12" s="1811">
        <f t="shared" ref="J12:J18" si="1">SUM(H12:I12)</f>
        <v>104611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v>8937</v>
      </c>
      <c r="F18" s="1043"/>
      <c r="G18" s="1812">
        <f t="shared" si="0"/>
        <v>8937</v>
      </c>
      <c r="H18" s="1040">
        <v>8240</v>
      </c>
      <c r="I18" s="1040"/>
      <c r="J18" s="1811">
        <f t="shared" si="1"/>
        <v>8240</v>
      </c>
    </row>
    <row r="19" spans="1:10" ht="12.75" customHeight="1" thickBot="1" x14ac:dyDescent="0.25">
      <c r="A19" s="1035">
        <v>8</v>
      </c>
      <c r="B19" s="1044" t="s">
        <v>1161</v>
      </c>
      <c r="D19" s="1045"/>
      <c r="E19" s="1813">
        <f t="shared" ref="E19:J19" si="2">SUM(E12:E17)-E18</f>
        <v>93446</v>
      </c>
      <c r="F19" s="1813">
        <f t="shared" si="2"/>
        <v>0</v>
      </c>
      <c r="G19" s="1813">
        <f t="shared" si="2"/>
        <v>93446</v>
      </c>
      <c r="H19" s="1813">
        <f t="shared" si="2"/>
        <v>96371</v>
      </c>
      <c r="I19" s="1813">
        <f t="shared" si="2"/>
        <v>0</v>
      </c>
      <c r="J19" s="1813">
        <f t="shared" si="2"/>
        <v>96371</v>
      </c>
    </row>
    <row r="20" spans="1:10" ht="13.5" thickTop="1" x14ac:dyDescent="0.2">
      <c r="A20" s="1035">
        <v>9</v>
      </c>
      <c r="B20" s="2329" t="s">
        <v>1981</v>
      </c>
      <c r="C20" s="2329"/>
      <c r="D20" s="2330"/>
      <c r="E20" s="1046"/>
      <c r="F20" s="1046"/>
      <c r="G20" s="1046"/>
      <c r="H20" s="1046"/>
      <c r="I20" s="1046"/>
      <c r="J20" s="1814">
        <f>IF(AND(G19&gt;0,J19&gt;0),(((J19-G19)/G19)),"Enter Budget Data")</f>
        <v>3.1301500331742393E-2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2102</v>
      </c>
    </row>
    <row r="6" spans="1:2" x14ac:dyDescent="0.2">
      <c r="A6" s="1068">
        <v>2</v>
      </c>
      <c r="B6" s="329" t="s">
        <v>2103</v>
      </c>
    </row>
    <row r="7" spans="1:2" x14ac:dyDescent="0.2">
      <c r="A7" s="1068">
        <v>3</v>
      </c>
      <c r="B7" s="329" t="s">
        <v>2112</v>
      </c>
    </row>
    <row r="8" spans="1:2" x14ac:dyDescent="0.2">
      <c r="A8" s="1068">
        <v>4</v>
      </c>
      <c r="B8" s="329" t="s">
        <v>2104</v>
      </c>
    </row>
    <row r="9" spans="1:2" x14ac:dyDescent="0.2">
      <c r="A9" s="1069">
        <v>5</v>
      </c>
      <c r="B9" s="329" t="s">
        <v>2105</v>
      </c>
    </row>
    <row r="10" spans="1:2" x14ac:dyDescent="0.2">
      <c r="A10" s="1069">
        <v>6</v>
      </c>
      <c r="B10" s="329" t="s">
        <v>2111</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Lowpoint-Washburn CUSD 21</v>
      </c>
    </row>
    <row r="65" spans="2:2" x14ac:dyDescent="0.2">
      <c r="B65" s="1070">
        <f>COVER!A13</f>
        <v>53102021026</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6" sqref="X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6" sqref="X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5" sqref="B2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6" sqref="X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2872149</v>
      </c>
      <c r="C8" s="1815">
        <f>'Acct Summary 7-8'!D8</f>
        <v>376691</v>
      </c>
      <c r="D8" s="1815">
        <f>'Acct Summary 7-8'!F8</f>
        <v>706041</v>
      </c>
      <c r="E8" s="1815">
        <f>'Acct Summary 7-8'!I8</f>
        <v>26862</v>
      </c>
      <c r="F8" s="1815">
        <f>SUM(B8:E8)</f>
        <v>3981743</v>
      </c>
    </row>
    <row r="9" spans="1:8" s="1079" customFormat="1" ht="14.25" customHeight="1" thickBot="1" x14ac:dyDescent="0.25">
      <c r="A9" s="1078" t="s">
        <v>1369</v>
      </c>
      <c r="B9" s="1816">
        <f>'Acct Summary 7-8'!C17</f>
        <v>3282751</v>
      </c>
      <c r="C9" s="1816">
        <f>'Acct Summary 7-8'!D17</f>
        <v>300677</v>
      </c>
      <c r="D9" s="1816">
        <f>'Acct Summary 7-8'!F17</f>
        <v>358285</v>
      </c>
      <c r="E9" s="1815"/>
      <c r="F9" s="1815">
        <f>SUM(B9:E9)</f>
        <v>3941713</v>
      </c>
    </row>
    <row r="10" spans="1:8" s="1079" customFormat="1" ht="14.25" thickTop="1" thickBot="1" x14ac:dyDescent="0.25">
      <c r="A10" s="1080" t="s">
        <v>1370</v>
      </c>
      <c r="B10" s="1817">
        <f>(B8-B9)</f>
        <v>-410602</v>
      </c>
      <c r="C10" s="1817">
        <f>(C8-C9)</f>
        <v>76014</v>
      </c>
      <c r="D10" s="1817">
        <f>(D8-D9)</f>
        <v>347756</v>
      </c>
      <c r="E10" s="1816">
        <f>(E8-E9)</f>
        <v>26862</v>
      </c>
      <c r="F10" s="1818">
        <f>SUM(F8-F9)</f>
        <v>40030</v>
      </c>
    </row>
    <row r="11" spans="1:8" s="1079" customFormat="1" ht="14.25" thickTop="1" thickBot="1" x14ac:dyDescent="0.25">
      <c r="A11" s="1081" t="s">
        <v>1985</v>
      </c>
      <c r="B11" s="1819">
        <f>'Acct Summary 7-8'!C81</f>
        <v>2082230</v>
      </c>
      <c r="C11" s="1819">
        <f>'Acct Summary 7-8'!D81</f>
        <v>249058</v>
      </c>
      <c r="D11" s="1819">
        <f>'Acct Summary 7-8'!F81</f>
        <v>367166</v>
      </c>
      <c r="E11" s="1819">
        <f>'Acct Summary 7-8'!I81</f>
        <v>57745</v>
      </c>
      <c r="F11" s="1820">
        <f>SUM(B11:E11)</f>
        <v>2756199</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9" colorId="8" zoomScale="110" zoomScaleNormal="110" workbookViewId="0">
      <selection activeCell="X104" sqref="X10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53102021026</v>
      </c>
    </row>
    <row r="3" spans="1:2" x14ac:dyDescent="0.2">
      <c r="A3" t="s">
        <v>956</v>
      </c>
      <c r="B3" s="138" t="str">
        <f>COVER!A15</f>
        <v>Woodford and Marshall</v>
      </c>
    </row>
    <row r="4" spans="1:2" x14ac:dyDescent="0.2">
      <c r="A4" t="s">
        <v>1007</v>
      </c>
      <c r="B4" s="138" t="str">
        <f>COVER!A17</f>
        <v>Lowpoint-Washburn CUSD 21</v>
      </c>
    </row>
    <row r="5" spans="1:2" x14ac:dyDescent="0.2">
      <c r="A5" t="s">
        <v>704</v>
      </c>
      <c r="B5" s="138" t="str">
        <f>COVER!A38</f>
        <v>Duane Schupp</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066-005055</v>
      </c>
    </row>
    <row r="16" spans="1:2" x14ac:dyDescent="0.2">
      <c r="A16" t="s">
        <v>422</v>
      </c>
      <c r="B16" s="138" t="str">
        <f>COVER!T13</f>
        <v>Ginoli &amp; Company LTD</v>
      </c>
    </row>
    <row r="17" spans="1:2" x14ac:dyDescent="0.2">
      <c r="A17" t="s">
        <v>884</v>
      </c>
      <c r="B17" s="138" t="str">
        <f>COVER!T15</f>
        <v>Mark D Reinken</v>
      </c>
    </row>
    <row r="18" spans="1:2" x14ac:dyDescent="0.2">
      <c r="A18" t="s">
        <v>1150</v>
      </c>
      <c r="B18" s="138" t="str">
        <f>COVER!T17</f>
        <v>7625 N University Street, Suite A</v>
      </c>
    </row>
    <row r="19" spans="1:2" x14ac:dyDescent="0.2">
      <c r="A19" t="s">
        <v>886</v>
      </c>
      <c r="B19" s="138" t="str">
        <f>COVER!T25</f>
        <v>mreinken@ginolicpa.com</v>
      </c>
    </row>
    <row r="20" spans="1:2" x14ac:dyDescent="0.2">
      <c r="A20" t="s">
        <v>887</v>
      </c>
      <c r="B20" s="138" t="str">
        <f>COVER!T19</f>
        <v>Peoria</v>
      </c>
    </row>
    <row r="21" spans="1:2" x14ac:dyDescent="0.2">
      <c r="A21" t="s">
        <v>479</v>
      </c>
      <c r="B21" s="138" t="str">
        <f>COVER!X19</f>
        <v>IL</v>
      </c>
    </row>
    <row r="22" spans="1:2" x14ac:dyDescent="0.2">
      <c r="A22" t="s">
        <v>888</v>
      </c>
      <c r="B22" s="138" t="str">
        <f>COVER!Z19</f>
        <v>61614-8303</v>
      </c>
    </row>
    <row r="23" spans="1:2" x14ac:dyDescent="0.2">
      <c r="A23" t="s">
        <v>1152</v>
      </c>
      <c r="B23" s="138" t="str">
        <f>COVER!T21</f>
        <v>(309)671-2350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2072583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2082230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2082230</v>
      </c>
      <c r="D92" s="2" t="str">
        <f t="shared" si="0"/>
        <v>Error?</v>
      </c>
    </row>
    <row r="93" spans="1:4" x14ac:dyDescent="0.2">
      <c r="A93" s="5">
        <v>32</v>
      </c>
      <c r="B93" s="138">
        <f>'Assets-Liab 5-6'!C41</f>
        <v>2082230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347515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348126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99068</v>
      </c>
      <c r="C122" s="2" t="s">
        <v>573</v>
      </c>
      <c r="D122" s="2" t="str">
        <f t="shared" si="0"/>
        <v>Error?</v>
      </c>
    </row>
    <row r="123" spans="1:4" x14ac:dyDescent="0.2">
      <c r="A123" s="5">
        <v>62</v>
      </c>
      <c r="B123" s="138">
        <f>'Assets-Liab 5-6'!D39</f>
        <v>249058</v>
      </c>
      <c r="D123" s="2" t="str">
        <f t="shared" si="0"/>
        <v>Error?</v>
      </c>
    </row>
    <row r="124" spans="1:4" x14ac:dyDescent="0.2">
      <c r="A124" s="5">
        <v>63</v>
      </c>
      <c r="B124" s="138">
        <f>'Assets-Liab 5-6'!D41</f>
        <v>348126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5684</v>
      </c>
      <c r="D140" s="2" t="str">
        <f t="shared" si="1"/>
        <v>Error?</v>
      </c>
    </row>
    <row r="141" spans="1:4" x14ac:dyDescent="0.2">
      <c r="A141" s="5">
        <v>80</v>
      </c>
      <c r="B141" s="138">
        <f>'Assets-Liab 5-6'!E41</f>
        <v>5684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366931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367166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367166</v>
      </c>
      <c r="D170" s="2" t="str">
        <f t="shared" si="1"/>
        <v>Error?</v>
      </c>
    </row>
    <row r="171" spans="1:4" x14ac:dyDescent="0.2">
      <c r="A171" s="5">
        <v>110</v>
      </c>
      <c r="B171" s="138">
        <f>'Assets-Liab 5-6'!F41</f>
        <v>367166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137829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138525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92939</v>
      </c>
      <c r="D189" s="2" t="str">
        <f t="shared" si="1"/>
        <v>Error?</v>
      </c>
    </row>
    <row r="190" spans="1:4" x14ac:dyDescent="0.2">
      <c r="A190" s="5">
        <v>129</v>
      </c>
      <c r="B190" s="138">
        <f>'Assets-Liab 5-6'!G41</f>
        <v>138525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41714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41714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41714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18400</v>
      </c>
      <c r="D273" s="2" t="str">
        <f t="shared" si="3"/>
        <v>Error?</v>
      </c>
    </row>
    <row r="274" spans="1:4" x14ac:dyDescent="0.2">
      <c r="A274" s="5">
        <v>213</v>
      </c>
      <c r="B274" s="138">
        <f>'Assets-Liab 5-6'!M17</f>
        <v>3909628</v>
      </c>
      <c r="D274" s="2" t="str">
        <f t="shared" si="3"/>
        <v>Error?</v>
      </c>
    </row>
    <row r="275" spans="1:4" x14ac:dyDescent="0.2">
      <c r="A275" s="5">
        <v>214</v>
      </c>
      <c r="B275" s="138">
        <f>'Assets-Liab 5-6'!M18</f>
        <v>0</v>
      </c>
      <c r="D275" s="2" t="str">
        <f t="shared" si="3"/>
        <v>Error?</v>
      </c>
    </row>
    <row r="276" spans="1:4" x14ac:dyDescent="0.2">
      <c r="A276" s="5">
        <v>215</v>
      </c>
      <c r="B276" s="138">
        <f>'Assets-Liab 5-6'!M19</f>
        <v>292125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4220153</v>
      </c>
      <c r="C279" s="2" t="s">
        <v>573</v>
      </c>
      <c r="D279" s="2" t="str">
        <f t="shared" si="3"/>
        <v>Error?</v>
      </c>
    </row>
    <row r="280" spans="1:4" x14ac:dyDescent="0.2">
      <c r="A280" s="5">
        <v>219</v>
      </c>
      <c r="B280" s="138">
        <f>'Assets-Liab 5-6'!M40</f>
        <v>4220153</v>
      </c>
      <c r="D280" s="2" t="str">
        <f t="shared" si="3"/>
        <v>Error?</v>
      </c>
    </row>
    <row r="281" spans="1:4" x14ac:dyDescent="0.2">
      <c r="A281" s="5">
        <v>220</v>
      </c>
      <c r="B281" s="138">
        <f>'Assets-Liab 5-6'!M41</f>
        <v>4220153</v>
      </c>
      <c r="C281" s="2" t="s">
        <v>573</v>
      </c>
      <c r="D281" s="2" t="str">
        <f t="shared" si="3"/>
        <v>Error?</v>
      </c>
    </row>
    <row r="282" spans="1:4" x14ac:dyDescent="0.2">
      <c r="A282" s="5">
        <v>221</v>
      </c>
      <c r="B282" s="138">
        <f>'Assets-Liab 5-6'!N21</f>
        <v>5684</v>
      </c>
      <c r="D282" s="2" t="str">
        <f t="shared" si="3"/>
        <v>Error?</v>
      </c>
    </row>
    <row r="283" spans="1:4" x14ac:dyDescent="0.2">
      <c r="A283" s="5">
        <v>222</v>
      </c>
      <c r="B283" s="138">
        <f>'Assets-Liab 5-6'!N22</f>
        <v>1299316</v>
      </c>
      <c r="D283" s="2" t="str">
        <f t="shared" si="3"/>
        <v>Error?</v>
      </c>
    </row>
    <row r="284" spans="1:4" x14ac:dyDescent="0.2">
      <c r="A284" s="5">
        <v>223</v>
      </c>
      <c r="B284" s="138">
        <f>'Assets-Liab 5-6'!N23</f>
        <v>1305000</v>
      </c>
      <c r="C284" s="2" t="s">
        <v>573</v>
      </c>
      <c r="D284" s="2" t="str">
        <f t="shared" si="3"/>
        <v>Error?</v>
      </c>
    </row>
    <row r="285" spans="1:4" x14ac:dyDescent="0.2">
      <c r="A285" s="5">
        <v>224</v>
      </c>
      <c r="B285" s="138">
        <f>'Assets-Liab 5-6'!N36</f>
        <v>1305000</v>
      </c>
      <c r="D285" s="2" t="str">
        <f t="shared" si="3"/>
        <v>Error?</v>
      </c>
    </row>
    <row r="286" spans="1:4" x14ac:dyDescent="0.2">
      <c r="A286" s="10">
        <v>225</v>
      </c>
      <c r="D286" s="2" t="str">
        <f t="shared" si="3"/>
        <v>OK</v>
      </c>
    </row>
    <row r="287" spans="1:4" x14ac:dyDescent="0.2">
      <c r="A287" s="5">
        <v>226</v>
      </c>
      <c r="B287" s="138">
        <f>'Assets-Liab 5-6'!N37</f>
        <v>1305000</v>
      </c>
      <c r="C287" s="2" t="s">
        <v>573</v>
      </c>
      <c r="D287" s="2" t="str">
        <f t="shared" si="3"/>
        <v>Error?</v>
      </c>
    </row>
    <row r="288" spans="1:4" x14ac:dyDescent="0.2">
      <c r="A288" s="5">
        <v>227</v>
      </c>
      <c r="B288" s="138">
        <f>'Assets-Liab 5-6'!N41</f>
        <v>1305000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1305000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1305000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1029930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52552</v>
      </c>
      <c r="D717" s="2" t="str">
        <f t="shared" si="10"/>
        <v>Error?</v>
      </c>
    </row>
    <row r="718" spans="1:4" x14ac:dyDescent="0.2">
      <c r="A718" s="5">
        <v>657</v>
      </c>
      <c r="B718" s="138">
        <f>'Expenditures 15-22'!C14</f>
        <v>107198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1494619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39171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39171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11433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11433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67255</v>
      </c>
      <c r="D733" s="2" t="str">
        <f t="shared" si="10"/>
        <v>Error?</v>
      </c>
    </row>
    <row r="734" spans="1:4" x14ac:dyDescent="0.2">
      <c r="A734" s="5">
        <v>673</v>
      </c>
      <c r="B734" s="138">
        <f>'Expenditures 15-22'!C53</f>
        <v>67255</v>
      </c>
      <c r="C734" s="2" t="s">
        <v>573</v>
      </c>
      <c r="D734" s="2" t="str">
        <f t="shared" si="10"/>
        <v>Error?</v>
      </c>
    </row>
    <row r="735" spans="1:4" x14ac:dyDescent="0.2">
      <c r="A735" s="5">
        <v>674</v>
      </c>
      <c r="B735" s="138">
        <f>'Expenditures 15-22'!C55</f>
        <v>168925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168925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60501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57357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117858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404642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1899261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238875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14079</v>
      </c>
      <c r="D775" s="2" t="str">
        <f t="shared" si="11"/>
        <v>Error?</v>
      </c>
    </row>
    <row r="776" spans="1:4" x14ac:dyDescent="0.2">
      <c r="A776" s="5">
        <v>715</v>
      </c>
      <c r="B776" s="138">
        <f>'Expenditures 15-22'!D14</f>
        <v>17363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349259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21142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21142</v>
      </c>
      <c r="C785" s="2" t="s">
        <v>573</v>
      </c>
      <c r="D785" s="2" t="str">
        <f t="shared" si="11"/>
        <v>Error?</v>
      </c>
    </row>
    <row r="786" spans="1:4" x14ac:dyDescent="0.2">
      <c r="A786" s="5">
        <v>725</v>
      </c>
      <c r="B786" s="138">
        <f>'Expenditures 15-22'!D44</f>
        <v>2871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2871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32286</v>
      </c>
      <c r="D791" s="2" t="str">
        <f t="shared" si="11"/>
        <v>Error?</v>
      </c>
    </row>
    <row r="792" spans="1:4" x14ac:dyDescent="0.2">
      <c r="A792" s="5">
        <v>731</v>
      </c>
      <c r="B792" s="138">
        <f>'Expenditures 15-22'!D53</f>
        <v>32286</v>
      </c>
      <c r="C792" s="2" t="s">
        <v>573</v>
      </c>
      <c r="D792" s="2" t="str">
        <f t="shared" si="11"/>
        <v>Error?</v>
      </c>
    </row>
    <row r="793" spans="1:4" x14ac:dyDescent="0.2">
      <c r="A793" s="5">
        <v>732</v>
      </c>
      <c r="B793" s="138">
        <f>'Expenditures 15-22'!D55</f>
        <v>61755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61755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15664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16886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32550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150604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499863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10159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12393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29552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1389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1389</v>
      </c>
      <c r="C843" s="2" t="s">
        <v>573</v>
      </c>
      <c r="D843" s="2" t="str">
        <f t="shared" si="12"/>
        <v>Error?</v>
      </c>
    </row>
    <row r="844" spans="1:4" x14ac:dyDescent="0.2">
      <c r="A844" s="5">
        <v>783</v>
      </c>
      <c r="B844" s="138">
        <f>'Expenditures 15-22'!E44</f>
        <v>3667</v>
      </c>
      <c r="D844" s="2" t="str">
        <f t="shared" si="12"/>
        <v>Error?</v>
      </c>
    </row>
    <row r="845" spans="1:4" x14ac:dyDescent="0.2">
      <c r="A845" s="5">
        <v>784</v>
      </c>
      <c r="B845" s="138">
        <f>'Expenditures 15-22'!E45</f>
        <v>8921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12588</v>
      </c>
      <c r="C847" s="2" t="s">
        <v>573</v>
      </c>
      <c r="D847" s="2" t="str">
        <f t="shared" si="12"/>
        <v>Error?</v>
      </c>
    </row>
    <row r="848" spans="1:4" x14ac:dyDescent="0.2">
      <c r="A848" s="5">
        <v>787</v>
      </c>
      <c r="B848" s="138">
        <f>'Expenditures 15-22'!E49</f>
        <v>7995</v>
      </c>
      <c r="D848" s="2" t="str">
        <f t="shared" si="12"/>
        <v>Error?</v>
      </c>
    </row>
    <row r="849" spans="1:4" x14ac:dyDescent="0.2">
      <c r="A849" s="5">
        <v>788</v>
      </c>
      <c r="B849" s="138">
        <f>'Expenditures 15-22'!E50</f>
        <v>1831</v>
      </c>
      <c r="D849" s="2" t="str">
        <f t="shared" si="12"/>
        <v>Error?</v>
      </c>
    </row>
    <row r="850" spans="1:4" x14ac:dyDescent="0.2">
      <c r="A850" s="5">
        <v>789</v>
      </c>
      <c r="B850" s="138">
        <f>'Expenditures 15-22'!E53</f>
        <v>9826</v>
      </c>
      <c r="C850" s="2" t="s">
        <v>573</v>
      </c>
      <c r="D850" s="2" t="str">
        <f t="shared" si="12"/>
        <v>Error?</v>
      </c>
    </row>
    <row r="851" spans="1:4" x14ac:dyDescent="0.2">
      <c r="A851" s="5">
        <v>790</v>
      </c>
      <c r="B851" s="138">
        <f>'Expenditures 15-22'!E55</f>
        <v>757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757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9665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2282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36507</v>
      </c>
      <c r="C871" s="2" t="s">
        <v>573</v>
      </c>
      <c r="D871" s="2" t="str">
        <f t="shared" si="12"/>
        <v>Error?</v>
      </c>
    </row>
    <row r="872" spans="1:4" x14ac:dyDescent="0.2">
      <c r="A872" s="5">
        <v>811</v>
      </c>
      <c r="B872" s="138">
        <f>'Expenditures 15-22'!E75</f>
        <v>26181</v>
      </c>
      <c r="D872" s="2" t="str">
        <f t="shared" si="12"/>
        <v>Error?</v>
      </c>
    </row>
    <row r="873" spans="1:4" x14ac:dyDescent="0.2">
      <c r="A873" s="5">
        <v>812</v>
      </c>
      <c r="B873" s="138">
        <f>'Expenditures 15-22'!E114</f>
        <v>274512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31321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13257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44779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2563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73</v>
      </c>
      <c r="D907" s="2" t="str">
        <f t="shared" si="13"/>
        <v>Error?</v>
      </c>
    </row>
    <row r="908" spans="1:4" x14ac:dyDescent="0.2">
      <c r="A908" s="5">
        <v>847</v>
      </c>
      <c r="B908" s="138">
        <f>'Expenditures 15-22'!F53</f>
        <v>73</v>
      </c>
      <c r="C908" s="2" t="s">
        <v>573</v>
      </c>
      <c r="D908" s="2" t="str">
        <f t="shared" si="13"/>
        <v>Error?</v>
      </c>
    </row>
    <row r="909" spans="1:4" x14ac:dyDescent="0.2">
      <c r="A909" s="5">
        <v>848</v>
      </c>
      <c r="B909" s="138">
        <f>'Expenditures 15-22'!F55</f>
        <v>701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1041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72580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73621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77050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121829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21796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21796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22181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22181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22181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43977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18108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692</v>
      </c>
      <c r="D1007" s="2" t="str">
        <f t="shared" si="14"/>
        <v>Error?</v>
      </c>
    </row>
    <row r="1008" spans="1:4" x14ac:dyDescent="0.2">
      <c r="A1008" s="5">
        <v>947</v>
      </c>
      <c r="B1008" s="138">
        <f>'Expenditures 15-22'!H14</f>
        <v>15943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34743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6030</v>
      </c>
      <c r="D1022" s="2" t="str">
        <f t="shared" si="14"/>
        <v>Error?</v>
      </c>
    </row>
    <row r="1023" spans="1:4" x14ac:dyDescent="0.2">
      <c r="A1023" s="5">
        <v>962</v>
      </c>
      <c r="B1023" s="138">
        <f>'Expenditures 15-22'!H50</f>
        <v>938</v>
      </c>
      <c r="D1023" s="2" t="str">
        <f t="shared" ref="D1023:D1086" si="15">IF(ISBLANK(B1023),"OK",IF(A1023-B1023=0,"OK","Error?"))</f>
        <v>Error?</v>
      </c>
    </row>
    <row r="1024" spans="1:4" x14ac:dyDescent="0.2">
      <c r="A1024" s="5">
        <v>963</v>
      </c>
      <c r="B1024" s="138">
        <f>'Expenditures 15-22'!H53</f>
        <v>6968</v>
      </c>
      <c r="C1024" s="2" t="s">
        <v>573</v>
      </c>
      <c r="D1024" s="2" t="str">
        <f t="shared" si="15"/>
        <v>Error?</v>
      </c>
    </row>
    <row r="1025" spans="1:4" x14ac:dyDescent="0.2">
      <c r="A1025" s="5">
        <v>964</v>
      </c>
      <c r="B1025" s="138">
        <f>'Expenditures 15-22'!H55</f>
        <v>1380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913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1338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13175</v>
      </c>
      <c r="D1041" s="2" t="str">
        <f t="shared" si="15"/>
        <v>Error?</v>
      </c>
    </row>
    <row r="1042" spans="1:4" x14ac:dyDescent="0.2">
      <c r="A1042" s="10">
        <v>981</v>
      </c>
      <c r="D1042" s="2" t="str">
        <f t="shared" si="15"/>
        <v>OK</v>
      </c>
    </row>
    <row r="1043" spans="1:4" x14ac:dyDescent="0.2">
      <c r="A1043" s="5">
        <v>982</v>
      </c>
      <c r="B1043" s="138">
        <f>'Expenditures 15-22'!H72</f>
        <v>13175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22861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385705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443309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1350189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67323</v>
      </c>
      <c r="C1105" s="2" t="s">
        <v>573</v>
      </c>
      <c r="D1105" s="2" t="str">
        <f t="shared" si="16"/>
        <v>Error?</v>
      </c>
    </row>
    <row r="1106" spans="1:4" x14ac:dyDescent="0.2">
      <c r="A1106" s="5">
        <v>1045</v>
      </c>
      <c r="B1106" s="138">
        <f>'Expenditures 15-22'!K14</f>
        <v>166154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1974748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60313</v>
      </c>
      <c r="C1110" s="2" t="s">
        <v>573</v>
      </c>
      <c r="D1110" s="2" t="str">
        <f t="shared" si="16"/>
        <v>Error?</v>
      </c>
    </row>
    <row r="1111" spans="1:4" x14ac:dyDescent="0.2">
      <c r="A1111" s="5">
        <v>1050</v>
      </c>
      <c r="B1111" s="138">
        <f>'Expenditures 15-22'!K38</f>
        <v>1481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61794</v>
      </c>
      <c r="C1115" s="2" t="s">
        <v>573</v>
      </c>
      <c r="D1115" s="2" t="str">
        <f t="shared" si="16"/>
        <v>Error?</v>
      </c>
    </row>
    <row r="1116" spans="1:4" x14ac:dyDescent="0.2">
      <c r="A1116" s="5">
        <v>1055</v>
      </c>
      <c r="B1116" s="138">
        <f>'Expenditures 15-22'!K44</f>
        <v>6538</v>
      </c>
      <c r="C1116" s="2" t="s">
        <v>573</v>
      </c>
      <c r="D1116" s="2" t="str">
        <f t="shared" si="16"/>
        <v>Error?</v>
      </c>
    </row>
    <row r="1117" spans="1:4" x14ac:dyDescent="0.2">
      <c r="A1117" s="5">
        <v>1056</v>
      </c>
      <c r="B1117" s="138">
        <f>'Expenditures 15-22'!K45</f>
        <v>22917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29455</v>
      </c>
      <c r="C1119" s="2" t="s">
        <v>573</v>
      </c>
      <c r="D1119" s="2" t="str">
        <f t="shared" si="16"/>
        <v>Error?</v>
      </c>
    </row>
    <row r="1120" spans="1:4" x14ac:dyDescent="0.2">
      <c r="A1120" s="5">
        <v>1059</v>
      </c>
      <c r="B1120" s="138">
        <f>'Expenditures 15-22'!K49</f>
        <v>14025</v>
      </c>
      <c r="C1120" s="2" t="s">
        <v>573</v>
      </c>
      <c r="D1120" s="2" t="str">
        <f t="shared" si="16"/>
        <v>Error?</v>
      </c>
    </row>
    <row r="1121" spans="1:4" x14ac:dyDescent="0.2">
      <c r="A1121" s="5">
        <v>1060</v>
      </c>
      <c r="B1121" s="138">
        <f>'Expenditures 15-22'!K50</f>
        <v>102383</v>
      </c>
      <c r="C1121" s="2" t="s">
        <v>573</v>
      </c>
      <c r="D1121" s="2" t="str">
        <f t="shared" si="16"/>
        <v>Error?</v>
      </c>
    </row>
    <row r="1122" spans="1:4" x14ac:dyDescent="0.2">
      <c r="A1122" s="5">
        <v>1061</v>
      </c>
      <c r="B1122" s="138">
        <f>'Expenditures 15-22'!K53</f>
        <v>116408</v>
      </c>
      <c r="C1122" s="2" t="s">
        <v>573</v>
      </c>
      <c r="D1122" s="2" t="str">
        <f t="shared" si="16"/>
        <v>Error?</v>
      </c>
    </row>
    <row r="1123" spans="1:4" x14ac:dyDescent="0.2">
      <c r="A1123" s="5">
        <v>1062</v>
      </c>
      <c r="B1123" s="138">
        <f>'Expenditures 15-22'!K55</f>
        <v>233518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233518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87784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171711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259495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13175</v>
      </c>
      <c r="C1139" s="2" t="s">
        <v>573</v>
      </c>
      <c r="D1139" s="2" t="str">
        <f t="shared" si="16"/>
        <v>Error?</v>
      </c>
    </row>
    <row r="1140" spans="1:4" x14ac:dyDescent="0.2">
      <c r="A1140" s="10">
        <v>1079</v>
      </c>
      <c r="D1140" s="2" t="str">
        <f t="shared" si="16"/>
        <v>OK</v>
      </c>
    </row>
    <row r="1141" spans="1:4" x14ac:dyDescent="0.2">
      <c r="A1141" s="5">
        <v>1080</v>
      </c>
      <c r="B1141" s="138">
        <f>'Expenditures 15-22'!K72</f>
        <v>13175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713845</v>
      </c>
      <c r="C1143" s="2" t="s">
        <v>573</v>
      </c>
      <c r="D1143" s="2" t="str">
        <f t="shared" si="16"/>
        <v>Error?</v>
      </c>
    </row>
    <row r="1144" spans="1:4" x14ac:dyDescent="0.2">
      <c r="A1144" s="5">
        <v>1083</v>
      </c>
      <c r="B1144" s="138">
        <f>'Expenditures 15-22'!K75</f>
        <v>26181</v>
      </c>
      <c r="C1144" s="2" t="s">
        <v>573</v>
      </c>
      <c r="D1144" s="2" t="str">
        <f t="shared" si="16"/>
        <v>Error?</v>
      </c>
    </row>
    <row r="1145" spans="1:4" x14ac:dyDescent="0.2">
      <c r="A1145" s="5">
        <v>1084</v>
      </c>
      <c r="B1145" s="138">
        <f>'Expenditures 15-22'!K102</f>
        <v>567977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3282751</v>
      </c>
      <c r="C1152" s="2" t="s">
        <v>573</v>
      </c>
      <c r="D1152" s="2" t="str">
        <f t="shared" si="17"/>
        <v>Error?</v>
      </c>
    </row>
    <row r="1153" spans="1:4" x14ac:dyDescent="0.2">
      <c r="A1153" s="5">
        <v>1092</v>
      </c>
      <c r="B1153" s="138">
        <f>'Expenditures 15-22'!K115</f>
        <v>-410602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149466</v>
      </c>
      <c r="D1221" s="2" t="str">
        <f t="shared" si="18"/>
        <v>Error?</v>
      </c>
    </row>
    <row r="1222" spans="1:4" x14ac:dyDescent="0.2">
      <c r="A1222" s="10">
        <v>1161</v>
      </c>
      <c r="D1222" s="2" t="str">
        <f t="shared" si="18"/>
        <v>OK</v>
      </c>
    </row>
    <row r="1223" spans="1:4" x14ac:dyDescent="0.2">
      <c r="A1223" s="5">
        <v>1162</v>
      </c>
      <c r="B1223" s="138">
        <f>'Expenditures 15-22'!C127</f>
        <v>149466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149466</v>
      </c>
      <c r="C1225" s="2" t="s">
        <v>573</v>
      </c>
      <c r="D1225" s="2" t="str">
        <f t="shared" si="18"/>
        <v>Error?</v>
      </c>
    </row>
    <row r="1226" spans="1:4" x14ac:dyDescent="0.2">
      <c r="A1226" s="5">
        <v>1165</v>
      </c>
      <c r="B1226" s="138">
        <f>'Expenditures 15-22'!C151</f>
        <v>149466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24460</v>
      </c>
      <c r="D1229" s="2" t="str">
        <f t="shared" si="18"/>
        <v>Error?</v>
      </c>
    </row>
    <row r="1230" spans="1:4" x14ac:dyDescent="0.2">
      <c r="A1230" s="10">
        <v>1169</v>
      </c>
      <c r="D1230" s="2" t="str">
        <f t="shared" si="18"/>
        <v>OK</v>
      </c>
    </row>
    <row r="1231" spans="1:4" x14ac:dyDescent="0.2">
      <c r="A1231" s="5">
        <v>1170</v>
      </c>
      <c r="B1231" s="138">
        <f>'Expenditures 15-22'!D127</f>
        <v>24460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24460</v>
      </c>
      <c r="C1233" s="2" t="s">
        <v>573</v>
      </c>
      <c r="D1233" s="2" t="str">
        <f t="shared" si="18"/>
        <v>Error?</v>
      </c>
    </row>
    <row r="1234" spans="1:4" x14ac:dyDescent="0.2">
      <c r="A1234" s="5">
        <v>1173</v>
      </c>
      <c r="B1234" s="138">
        <f>'Expenditures 15-22'!D151</f>
        <v>24460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32775</v>
      </c>
      <c r="D1237" s="2" t="str">
        <f t="shared" si="18"/>
        <v>Error?</v>
      </c>
    </row>
    <row r="1238" spans="1:4" x14ac:dyDescent="0.2">
      <c r="A1238" s="10">
        <v>1177</v>
      </c>
      <c r="D1238" s="2" t="str">
        <f t="shared" si="18"/>
        <v>OK</v>
      </c>
    </row>
    <row r="1239" spans="1:4" x14ac:dyDescent="0.2">
      <c r="A1239" s="5">
        <v>1178</v>
      </c>
      <c r="B1239" s="138">
        <f>'Expenditures 15-22'!E127</f>
        <v>32775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32775</v>
      </c>
      <c r="C1241" s="2" t="s">
        <v>573</v>
      </c>
      <c r="D1241" s="2" t="str">
        <f t="shared" si="18"/>
        <v>Error?</v>
      </c>
    </row>
    <row r="1242" spans="1:4" x14ac:dyDescent="0.2">
      <c r="A1242" s="5">
        <v>1181</v>
      </c>
      <c r="B1242" s="138">
        <f>'Expenditures 15-22'!E151</f>
        <v>38088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82601</v>
      </c>
      <c r="D1245" s="2" t="str">
        <f t="shared" si="18"/>
        <v>Error?</v>
      </c>
    </row>
    <row r="1246" spans="1:4" x14ac:dyDescent="0.2">
      <c r="A1246" s="10">
        <v>1185</v>
      </c>
      <c r="D1246" s="2" t="str">
        <f t="shared" si="18"/>
        <v>OK</v>
      </c>
    </row>
    <row r="1247" spans="1:4" x14ac:dyDescent="0.2">
      <c r="A1247" s="5">
        <v>1186</v>
      </c>
      <c r="B1247" s="138">
        <f>'Expenditures 15-22'!F127</f>
        <v>82601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82601</v>
      </c>
      <c r="C1249" s="2" t="s">
        <v>573</v>
      </c>
      <c r="D1249" s="2" t="str">
        <f t="shared" si="18"/>
        <v>Error?</v>
      </c>
    </row>
    <row r="1250" spans="1:4" x14ac:dyDescent="0.2">
      <c r="A1250" s="5">
        <v>1189</v>
      </c>
      <c r="B1250" s="138">
        <f>'Expenditures 15-22'!F151</f>
        <v>82601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6062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6062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6062</v>
      </c>
      <c r="C1258" s="2" t="s">
        <v>573</v>
      </c>
      <c r="D1258" s="2" t="str">
        <f t="shared" si="18"/>
        <v>Error?</v>
      </c>
    </row>
    <row r="1259" spans="1:4" x14ac:dyDescent="0.2">
      <c r="A1259" s="5">
        <v>1198</v>
      </c>
      <c r="B1259" s="138">
        <f>'Expenditures 15-22'!G151</f>
        <v>6062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295364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295364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295364</v>
      </c>
      <c r="C1281" s="2" t="s">
        <v>573</v>
      </c>
      <c r="D1281" s="2" t="str">
        <f t="shared" si="19"/>
        <v>Error?</v>
      </c>
    </row>
    <row r="1282" spans="1:4" x14ac:dyDescent="0.2">
      <c r="A1282" s="5">
        <v>1221</v>
      </c>
      <c r="B1282" s="138">
        <f>'Expenditures 15-22'!K139</f>
        <v>5313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300677</v>
      </c>
      <c r="C1288" s="2" t="s">
        <v>573</v>
      </c>
      <c r="D1288" s="2" t="str">
        <f t="shared" si="19"/>
        <v>Error?</v>
      </c>
    </row>
    <row r="1289" spans="1:4" x14ac:dyDescent="0.2">
      <c r="A1289" s="5">
        <v>1228</v>
      </c>
      <c r="B1289" s="138">
        <f>'Expenditures 15-22'!K152</f>
        <v>76014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265000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269608</v>
      </c>
      <c r="C1317" s="2" t="s">
        <v>573</v>
      </c>
      <c r="D1317" s="2" t="str">
        <f t="shared" si="19"/>
        <v>Error?</v>
      </c>
    </row>
    <row r="1318" spans="1:4" x14ac:dyDescent="0.2">
      <c r="A1318" s="5">
        <v>1257</v>
      </c>
      <c r="B1318" s="138">
        <f>'Expenditures 15-22'!H174</f>
        <v>269608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4108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265000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269608</v>
      </c>
      <c r="C1331" s="2" t="s">
        <v>573</v>
      </c>
      <c r="D1331" s="2" t="str">
        <f t="shared" si="19"/>
        <v>Error?</v>
      </c>
    </row>
    <row r="1332" spans="1:4" x14ac:dyDescent="0.2">
      <c r="A1332" s="5">
        <v>1271</v>
      </c>
      <c r="B1332" s="138">
        <f>'Expenditures 15-22'!K174</f>
        <v>269608</v>
      </c>
      <c r="C1332" s="2" t="s">
        <v>573</v>
      </c>
      <c r="D1332" s="2" t="str">
        <f t="shared" si="19"/>
        <v>Error?</v>
      </c>
    </row>
    <row r="1333" spans="1:4" x14ac:dyDescent="0.2">
      <c r="A1333" s="5">
        <v>1272</v>
      </c>
      <c r="B1333" s="138">
        <f>'Expenditures 15-22'!K175</f>
        <v>-19</v>
      </c>
      <c r="C1333" s="2" t="s">
        <v>573</v>
      </c>
      <c r="D1333" s="2" t="str">
        <f t="shared" si="19"/>
        <v>Error?</v>
      </c>
    </row>
    <row r="1334" spans="1:4" x14ac:dyDescent="0.2">
      <c r="A1334" s="10">
        <v>1273</v>
      </c>
      <c r="D1334" s="2" t="str">
        <f t="shared" si="19"/>
        <v>OK</v>
      </c>
    </row>
    <row r="1335" spans="1:4" x14ac:dyDescent="0.2">
      <c r="A1335" s="5">
        <v>1274</v>
      </c>
      <c r="B1335" s="138">
        <f>'Expenditures 15-22'!C182</f>
        <v>201241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201241</v>
      </c>
      <c r="C1339" s="2" t="s">
        <v>573</v>
      </c>
      <c r="D1339" s="2" t="str">
        <f t="shared" si="19"/>
        <v>Error?</v>
      </c>
    </row>
    <row r="1340" spans="1:4" x14ac:dyDescent="0.2">
      <c r="A1340" s="5">
        <v>1279</v>
      </c>
      <c r="B1340" s="138">
        <f>'Expenditures 15-22'!C210</f>
        <v>201241</v>
      </c>
      <c r="C1340" s="2" t="s">
        <v>573</v>
      </c>
      <c r="D1340" s="2" t="str">
        <f t="shared" si="19"/>
        <v>Error?</v>
      </c>
    </row>
    <row r="1341" spans="1:4" x14ac:dyDescent="0.2">
      <c r="A1341" s="5">
        <v>1280</v>
      </c>
      <c r="B1341" s="138">
        <f>'Expenditures 15-22'!D182</f>
        <v>21434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21434</v>
      </c>
      <c r="C1345" s="2" t="s">
        <v>573</v>
      </c>
      <c r="D1345" s="2" t="str">
        <f t="shared" si="20"/>
        <v>Error?</v>
      </c>
    </row>
    <row r="1346" spans="1:4" x14ac:dyDescent="0.2">
      <c r="A1346" s="5">
        <v>1285</v>
      </c>
      <c r="B1346" s="138">
        <f>'Expenditures 15-22'!D210</f>
        <v>21434</v>
      </c>
      <c r="C1346" s="2" t="s">
        <v>573</v>
      </c>
      <c r="D1346" s="2" t="str">
        <f t="shared" si="20"/>
        <v>Error?</v>
      </c>
    </row>
    <row r="1347" spans="1:4" x14ac:dyDescent="0.2">
      <c r="A1347" s="5">
        <v>1286</v>
      </c>
      <c r="B1347" s="138">
        <f>'Expenditures 15-22'!E182</f>
        <v>97151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97151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97151</v>
      </c>
      <c r="C1353" s="2" t="s">
        <v>573</v>
      </c>
      <c r="D1353" s="2" t="str">
        <f t="shared" si="20"/>
        <v>Error?</v>
      </c>
    </row>
    <row r="1354" spans="1:4" x14ac:dyDescent="0.2">
      <c r="A1354" s="5">
        <v>1293</v>
      </c>
      <c r="B1354" s="138">
        <f>'Expenditures 15-22'!F182</f>
        <v>38325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38325</v>
      </c>
      <c r="C1358" s="2" t="s">
        <v>573</v>
      </c>
      <c r="D1358" s="2" t="str">
        <f t="shared" si="20"/>
        <v>Error?</v>
      </c>
    </row>
    <row r="1359" spans="1:4" x14ac:dyDescent="0.2">
      <c r="A1359" s="5">
        <v>1298</v>
      </c>
      <c r="B1359" s="138">
        <f>'Expenditures 15-22'!F210</f>
        <v>38325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134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134</v>
      </c>
      <c r="C1376" s="2" t="s">
        <v>573</v>
      </c>
      <c r="D1376" s="2" t="str">
        <f t="shared" si="20"/>
        <v>Error?</v>
      </c>
    </row>
    <row r="1377" spans="1:4" x14ac:dyDescent="0.2">
      <c r="A1377" s="5">
        <v>1316</v>
      </c>
      <c r="B1377" s="138">
        <f>'Expenditures 15-22'!K182</f>
        <v>358285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358285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358285</v>
      </c>
      <c r="C1388" s="2" t="s">
        <v>573</v>
      </c>
      <c r="D1388" s="2" t="str">
        <f t="shared" si="20"/>
        <v>Error?</v>
      </c>
    </row>
    <row r="1389" spans="1:4" x14ac:dyDescent="0.2">
      <c r="A1389" s="5">
        <v>1328</v>
      </c>
      <c r="B1389" s="138">
        <f>'Expenditures 15-22'!K211</f>
        <v>347756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808</v>
      </c>
      <c r="D1407" s="2" t="str">
        <f t="shared" ref="D1407:D1470" si="21">IF(ISBLANK(B1407),"OK",IF(A1407-B1407=0,"OK","Error?"))</f>
        <v>Error?</v>
      </c>
    </row>
    <row r="1408" spans="1:4" x14ac:dyDescent="0.2">
      <c r="A1408" s="5">
        <v>1347</v>
      </c>
      <c r="B1408" s="138">
        <f>'Expenditures 15-22'!D223</f>
        <v>4344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45558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881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972</v>
      </c>
      <c r="D1423" s="2" t="str">
        <f t="shared" si="21"/>
        <v>Error?</v>
      </c>
    </row>
    <row r="1424" spans="1:4" x14ac:dyDescent="0.2">
      <c r="A1424" s="5">
        <v>1363</v>
      </c>
      <c r="B1424" s="138">
        <f>'Expenditures 15-22'!D257</f>
        <v>4750</v>
      </c>
      <c r="C1424" s="2" t="s">
        <v>573</v>
      </c>
      <c r="D1424" s="2" t="str">
        <f t="shared" si="21"/>
        <v>Error?</v>
      </c>
    </row>
    <row r="1425" spans="1:4" x14ac:dyDescent="0.2">
      <c r="A1425" s="5">
        <v>1364</v>
      </c>
      <c r="B1425" s="138">
        <f>'Expenditures 15-22'!D259</f>
        <v>17881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17881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10023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27364</v>
      </c>
      <c r="D1431" s="2" t="str">
        <f t="shared" si="21"/>
        <v>Error?</v>
      </c>
    </row>
    <row r="1432" spans="1:4" x14ac:dyDescent="0.2">
      <c r="A1432" s="5">
        <v>1371</v>
      </c>
      <c r="B1432" s="138">
        <f>'Expenditures 15-22'!D267</f>
        <v>33085</v>
      </c>
      <c r="D1432" s="2" t="str">
        <f t="shared" si="21"/>
        <v>Error?</v>
      </c>
    </row>
    <row r="1433" spans="1:4" x14ac:dyDescent="0.2">
      <c r="A1433" s="5">
        <v>1372</v>
      </c>
      <c r="B1433" s="138">
        <f>'Expenditures 15-22'!D268</f>
        <v>10171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80643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104155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149713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808</v>
      </c>
      <c r="C1471" s="2" t="s">
        <v>573</v>
      </c>
      <c r="D1471" s="2" t="str">
        <f t="shared" ref="D1471:D1534" si="22">IF(ISBLANK(B1471),"OK",IF(A1471-B1471=0,"OK","Error?"))</f>
        <v>Error?</v>
      </c>
    </row>
    <row r="1472" spans="1:4" x14ac:dyDescent="0.2">
      <c r="A1472" s="5">
        <v>1411</v>
      </c>
      <c r="B1472" s="138">
        <f>'Expenditures 15-22'!K223</f>
        <v>4344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45558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881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881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972</v>
      </c>
      <c r="C1487" s="2" t="s">
        <v>573</v>
      </c>
      <c r="D1487" s="2" t="str">
        <f t="shared" si="22"/>
        <v>Error?</v>
      </c>
    </row>
    <row r="1488" spans="1:4" x14ac:dyDescent="0.2">
      <c r="A1488" s="5">
        <v>1427</v>
      </c>
      <c r="B1488" s="138">
        <f>'Expenditures 15-22'!K257</f>
        <v>4750</v>
      </c>
      <c r="C1488" s="2" t="s">
        <v>573</v>
      </c>
      <c r="D1488" s="2" t="str">
        <f t="shared" si="22"/>
        <v>Error?</v>
      </c>
    </row>
    <row r="1489" spans="1:4" x14ac:dyDescent="0.2">
      <c r="A1489" s="5">
        <v>1428</v>
      </c>
      <c r="B1489" s="138">
        <f>'Expenditures 15-22'!K259</f>
        <v>17881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17881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10023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27364</v>
      </c>
      <c r="C1495" s="2" t="s">
        <v>573</v>
      </c>
      <c r="D1495" s="2" t="str">
        <f t="shared" si="22"/>
        <v>Error?</v>
      </c>
    </row>
    <row r="1496" spans="1:4" x14ac:dyDescent="0.2">
      <c r="A1496" s="5">
        <v>1435</v>
      </c>
      <c r="B1496" s="138">
        <f>'Expenditures 15-22'!K267</f>
        <v>33085</v>
      </c>
      <c r="C1496" s="2" t="s">
        <v>573</v>
      </c>
      <c r="D1496" s="2" t="str">
        <f t="shared" si="22"/>
        <v>Error?</v>
      </c>
    </row>
    <row r="1497" spans="1:4" x14ac:dyDescent="0.2">
      <c r="A1497" s="5">
        <v>1436</v>
      </c>
      <c r="B1497" s="138">
        <f>'Expenditures 15-22'!K268</f>
        <v>10171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80643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104155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149713</v>
      </c>
      <c r="C1517" s="2" t="s">
        <v>573</v>
      </c>
      <c r="D1517" s="2" t="str">
        <f t="shared" si="22"/>
        <v>Error?</v>
      </c>
    </row>
    <row r="1518" spans="1:4" x14ac:dyDescent="0.2">
      <c r="A1518" s="5">
        <v>1457</v>
      </c>
      <c r="B1518" s="138">
        <f>'Expenditures 15-22'!K296</f>
        <v>14863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16279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16279</v>
      </c>
      <c r="C1547" s="2" t="s">
        <v>573</v>
      </c>
      <c r="D1547" s="2" t="str">
        <f t="shared" si="23"/>
        <v>Error?</v>
      </c>
    </row>
    <row r="1548" spans="1:4" x14ac:dyDescent="0.2">
      <c r="A1548" s="5">
        <v>1487</v>
      </c>
      <c r="B1548" s="138">
        <f>'Expenditures 15-22'!G312</f>
        <v>16279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16279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16279</v>
      </c>
      <c r="C1559" s="2" t="s">
        <v>573</v>
      </c>
      <c r="D1559" s="2" t="str">
        <f t="shared" si="23"/>
        <v>Error?</v>
      </c>
    </row>
    <row r="1560" spans="1:4" x14ac:dyDescent="0.2">
      <c r="A1560" s="5">
        <v>1499</v>
      </c>
      <c r="B1560" s="138">
        <f>'Expenditures 15-22'!K312</f>
        <v>16279</v>
      </c>
      <c r="C1560" s="2" t="s">
        <v>573</v>
      </c>
      <c r="D1560" s="2" t="str">
        <f t="shared" si="23"/>
        <v>Error?</v>
      </c>
    </row>
    <row r="1561" spans="1:4" x14ac:dyDescent="0.2">
      <c r="A1561" s="5">
        <v>1500</v>
      </c>
      <c r="B1561" s="138">
        <f>'Expenditures 15-22'!K313</f>
        <v>41714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1187832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2082230</v>
      </c>
      <c r="C1630" s="2" t="s">
        <v>573</v>
      </c>
      <c r="D1630" s="2" t="str">
        <f t="shared" si="24"/>
        <v>Error?</v>
      </c>
    </row>
    <row r="1631" spans="1:4" x14ac:dyDescent="0.2">
      <c r="A1631" s="5">
        <v>1570</v>
      </c>
      <c r="B1631" s="138">
        <f>'Acct Summary 7-8'!D79</f>
        <v>173044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249058</v>
      </c>
      <c r="C1644" s="2" t="s">
        <v>573</v>
      </c>
      <c r="D1644" s="2" t="str">
        <f t="shared" si="24"/>
        <v>Error?</v>
      </c>
    </row>
    <row r="1645" spans="1:4" x14ac:dyDescent="0.2">
      <c r="A1645" s="5">
        <v>1584</v>
      </c>
      <c r="B1645" s="138">
        <f>'Acct Summary 7-8'!E79</f>
        <v>5703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5684</v>
      </c>
      <c r="C1658" s="2" t="s">
        <v>573</v>
      </c>
      <c r="D1658" s="2" t="str">
        <f t="shared" si="24"/>
        <v>Error?</v>
      </c>
    </row>
    <row r="1659" spans="1:4" x14ac:dyDescent="0.2">
      <c r="A1659" s="5">
        <v>1598</v>
      </c>
      <c r="B1659" s="138">
        <f>'Acct Summary 7-8'!F79</f>
        <v>19410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367166</v>
      </c>
      <c r="C1672" s="2" t="s">
        <v>573</v>
      </c>
      <c r="D1672" s="2" t="str">
        <f t="shared" si="25"/>
        <v>Error?</v>
      </c>
    </row>
    <row r="1673" spans="1:4" x14ac:dyDescent="0.2">
      <c r="A1673" s="5">
        <v>1612</v>
      </c>
      <c r="B1673" s="138">
        <f>'Acct Summary 7-8'!G79</f>
        <v>123662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138525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41714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1718558</v>
      </c>
      <c r="C1744" s="2" t="s">
        <v>573</v>
      </c>
      <c r="D1744" s="2" t="str">
        <f t="shared" si="26"/>
        <v>Error?</v>
      </c>
    </row>
    <row r="1745" spans="1:5" x14ac:dyDescent="0.2">
      <c r="A1745" s="5">
        <v>1684</v>
      </c>
      <c r="B1745" s="138">
        <f>'Tax Sched 23'!B5</f>
        <v>299445</v>
      </c>
      <c r="C1745" s="2" t="s">
        <v>573</v>
      </c>
      <c r="D1745" s="2" t="str">
        <f t="shared" si="26"/>
        <v>Error?</v>
      </c>
    </row>
    <row r="1746" spans="1:5" x14ac:dyDescent="0.2">
      <c r="A1746" s="5">
        <v>1685</v>
      </c>
      <c r="B1746" s="138">
        <f>'Tax Sched 23'!B6</f>
        <v>268404</v>
      </c>
      <c r="C1746" s="2" t="s">
        <v>573</v>
      </c>
      <c r="D1746" s="2" t="str">
        <f t="shared" si="26"/>
        <v>Error?</v>
      </c>
    </row>
    <row r="1747" spans="1:5" x14ac:dyDescent="0.2">
      <c r="A1747" s="5">
        <v>1686</v>
      </c>
      <c r="B1747" s="138">
        <f>'Tax Sched 23'!B7</f>
        <v>104154</v>
      </c>
      <c r="C1747" s="2" t="s">
        <v>573</v>
      </c>
      <c r="D1747" s="2" t="str">
        <f t="shared" si="26"/>
        <v>Error?</v>
      </c>
    </row>
    <row r="1748" spans="1:5" x14ac:dyDescent="0.2">
      <c r="A1748" s="5">
        <v>1687</v>
      </c>
      <c r="B1748" s="138">
        <f>'Tax Sched 23'!B8</f>
        <v>78989</v>
      </c>
      <c r="C1748" s="2" t="s">
        <v>573</v>
      </c>
      <c r="D1748" s="2" t="str">
        <f t="shared" si="26"/>
        <v>Error?</v>
      </c>
    </row>
    <row r="1749" spans="1:5" x14ac:dyDescent="0.2">
      <c r="A1749" s="5">
        <v>1688</v>
      </c>
      <c r="B1749" s="138">
        <f>'Tax Sched 23'!B10</f>
        <v>26040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205227</v>
      </c>
      <c r="C1752" s="2" t="s">
        <v>573</v>
      </c>
      <c r="D1752" s="2" t="str">
        <f t="shared" si="26"/>
        <v>Error?</v>
      </c>
    </row>
    <row r="1753" spans="1:5" x14ac:dyDescent="0.2">
      <c r="A1753" s="5">
        <v>1692</v>
      </c>
      <c r="B1753" s="138">
        <f>'Tax Sched 23'!B12</f>
        <v>26040</v>
      </c>
      <c r="C1753" s="2" t="s">
        <v>573</v>
      </c>
      <c r="D1753" s="2" t="str">
        <f t="shared" si="26"/>
        <v>Error?</v>
      </c>
    </row>
    <row r="1754" spans="1:5" x14ac:dyDescent="0.2">
      <c r="A1754" s="5">
        <v>1693</v>
      </c>
      <c r="B1754" s="138">
        <f>'Tax Sched 23'!B14</f>
        <v>20831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2852717</v>
      </c>
      <c r="C1759" s="2" t="s">
        <v>573</v>
      </c>
      <c r="D1759" s="2" t="str">
        <f t="shared" si="26"/>
        <v>Error?</v>
      </c>
    </row>
    <row r="1760" spans="1:5" x14ac:dyDescent="0.2">
      <c r="A1760" s="5">
        <v>1699</v>
      </c>
      <c r="B1760" s="138">
        <f>'Tax Sched 23'!D4</f>
        <v>1718558</v>
      </c>
      <c r="C1760" s="2" t="s">
        <v>573</v>
      </c>
      <c r="D1760" s="2" t="str">
        <f t="shared" si="26"/>
        <v>Error?</v>
      </c>
    </row>
    <row r="1761" spans="1:5" x14ac:dyDescent="0.2">
      <c r="A1761" s="5">
        <v>1700</v>
      </c>
      <c r="B1761" s="138">
        <f>'Tax Sched 23'!D5</f>
        <v>299445</v>
      </c>
      <c r="C1761" s="2" t="s">
        <v>573</v>
      </c>
      <c r="D1761" s="2" t="str">
        <f t="shared" si="26"/>
        <v>Error?</v>
      </c>
    </row>
    <row r="1762" spans="1:5" s="8" customFormat="1" x14ac:dyDescent="0.2">
      <c r="A1762" s="5">
        <v>1701</v>
      </c>
      <c r="B1762" s="138">
        <f>'Tax Sched 23'!D6</f>
        <v>268404</v>
      </c>
      <c r="C1762" s="2" t="s">
        <v>573</v>
      </c>
      <c r="D1762" s="2" t="str">
        <f t="shared" si="26"/>
        <v>Error?</v>
      </c>
      <c r="E1762" s="9"/>
    </row>
    <row r="1763" spans="1:5" x14ac:dyDescent="0.2">
      <c r="A1763" s="5">
        <v>1702</v>
      </c>
      <c r="B1763" s="138">
        <f>'Tax Sched 23'!D7</f>
        <v>104154</v>
      </c>
      <c r="C1763" s="2" t="s">
        <v>573</v>
      </c>
      <c r="D1763" s="2" t="str">
        <f t="shared" si="26"/>
        <v>Error?</v>
      </c>
    </row>
    <row r="1764" spans="1:5" x14ac:dyDescent="0.2">
      <c r="A1764" s="5">
        <v>1703</v>
      </c>
      <c r="B1764" s="138">
        <f>'Tax Sched 23'!D8</f>
        <v>78989</v>
      </c>
      <c r="C1764" s="2" t="s">
        <v>573</v>
      </c>
      <c r="D1764" s="2" t="str">
        <f t="shared" si="26"/>
        <v>Error?</v>
      </c>
    </row>
    <row r="1765" spans="1:5" x14ac:dyDescent="0.2">
      <c r="A1765" s="5">
        <v>1704</v>
      </c>
      <c r="B1765" s="138">
        <f>'Tax Sched 23'!D10</f>
        <v>26040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205227</v>
      </c>
      <c r="C1768" s="2" t="s">
        <v>573</v>
      </c>
      <c r="D1768" s="2" t="str">
        <f t="shared" si="26"/>
        <v>Error?</v>
      </c>
    </row>
    <row r="1769" spans="1:5" x14ac:dyDescent="0.2">
      <c r="A1769" s="5">
        <v>1708</v>
      </c>
      <c r="B1769" s="138">
        <f>'Tax Sched 23'!D12</f>
        <v>26040</v>
      </c>
      <c r="C1769" s="2" t="s">
        <v>573</v>
      </c>
      <c r="D1769" s="2" t="str">
        <f t="shared" si="26"/>
        <v>Error?</v>
      </c>
    </row>
    <row r="1770" spans="1:5" x14ac:dyDescent="0.2">
      <c r="A1770" s="5">
        <v>1709</v>
      </c>
      <c r="B1770" s="138">
        <f>'Tax Sched 23'!D14</f>
        <v>20831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2852717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1790050</v>
      </c>
      <c r="C1792" s="2" t="s">
        <v>573</v>
      </c>
      <c r="D1792" s="2" t="str">
        <f t="shared" si="27"/>
        <v>Error?</v>
      </c>
    </row>
    <row r="1793" spans="1:4" x14ac:dyDescent="0.2">
      <c r="A1793" s="5">
        <v>1732</v>
      </c>
      <c r="B1793" s="138">
        <f>'Tax Sched 23'!F5</f>
        <v>311903</v>
      </c>
      <c r="C1793" s="2" t="s">
        <v>573</v>
      </c>
      <c r="D1793" s="2" t="str">
        <f t="shared" si="27"/>
        <v>Error?</v>
      </c>
    </row>
    <row r="1794" spans="1:4" x14ac:dyDescent="0.2">
      <c r="A1794" s="5">
        <v>1733</v>
      </c>
      <c r="B1794" s="138">
        <f>'Tax Sched 23'!F6</f>
        <v>261936</v>
      </c>
      <c r="C1794" s="2" t="s">
        <v>573</v>
      </c>
      <c r="D1794" s="2" t="str">
        <f t="shared" si="27"/>
        <v>Error?</v>
      </c>
    </row>
    <row r="1795" spans="1:4" x14ac:dyDescent="0.2">
      <c r="A1795" s="5">
        <v>1734</v>
      </c>
      <c r="B1795" s="138">
        <f>'Tax Sched 23'!F7</f>
        <v>108488</v>
      </c>
      <c r="C1795" s="2" t="s">
        <v>573</v>
      </c>
      <c r="D1795" s="2" t="str">
        <f t="shared" si="27"/>
        <v>Error?</v>
      </c>
    </row>
    <row r="1796" spans="1:4" x14ac:dyDescent="0.2">
      <c r="A1796" s="5">
        <v>1735</v>
      </c>
      <c r="B1796" s="138">
        <f>'Tax Sched 23'!F8</f>
        <v>80606</v>
      </c>
      <c r="C1796" s="2" t="s">
        <v>573</v>
      </c>
      <c r="D1796" s="2" t="str">
        <f t="shared" si="27"/>
        <v>Error?</v>
      </c>
    </row>
    <row r="1797" spans="1:4" x14ac:dyDescent="0.2">
      <c r="A1797" s="5">
        <v>1736</v>
      </c>
      <c r="B1797" s="138">
        <f>'Tax Sched 23'!F10</f>
        <v>27122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209490</v>
      </c>
      <c r="C1800" s="2" t="s">
        <v>573</v>
      </c>
      <c r="D1800" s="2" t="str">
        <f t="shared" si="27"/>
        <v>Error?</v>
      </c>
    </row>
    <row r="1801" spans="1:4" x14ac:dyDescent="0.2">
      <c r="A1801" s="5">
        <v>1740</v>
      </c>
      <c r="B1801" s="138">
        <f>'Tax Sched 23'!F12</f>
        <v>27122</v>
      </c>
      <c r="C1801" s="2" t="s">
        <v>573</v>
      </c>
      <c r="D1801" s="2" t="str">
        <f t="shared" si="27"/>
        <v>Error?</v>
      </c>
    </row>
    <row r="1802" spans="1:4" x14ac:dyDescent="0.2">
      <c r="A1802" s="5">
        <v>1741</v>
      </c>
      <c r="B1802" s="138">
        <f>'Tax Sched 23'!F14</f>
        <v>21698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2946143</v>
      </c>
      <c r="C1807" s="2" t="s">
        <v>573</v>
      </c>
      <c r="D1807" s="2" t="str">
        <f t="shared" si="27"/>
        <v>Error?</v>
      </c>
    </row>
    <row r="1808" spans="1:4" x14ac:dyDescent="0.2">
      <c r="A1808" s="5">
        <v>1747</v>
      </c>
      <c r="B1808" s="138">
        <f>'Tax Sched 23'!E4</f>
        <v>1790050</v>
      </c>
      <c r="D1808" s="2" t="str">
        <f t="shared" si="27"/>
        <v>Error?</v>
      </c>
    </row>
    <row r="1809" spans="1:4" x14ac:dyDescent="0.2">
      <c r="A1809" s="5">
        <v>1748</v>
      </c>
      <c r="B1809" s="138">
        <f>'Tax Sched 23'!E5</f>
        <v>311903</v>
      </c>
      <c r="D1809" s="2" t="str">
        <f t="shared" si="27"/>
        <v>Error?</v>
      </c>
    </row>
    <row r="1810" spans="1:4" x14ac:dyDescent="0.2">
      <c r="A1810" s="5">
        <v>1749</v>
      </c>
      <c r="B1810" s="138">
        <f>'Tax Sched 23'!E6</f>
        <v>261936</v>
      </c>
      <c r="D1810" s="2" t="str">
        <f t="shared" si="27"/>
        <v>Error?</v>
      </c>
    </row>
    <row r="1811" spans="1:4" x14ac:dyDescent="0.2">
      <c r="A1811" s="5">
        <v>1750</v>
      </c>
      <c r="B1811" s="138">
        <f>'Tax Sched 23'!E7</f>
        <v>108488</v>
      </c>
      <c r="D1811" s="2" t="str">
        <f t="shared" si="27"/>
        <v>Error?</v>
      </c>
    </row>
    <row r="1812" spans="1:4" x14ac:dyDescent="0.2">
      <c r="A1812" s="5">
        <v>1751</v>
      </c>
      <c r="B1812" s="138">
        <f>'Tax Sched 23'!E8</f>
        <v>80606</v>
      </c>
      <c r="D1812" s="2" t="str">
        <f t="shared" si="27"/>
        <v>Error?</v>
      </c>
    </row>
    <row r="1813" spans="1:4" x14ac:dyDescent="0.2">
      <c r="A1813" s="5">
        <v>1752</v>
      </c>
      <c r="B1813" s="138">
        <f>'Tax Sched 23'!E10</f>
        <v>27122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209490</v>
      </c>
      <c r="D1816" s="2" t="str">
        <f t="shared" si="27"/>
        <v>Error?</v>
      </c>
    </row>
    <row r="1817" spans="1:4" x14ac:dyDescent="0.2">
      <c r="A1817" s="5">
        <v>1756</v>
      </c>
      <c r="B1817" s="138">
        <f>'Tax Sched 23'!E12</f>
        <v>27122</v>
      </c>
      <c r="D1817" s="2" t="str">
        <f t="shared" si="27"/>
        <v>Error?</v>
      </c>
    </row>
    <row r="1818" spans="1:4" x14ac:dyDescent="0.2">
      <c r="A1818" s="5">
        <v>1757</v>
      </c>
      <c r="B1818" s="138">
        <f>'Tax Sched 23'!E14</f>
        <v>21698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2946143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265000</v>
      </c>
      <c r="C1939" s="2" t="s">
        <v>573</v>
      </c>
      <c r="D1939" s="2" t="str">
        <f t="shared" si="29"/>
        <v>Error?</v>
      </c>
    </row>
    <row r="1940" spans="1:5" x14ac:dyDescent="0.2">
      <c r="A1940" s="5">
        <v>1879</v>
      </c>
      <c r="B1940" s="138">
        <f>'Short-Term Long-Term Debt 24'!F49</f>
        <v>1305000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20831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20831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20831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18400</v>
      </c>
      <c r="D2008" s="2" t="str">
        <f t="shared" si="30"/>
        <v>Error?</v>
      </c>
    </row>
    <row r="2009" spans="1:4" x14ac:dyDescent="0.2">
      <c r="A2009" s="5">
        <v>1948</v>
      </c>
      <c r="B2009" s="138">
        <f>'Cap Outlay Deprec 26'!C8</f>
        <v>3909628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225808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4153836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44522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66317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18400</v>
      </c>
      <c r="C2026" s="2" t="s">
        <v>573</v>
      </c>
      <c r="D2026" s="2" t="str">
        <f t="shared" si="30"/>
        <v>Error?</v>
      </c>
    </row>
    <row r="2027" spans="1:4" x14ac:dyDescent="0.2">
      <c r="A2027" s="5">
        <v>1966</v>
      </c>
      <c r="B2027" s="138">
        <f>'Cap Outlay Deprec 26'!F8</f>
        <v>3909628</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270330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4220153</v>
      </c>
      <c r="C2031" s="2" t="s">
        <v>573</v>
      </c>
      <c r="D2031" s="2" t="str">
        <f t="shared" si="30"/>
        <v>Error?</v>
      </c>
    </row>
    <row r="2032" spans="1:4" x14ac:dyDescent="0.2">
      <c r="A2032" s="10">
        <v>1971</v>
      </c>
      <c r="D2032" s="2" t="str">
        <f t="shared" si="30"/>
        <v>OK</v>
      </c>
    </row>
    <row r="2033" spans="1:4" x14ac:dyDescent="0.2">
      <c r="A2033" s="5">
        <v>1972</v>
      </c>
      <c r="B2033" s="138">
        <f>'Cap Outlay Deprec 26'!H8</f>
        <v>2708353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129912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2838265</v>
      </c>
      <c r="C2037" s="2" t="s">
        <v>573</v>
      </c>
      <c r="D2037" s="2" t="str">
        <f t="shared" si="30"/>
        <v>Error?</v>
      </c>
    </row>
    <row r="2038" spans="1:4" x14ac:dyDescent="0.2">
      <c r="A2038" s="10">
        <v>1977</v>
      </c>
      <c r="D2038" s="2" t="str">
        <f t="shared" si="30"/>
        <v>OK</v>
      </c>
    </row>
    <row r="2039" spans="1:4" x14ac:dyDescent="0.2">
      <c r="A2039" s="5">
        <v>1978</v>
      </c>
      <c r="B2039" s="138">
        <f>'Cap Outlay Deprec 26'!I8</f>
        <v>55986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27033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90284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2764339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156945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2928549</v>
      </c>
      <c r="C2055" s="2" t="s">
        <v>573</v>
      </c>
      <c r="D2055" s="2" t="str">
        <f t="shared" si="31"/>
        <v>Error?</v>
      </c>
    </row>
    <row r="2056" spans="1:4" x14ac:dyDescent="0.2">
      <c r="A2056" s="5">
        <v>1995</v>
      </c>
      <c r="B2056" s="138">
        <f>'Cap Outlay Deprec 26'!L5</f>
        <v>18400</v>
      </c>
      <c r="C2056" s="2" t="s">
        <v>573</v>
      </c>
      <c r="D2056" s="2" t="str">
        <f t="shared" si="31"/>
        <v>Error?</v>
      </c>
    </row>
    <row r="2057" spans="1:4" x14ac:dyDescent="0.2">
      <c r="A2057" s="5">
        <v>1996</v>
      </c>
      <c r="B2057" s="138">
        <f>'Cap Outlay Deprec 26'!L8</f>
        <v>1145289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113385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1291604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182272</v>
      </c>
      <c r="C2088" s="2" t="s">
        <v>573</v>
      </c>
      <c r="D2088" s="2" t="str">
        <f t="shared" si="31"/>
        <v>Error?</v>
      </c>
    </row>
    <row r="2089" spans="1:4" x14ac:dyDescent="0.2">
      <c r="A2089" s="5">
        <v>2028</v>
      </c>
      <c r="B2089" s="138">
        <f>'Expenditures 15-22'!K92</f>
        <v>385705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5313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45586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41714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1976476</v>
      </c>
      <c r="C2551" s="2" t="s">
        <v>573</v>
      </c>
      <c r="D2551" s="2" t="str">
        <f t="shared" si="38"/>
        <v>Error?</v>
      </c>
    </row>
    <row r="2552" spans="1:4" x14ac:dyDescent="0.2">
      <c r="A2552" s="10">
        <v>2491</v>
      </c>
      <c r="D2552" s="2" t="str">
        <f t="shared" si="38"/>
        <v>OK</v>
      </c>
    </row>
    <row r="2553" spans="1:4" x14ac:dyDescent="0.2">
      <c r="A2553" s="5">
        <v>2492</v>
      </c>
      <c r="B2553" s="138">
        <f>'Acct Summary 7-8'!C6</f>
        <v>617721</v>
      </c>
      <c r="C2553" s="2" t="s">
        <v>573</v>
      </c>
      <c r="D2553" s="2" t="str">
        <f t="shared" si="38"/>
        <v>Error?</v>
      </c>
    </row>
    <row r="2554" spans="1:4" x14ac:dyDescent="0.2">
      <c r="A2554" s="5">
        <v>2493</v>
      </c>
      <c r="B2554" s="138">
        <f>'Acct Summary 7-8'!C7</f>
        <v>277952</v>
      </c>
      <c r="C2554" s="2" t="s">
        <v>573</v>
      </c>
      <c r="D2554" s="2" t="str">
        <f t="shared" si="38"/>
        <v>Error?</v>
      </c>
    </row>
    <row r="2555" spans="1:4" x14ac:dyDescent="0.2">
      <c r="A2555" s="5">
        <v>2494</v>
      </c>
      <c r="B2555" s="138">
        <f>'Acct Summary 7-8'!C8</f>
        <v>2872149</v>
      </c>
      <c r="C2555" s="2" t="s">
        <v>573</v>
      </c>
      <c r="D2555" s="2" t="str">
        <f t="shared" si="38"/>
        <v>Error?</v>
      </c>
    </row>
    <row r="2556" spans="1:4" x14ac:dyDescent="0.2">
      <c r="A2556" s="5">
        <v>2495</v>
      </c>
      <c r="B2556" s="138">
        <f>'Acct Summary 7-8'!C12</f>
        <v>1974748</v>
      </c>
      <c r="C2556" s="2" t="s">
        <v>573</v>
      </c>
      <c r="D2556" s="2" t="str">
        <f t="shared" si="38"/>
        <v>Error?</v>
      </c>
    </row>
    <row r="2557" spans="1:4" x14ac:dyDescent="0.2">
      <c r="A2557" s="5">
        <v>2496</v>
      </c>
      <c r="B2557" s="138">
        <f>'Acct Summary 7-8'!C13</f>
        <v>713845</v>
      </c>
      <c r="C2557" s="2" t="s">
        <v>573</v>
      </c>
      <c r="D2557" s="2" t="str">
        <f t="shared" si="38"/>
        <v>Error?</v>
      </c>
    </row>
    <row r="2558" spans="1:4" x14ac:dyDescent="0.2">
      <c r="A2558" s="5">
        <v>2497</v>
      </c>
      <c r="B2558" s="138">
        <f>'Acct Summary 7-8'!C14</f>
        <v>26181</v>
      </c>
      <c r="C2558" s="2" t="s">
        <v>573</v>
      </c>
      <c r="D2558" s="2" t="str">
        <f t="shared" si="38"/>
        <v>Error?</v>
      </c>
    </row>
    <row r="2559" spans="1:4" x14ac:dyDescent="0.2">
      <c r="A2559" s="5">
        <v>2498</v>
      </c>
      <c r="B2559" s="138">
        <f>'Acct Summary 7-8'!C15</f>
        <v>567977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3282751</v>
      </c>
      <c r="C2561" s="2" t="s">
        <v>573</v>
      </c>
      <c r="D2561" s="2" t="str">
        <f t="shared" si="39"/>
        <v>Error?</v>
      </c>
    </row>
    <row r="2562" spans="1:4" x14ac:dyDescent="0.2">
      <c r="A2562" s="5">
        <v>2501</v>
      </c>
      <c r="B2562" s="138">
        <f>'Acct Summary 7-8'!C20</f>
        <v>-410602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376691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376691</v>
      </c>
      <c r="C2568" s="2" t="s">
        <v>573</v>
      </c>
      <c r="D2568" s="2" t="str">
        <f t="shared" si="39"/>
        <v>Error?</v>
      </c>
    </row>
    <row r="2569" spans="1:4" x14ac:dyDescent="0.2">
      <c r="A2569" s="5">
        <v>2508</v>
      </c>
      <c r="B2569" s="138">
        <f>'Acct Summary 7-8'!D13</f>
        <v>295364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5313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300677</v>
      </c>
      <c r="C2573" s="2" t="s">
        <v>573</v>
      </c>
      <c r="D2573" s="2" t="str">
        <f t="shared" si="39"/>
        <v>Error?</v>
      </c>
    </row>
    <row r="2574" spans="1:4" x14ac:dyDescent="0.2">
      <c r="A2574" s="5">
        <v>2513</v>
      </c>
      <c r="B2574" s="138">
        <f>'Acct Summary 7-8'!D20</f>
        <v>76014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116443</v>
      </c>
      <c r="C2591" s="2" t="s">
        <v>573</v>
      </c>
      <c r="D2591" s="2" t="str">
        <f t="shared" si="39"/>
        <v>Error?</v>
      </c>
    </row>
    <row r="2592" spans="1:4" x14ac:dyDescent="0.2">
      <c r="A2592" s="10">
        <v>2531</v>
      </c>
      <c r="D2592" s="2" t="str">
        <f t="shared" si="39"/>
        <v>OK</v>
      </c>
    </row>
    <row r="2593" spans="1:4" x14ac:dyDescent="0.2">
      <c r="A2593" s="5">
        <v>2532</v>
      </c>
      <c r="B2593" s="138">
        <f>'Acct Summary 7-8'!F6</f>
        <v>581855</v>
      </c>
      <c r="C2593" s="2" t="s">
        <v>573</v>
      </c>
      <c r="D2593" s="2" t="str">
        <f t="shared" si="39"/>
        <v>Error?</v>
      </c>
    </row>
    <row r="2594" spans="1:4" x14ac:dyDescent="0.2">
      <c r="A2594" s="5">
        <v>2533</v>
      </c>
      <c r="B2594" s="138">
        <f>'Acct Summary 7-8'!F7</f>
        <v>7743</v>
      </c>
      <c r="C2594" s="2" t="s">
        <v>573</v>
      </c>
      <c r="D2594" s="2" t="str">
        <f t="shared" si="39"/>
        <v>Error?</v>
      </c>
    </row>
    <row r="2595" spans="1:4" x14ac:dyDescent="0.2">
      <c r="A2595" s="5">
        <v>2534</v>
      </c>
      <c r="B2595" s="138">
        <f>'Acct Summary 7-8'!F8</f>
        <v>706041</v>
      </c>
      <c r="C2595" s="2" t="s">
        <v>573</v>
      </c>
      <c r="D2595" s="2" t="str">
        <f t="shared" si="39"/>
        <v>Error?</v>
      </c>
    </row>
    <row r="2596" spans="1:4" x14ac:dyDescent="0.2">
      <c r="A2596" s="5">
        <v>2535</v>
      </c>
      <c r="B2596" s="138">
        <f>'Acct Summary 7-8'!F13</f>
        <v>358285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358285</v>
      </c>
      <c r="C2600" s="2" t="s">
        <v>573</v>
      </c>
      <c r="D2600" s="2" t="str">
        <f t="shared" si="39"/>
        <v>Error?</v>
      </c>
    </row>
    <row r="2601" spans="1:4" x14ac:dyDescent="0.2">
      <c r="A2601" s="5">
        <v>2540</v>
      </c>
      <c r="B2601" s="138">
        <f>'Acct Summary 7-8'!F20</f>
        <v>347756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164576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164576</v>
      </c>
      <c r="C2606" s="2" t="s">
        <v>573</v>
      </c>
      <c r="D2606" s="2" t="str">
        <f t="shared" si="39"/>
        <v>Error?</v>
      </c>
    </row>
    <row r="2607" spans="1:4" x14ac:dyDescent="0.2">
      <c r="A2607" s="5">
        <v>2546</v>
      </c>
      <c r="B2607" s="138">
        <f>'Acct Summary 7-8'!G12</f>
        <v>45558</v>
      </c>
      <c r="C2607" s="2" t="s">
        <v>573</v>
      </c>
      <c r="D2607" s="2" t="str">
        <f t="shared" si="39"/>
        <v>Error?</v>
      </c>
    </row>
    <row r="2608" spans="1:4" x14ac:dyDescent="0.2">
      <c r="A2608" s="5">
        <v>2547</v>
      </c>
      <c r="B2608" s="138">
        <f>'Acct Summary 7-8'!G13</f>
        <v>104155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149713</v>
      </c>
      <c r="C2612" s="2" t="s">
        <v>573</v>
      </c>
      <c r="D2612" s="2" t="str">
        <f t="shared" si="39"/>
        <v>Error?</v>
      </c>
    </row>
    <row r="2613" spans="1:4" x14ac:dyDescent="0.2">
      <c r="A2613" s="5">
        <v>2552</v>
      </c>
      <c r="B2613" s="138">
        <f>'Acct Summary 7-8'!G20</f>
        <v>14863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269589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269589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269608</v>
      </c>
      <c r="C2634" s="2" t="s">
        <v>573</v>
      </c>
      <c r="D2634" s="2" t="str">
        <f t="shared" si="40"/>
        <v>Error?</v>
      </c>
    </row>
    <row r="2635" spans="1:4" x14ac:dyDescent="0.2">
      <c r="A2635" s="5">
        <v>2574</v>
      </c>
      <c r="B2635" s="138">
        <f>'Acct Summary 7-8'!E17</f>
        <v>269608</v>
      </c>
      <c r="C2635" s="2" t="s">
        <v>573</v>
      </c>
      <c r="D2635" s="2" t="str">
        <f t="shared" si="40"/>
        <v>Error?</v>
      </c>
    </row>
    <row r="2636" spans="1:4" x14ac:dyDescent="0.2">
      <c r="A2636" s="5">
        <v>2575</v>
      </c>
      <c r="B2636" s="138">
        <f>'Acct Summary 7-8'!E20</f>
        <v>-19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57993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57993</v>
      </c>
      <c r="C2658" s="2" t="s">
        <v>573</v>
      </c>
      <c r="D2658" s="2" t="str">
        <f t="shared" si="40"/>
        <v>Error?</v>
      </c>
    </row>
    <row r="2659" spans="1:4" x14ac:dyDescent="0.2">
      <c r="A2659" s="5">
        <v>2598</v>
      </c>
      <c r="B2659" s="138">
        <f>'Acct Summary 7-8'!H13</f>
        <v>16279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16279</v>
      </c>
      <c r="C2661" s="2" t="s">
        <v>573</v>
      </c>
      <c r="D2661" s="2" t="str">
        <f t="shared" si="40"/>
        <v>Error?</v>
      </c>
    </row>
    <row r="2662" spans="1:4" x14ac:dyDescent="0.2">
      <c r="A2662" s="5">
        <v>2601</v>
      </c>
      <c r="B2662" s="138">
        <f>'Acct Summary 7-8'!H20</f>
        <v>41714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182272</v>
      </c>
      <c r="C2789" s="2" t="s">
        <v>573</v>
      </c>
      <c r="D2789" s="2" t="str">
        <f t="shared" si="42"/>
        <v>Error?</v>
      </c>
    </row>
    <row r="2790" spans="1:4" x14ac:dyDescent="0.2">
      <c r="A2790" s="5">
        <v>2729</v>
      </c>
      <c r="B2790" s="138">
        <f>'Expenditures 15-22'!E102</f>
        <v>182272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57745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57745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30386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57745</v>
      </c>
      <c r="D2912" s="2" t="str">
        <f t="shared" si="44"/>
        <v>Error?</v>
      </c>
    </row>
    <row r="2913" spans="1:4" x14ac:dyDescent="0.2">
      <c r="A2913" s="5">
        <v>2852</v>
      </c>
      <c r="B2913" s="138">
        <f>'Assets-Liab 5-6'!I41</f>
        <v>57745</v>
      </c>
      <c r="C2913" s="2" t="s">
        <v>573</v>
      </c>
      <c r="D2913" s="2" t="str">
        <f t="shared" si="44"/>
        <v>Error?</v>
      </c>
    </row>
    <row r="2914" spans="1:4" x14ac:dyDescent="0.2">
      <c r="A2914" s="5">
        <v>2853</v>
      </c>
      <c r="B2914" s="138">
        <f>'Assets-Liab 5-6'!L33</f>
        <v>30386</v>
      </c>
      <c r="D2914" s="2" t="str">
        <f t="shared" si="44"/>
        <v>Error?</v>
      </c>
    </row>
    <row r="2915" spans="1:4" x14ac:dyDescent="0.2">
      <c r="A2915" s="10">
        <v>2854</v>
      </c>
      <c r="D2915" s="2" t="str">
        <f t="shared" si="44"/>
        <v>OK</v>
      </c>
    </row>
    <row r="2916" spans="1:4" x14ac:dyDescent="0.2">
      <c r="A2916" s="5">
        <v>2855</v>
      </c>
      <c r="B2916" s="138">
        <f>'Assets-Liab 5-6'!L34</f>
        <v>30386</v>
      </c>
      <c r="C2916" s="2" t="s">
        <v>573</v>
      </c>
      <c r="D2916" s="2" t="str">
        <f t="shared" si="44"/>
        <v>Error?</v>
      </c>
    </row>
    <row r="2917" spans="1:4" x14ac:dyDescent="0.2">
      <c r="A2917" s="5">
        <v>2856</v>
      </c>
      <c r="B2917" s="138">
        <f>'Assets-Liab 5-6'!L41</f>
        <v>30386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182272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182272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5313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81172</v>
      </c>
      <c r="D3055" s="2" t="str">
        <f t="shared" si="46"/>
        <v>Error?</v>
      </c>
    </row>
    <row r="3056" spans="1:4" x14ac:dyDescent="0.2">
      <c r="A3056" s="5">
        <v>2995</v>
      </c>
      <c r="B3056" s="138">
        <f>'Expenditures 15-22'!D10</f>
        <v>26253</v>
      </c>
      <c r="D3056" s="2" t="str">
        <f t="shared" si="46"/>
        <v>Error?</v>
      </c>
    </row>
    <row r="3057" spans="1:4" x14ac:dyDescent="0.2">
      <c r="A3057" s="5">
        <v>2996</v>
      </c>
      <c r="B3057" s="138">
        <f>'Expenditures 15-22'!E10</f>
        <v>7000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114425</v>
      </c>
      <c r="C3062" s="2" t="s">
        <v>573</v>
      </c>
      <c r="D3062" s="2" t="str">
        <f t="shared" si="46"/>
        <v>Error?</v>
      </c>
    </row>
    <row r="3063" spans="1:4" x14ac:dyDescent="0.2">
      <c r="A3063" s="10">
        <v>3002</v>
      </c>
      <c r="D3063" s="2" t="str">
        <f t="shared" si="46"/>
        <v>OK</v>
      </c>
    </row>
    <row r="3064" spans="1:4" x14ac:dyDescent="0.2">
      <c r="A3064" s="5">
        <v>3003</v>
      </c>
      <c r="B3064" s="138">
        <f>'Expenditures 15-22'!D219</f>
        <v>6475</v>
      </c>
      <c r="D3064" s="2" t="str">
        <f t="shared" si="46"/>
        <v>Error?</v>
      </c>
    </row>
    <row r="3065" spans="1:4" x14ac:dyDescent="0.2">
      <c r="A3065" s="5">
        <v>3004</v>
      </c>
      <c r="B3065" s="138">
        <f>'Expenditures 15-22'!K219</f>
        <v>6475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26862</v>
      </c>
      <c r="C3225" s="2" t="s">
        <v>573</v>
      </c>
      <c r="D3225" s="2" t="str">
        <f t="shared" si="49"/>
        <v>Error?</v>
      </c>
    </row>
    <row r="3226" spans="1:4" x14ac:dyDescent="0.2">
      <c r="A3226" s="5">
        <v>3165</v>
      </c>
      <c r="B3226" s="138">
        <f>'Acct Summary 7-8'!I8</f>
        <v>26862</v>
      </c>
      <c r="C3226" s="2" t="s">
        <v>573</v>
      </c>
      <c r="D3226" s="2" t="str">
        <f t="shared" si="49"/>
        <v>Error?</v>
      </c>
    </row>
    <row r="3227" spans="1:4" x14ac:dyDescent="0.2">
      <c r="A3227" s="5">
        <v>3166</v>
      </c>
      <c r="B3227" s="138">
        <f>'Acct Summary 7-8'!I20</f>
        <v>26862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1305000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1305000</v>
      </c>
      <c r="C3232" s="2" t="s">
        <v>573</v>
      </c>
      <c r="D3232" s="2" t="str">
        <f t="shared" si="49"/>
        <v>Error?</v>
      </c>
    </row>
    <row r="3233" spans="1:4" x14ac:dyDescent="0.2">
      <c r="A3233" s="5">
        <v>3172</v>
      </c>
      <c r="B3233" s="138">
        <f>'Acct Summary 7-8'!C78</f>
        <v>894398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76014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347756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14863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41714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1305000</v>
      </c>
      <c r="C3317" s="2" t="s">
        <v>573</v>
      </c>
      <c r="D3317" s="2" t="str">
        <f t="shared" si="50"/>
        <v>Error?</v>
      </c>
    </row>
    <row r="3318" spans="1:4" x14ac:dyDescent="0.2">
      <c r="A3318" s="5">
        <v>3257</v>
      </c>
      <c r="B3318" s="138">
        <f>'Acct Summary 7-8'!I76</f>
        <v>1305000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26862</v>
      </c>
      <c r="C3320" s="2" t="s">
        <v>573</v>
      </c>
      <c r="D3320" s="2" t="str">
        <f t="shared" si="50"/>
        <v>Error?</v>
      </c>
    </row>
    <row r="3321" spans="1:4" x14ac:dyDescent="0.2">
      <c r="A3321" s="5">
        <v>3260</v>
      </c>
      <c r="B3321" s="138">
        <f>'Acct Summary 7-8'!I79</f>
        <v>30883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57745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223767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52689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276657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15073</v>
      </c>
      <c r="D3387" s="2" t="str">
        <f t="shared" si="51"/>
        <v>Error?</v>
      </c>
    </row>
    <row r="3388" spans="1:4" x14ac:dyDescent="0.2">
      <c r="A3388" s="5">
        <v>3327</v>
      </c>
      <c r="B3388" s="138">
        <f>'Expenditures 15-22'!D217</f>
        <v>18858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15073</v>
      </c>
      <c r="C3390" s="2" t="s">
        <v>573</v>
      </c>
      <c r="D3390" s="2" t="str">
        <f t="shared" si="51"/>
        <v>Error?</v>
      </c>
    </row>
    <row r="3391" spans="1:4" x14ac:dyDescent="0.2">
      <c r="A3391" s="5">
        <v>3330</v>
      </c>
      <c r="B3391" s="138">
        <f>'Expenditures 15-22'!K217</f>
        <v>18858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9647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5684</v>
      </c>
      <c r="D3417" s="2" t="str">
        <f t="shared" si="52"/>
        <v>Error?</v>
      </c>
    </row>
    <row r="3418" spans="1:4" x14ac:dyDescent="0.2">
      <c r="A3418" s="10">
        <v>3357</v>
      </c>
      <c r="D3418" s="2" t="str">
        <f t="shared" si="52"/>
        <v>OK</v>
      </c>
    </row>
    <row r="3419" spans="1:4" x14ac:dyDescent="0.2">
      <c r="A3419" s="5">
        <v>3358</v>
      </c>
      <c r="B3419" s="138">
        <f>'Assets-Liab 5-6'!F4</f>
        <v>235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30386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78989</v>
      </c>
      <c r="C3446" s="2" t="s">
        <v>573</v>
      </c>
      <c r="D3446" s="2" t="str">
        <f t="shared" si="52"/>
        <v>Error?</v>
      </c>
    </row>
    <row r="3447" spans="1:4" x14ac:dyDescent="0.2">
      <c r="A3447" s="5">
        <v>3386</v>
      </c>
      <c r="B3447" s="138">
        <f>'Tax Sched 23'!D16</f>
        <v>78989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80606</v>
      </c>
      <c r="C3449" s="2" t="s">
        <v>573</v>
      </c>
      <c r="D3449" s="2" t="str">
        <f t="shared" si="52"/>
        <v>Error?</v>
      </c>
    </row>
    <row r="3450" spans="1:4" x14ac:dyDescent="0.2">
      <c r="A3450" s="5">
        <v>3389</v>
      </c>
      <c r="B3450" s="138">
        <f>'Tax Sched 23'!E16</f>
        <v>80606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127835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128714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128714</v>
      </c>
      <c r="D3567" s="2" t="str">
        <f t="shared" si="54"/>
        <v>Error?</v>
      </c>
    </row>
    <row r="3568" spans="1:4" x14ac:dyDescent="0.2">
      <c r="A3568" s="5">
        <v>3507</v>
      </c>
      <c r="B3568" s="138">
        <f>'Assets-Liab 5-6'!K41</f>
        <v>128714</v>
      </c>
      <c r="C3568" s="2" t="s">
        <v>573</v>
      </c>
      <c r="D3568" s="2" t="str">
        <f t="shared" si="54"/>
        <v>Error?</v>
      </c>
    </row>
    <row r="3569" spans="1:4" x14ac:dyDescent="0.2">
      <c r="A3569" s="5">
        <v>3508</v>
      </c>
      <c r="B3569" s="138">
        <f>'Acct Summary 7-8'!K4</f>
        <v>27878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27878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27878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27878</v>
      </c>
      <c r="C3588" s="2" t="s">
        <v>573</v>
      </c>
      <c r="D3588" s="2" t="str">
        <f t="shared" si="55"/>
        <v>Error?</v>
      </c>
    </row>
    <row r="3589" spans="1:4" x14ac:dyDescent="0.2">
      <c r="A3589" s="5">
        <v>3528</v>
      </c>
      <c r="B3589" s="138">
        <f>'Acct Summary 7-8'!K79</f>
        <v>100836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128714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27878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26040</v>
      </c>
      <c r="C3725" s="2" t="s">
        <v>573</v>
      </c>
      <c r="D3725" s="2" t="str">
        <f t="shared" si="57"/>
        <v>Error?</v>
      </c>
    </row>
    <row r="3726" spans="1:4" x14ac:dyDescent="0.2">
      <c r="A3726" s="5">
        <v>3665</v>
      </c>
      <c r="B3726" s="138">
        <f>'Tax Sched 23'!D13</f>
        <v>26040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27122</v>
      </c>
      <c r="C3728" s="2" t="s">
        <v>573</v>
      </c>
      <c r="D3728" s="2" t="str">
        <f t="shared" si="57"/>
        <v>Error?</v>
      </c>
    </row>
    <row r="3729" spans="1:4" x14ac:dyDescent="0.2">
      <c r="A3729" s="5">
        <v>3668</v>
      </c>
      <c r="B3729" s="138">
        <f>'Tax Sched 23'!E13</f>
        <v>27122</v>
      </c>
      <c r="D3729" s="2" t="str">
        <f t="shared" si="57"/>
        <v>Error?</v>
      </c>
    </row>
    <row r="3730" spans="1:4" x14ac:dyDescent="0.2">
      <c r="A3730" s="5">
        <v>3669</v>
      </c>
      <c r="B3730" s="138">
        <f>'ICR Computation 30'!E10</f>
        <v>80792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1274988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4147137</v>
      </c>
      <c r="C4122" s="2" t="s">
        <v>573</v>
      </c>
      <c r="D4122" s="2" t="str">
        <f t="shared" si="63"/>
        <v>Error?</v>
      </c>
    </row>
    <row r="4123" spans="1:4" x14ac:dyDescent="0.2">
      <c r="A4123" s="5">
        <v>4062</v>
      </c>
      <c r="B4123" s="138">
        <f>'Acct Summary 7-8'!D10</f>
        <v>376691</v>
      </c>
      <c r="C4123" s="2" t="s">
        <v>573</v>
      </c>
      <c r="D4123" s="2" t="str">
        <f t="shared" si="63"/>
        <v>Error?</v>
      </c>
    </row>
    <row r="4124" spans="1:4" x14ac:dyDescent="0.2">
      <c r="A4124" s="5">
        <v>4063</v>
      </c>
      <c r="B4124" s="138">
        <f>'Acct Summary 7-8'!E10</f>
        <v>269589</v>
      </c>
      <c r="C4124" s="2" t="s">
        <v>573</v>
      </c>
      <c r="D4124" s="2" t="str">
        <f t="shared" si="63"/>
        <v>Error?</v>
      </c>
    </row>
    <row r="4125" spans="1:4" x14ac:dyDescent="0.2">
      <c r="A4125" s="5">
        <v>4064</v>
      </c>
      <c r="B4125" s="138">
        <f>'Acct Summary 7-8'!F10</f>
        <v>706041</v>
      </c>
      <c r="C4125" s="2" t="s">
        <v>573</v>
      </c>
      <c r="D4125" s="2" t="str">
        <f t="shared" si="63"/>
        <v>Error?</v>
      </c>
    </row>
    <row r="4126" spans="1:4" x14ac:dyDescent="0.2">
      <c r="A4126" s="5">
        <v>4065</v>
      </c>
      <c r="B4126" s="138">
        <f>'Acct Summary 7-8'!G10</f>
        <v>164576</v>
      </c>
      <c r="C4126" s="2" t="s">
        <v>573</v>
      </c>
      <c r="D4126" s="2" t="str">
        <f t="shared" si="63"/>
        <v>Error?</v>
      </c>
    </row>
    <row r="4127" spans="1:4" x14ac:dyDescent="0.2">
      <c r="A4127" s="5">
        <v>4066</v>
      </c>
      <c r="B4127" s="138">
        <f>'Acct Summary 7-8'!H10</f>
        <v>57993</v>
      </c>
      <c r="C4127" s="2" t="s">
        <v>573</v>
      </c>
      <c r="D4127" s="2" t="str">
        <f t="shared" si="63"/>
        <v>Error?</v>
      </c>
    </row>
    <row r="4128" spans="1:4" x14ac:dyDescent="0.2">
      <c r="A4128" s="5">
        <v>4067</v>
      </c>
      <c r="B4128" s="138">
        <f>'Acct Summary 7-8'!I10</f>
        <v>26862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27878</v>
      </c>
      <c r="C4130" s="2" t="s">
        <v>573</v>
      </c>
      <c r="D4130" s="2" t="str">
        <f t="shared" si="63"/>
        <v>Error?</v>
      </c>
    </row>
    <row r="4131" spans="1:4" x14ac:dyDescent="0.2">
      <c r="A4131" s="5">
        <v>4070</v>
      </c>
      <c r="B4131" s="138">
        <f>'Acct Summary 7-8'!C18</f>
        <v>1274988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4557739</v>
      </c>
      <c r="C4136" s="2" t="s">
        <v>573</v>
      </c>
      <c r="D4136" s="2" t="str">
        <f t="shared" si="63"/>
        <v>Error?</v>
      </c>
    </row>
    <row r="4137" spans="1:4" x14ac:dyDescent="0.2">
      <c r="A4137" s="5">
        <v>4076</v>
      </c>
      <c r="B4137" s="138">
        <f>'Acct Summary 7-8'!D19</f>
        <v>300677</v>
      </c>
      <c r="C4137" s="2" t="s">
        <v>573</v>
      </c>
      <c r="D4137" s="2" t="str">
        <f t="shared" si="63"/>
        <v>Error?</v>
      </c>
    </row>
    <row r="4138" spans="1:4" x14ac:dyDescent="0.2">
      <c r="A4138" s="5">
        <v>4077</v>
      </c>
      <c r="B4138" s="138">
        <f>'Acct Summary 7-8'!E19</f>
        <v>269608</v>
      </c>
      <c r="C4138" s="2" t="s">
        <v>573</v>
      </c>
      <c r="D4138" s="2" t="str">
        <f t="shared" si="63"/>
        <v>Error?</v>
      </c>
    </row>
    <row r="4139" spans="1:4" x14ac:dyDescent="0.2">
      <c r="A4139" s="5">
        <v>4078</v>
      </c>
      <c r="B4139" s="138">
        <f>'Acct Summary 7-8'!F19</f>
        <v>358285</v>
      </c>
      <c r="C4139" s="2" t="s">
        <v>573</v>
      </c>
      <c r="D4139" s="2" t="str">
        <f t="shared" si="63"/>
        <v>Error?</v>
      </c>
    </row>
    <row r="4140" spans="1:4" x14ac:dyDescent="0.2">
      <c r="A4140" s="5">
        <v>4079</v>
      </c>
      <c r="B4140" s="138">
        <f>'Acct Summary 7-8'!G19</f>
        <v>149713</v>
      </c>
      <c r="C4140" s="2" t="s">
        <v>573</v>
      </c>
      <c r="D4140" s="2" t="str">
        <f t="shared" si="63"/>
        <v>Error?</v>
      </c>
    </row>
    <row r="4141" spans="1:4" x14ac:dyDescent="0.2">
      <c r="A4141" s="5">
        <v>4080</v>
      </c>
      <c r="B4141" s="138">
        <f>'Acct Summary 7-8'!H19</f>
        <v>16279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1305000</v>
      </c>
      <c r="C4171" s="2" t="s">
        <v>573</v>
      </c>
      <c r="D4171" s="2" t="str">
        <f t="shared" si="64"/>
        <v>Error?</v>
      </c>
    </row>
    <row r="4172" spans="1:4" x14ac:dyDescent="0.2">
      <c r="A4172" s="5">
        <v>4111</v>
      </c>
      <c r="B4172" s="138">
        <f>'Short-Term Long-Term Debt 24'!J49</f>
        <v>1299316</v>
      </c>
      <c r="C4172" s="2" t="s">
        <v>573</v>
      </c>
      <c r="D4172" s="2" t="str">
        <f t="shared" si="64"/>
        <v>Error?</v>
      </c>
    </row>
    <row r="4173" spans="1:4" x14ac:dyDescent="0.2">
      <c r="A4173" s="5">
        <v>4112</v>
      </c>
      <c r="B4173" s="138">
        <f>'Short-Term Long-Term Debt 24'!H49</f>
        <v>265000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5313</v>
      </c>
      <c r="D4201" s="2" t="str">
        <f t="shared" si="64"/>
        <v>Error?</v>
      </c>
    </row>
    <row r="4202" spans="1:4" x14ac:dyDescent="0.2">
      <c r="A4202" s="5">
        <v>4141</v>
      </c>
      <c r="B4202" s="138">
        <f>'Expenditures 15-22'!E137</f>
        <v>5313</v>
      </c>
      <c r="C4202" s="2" t="s">
        <v>573</v>
      </c>
      <c r="D4202" s="2" t="str">
        <f t="shared" si="64"/>
        <v>Error?</v>
      </c>
    </row>
    <row r="4203" spans="1:4" x14ac:dyDescent="0.2">
      <c r="A4203" s="5">
        <v>4142</v>
      </c>
      <c r="B4203" s="138">
        <f>'Expenditures 15-22'!E139</f>
        <v>5313</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3300</v>
      </c>
      <c r="C4265" s="2" t="s">
        <v>573</v>
      </c>
      <c r="D4265" s="2" t="str">
        <f t="shared" si="65"/>
        <v>Error?</v>
      </c>
      <c r="E4265" s="128"/>
    </row>
    <row r="4266" spans="1:5" x14ac:dyDescent="0.2">
      <c r="A4266" s="12">
        <v>4205</v>
      </c>
      <c r="B4266" s="138">
        <f>('FP Info 3'!F10)*100000</f>
        <v>575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4075</v>
      </c>
      <c r="C4268" s="2" t="s">
        <v>573</v>
      </c>
      <c r="D4268" s="2" t="str">
        <f t="shared" si="65"/>
        <v>Error?</v>
      </c>
    </row>
    <row r="4269" spans="1:5" x14ac:dyDescent="0.2">
      <c r="A4269" s="12">
        <v>4208</v>
      </c>
      <c r="B4269" s="138">
        <f>'FP Info 3'!J16</f>
        <v>2756199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6965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9163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7743</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12030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3389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54243924</v>
      </c>
      <c r="D4995" s="2" t="str">
        <f t="shared" si="77"/>
        <v>Error?</v>
      </c>
    </row>
    <row r="4996" spans="1:4" x14ac:dyDescent="0.2">
      <c r="A4996" s="12">
        <v>4935</v>
      </c>
      <c r="B4996" s="138">
        <f>'FP Info 3'!H31</f>
        <v>7485661.512000001</v>
      </c>
      <c r="D4996" s="2" t="str">
        <f t="shared" si="77"/>
        <v>Error?</v>
      </c>
    </row>
    <row r="4997" spans="1:4" x14ac:dyDescent="0.2">
      <c r="A4997" s="12">
        <v>4936</v>
      </c>
      <c r="B4997" s="138">
        <f>'FP Info 3'!H37</f>
        <v>1305000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26040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1718558</v>
      </c>
      <c r="D5061" s="2" t="str">
        <f t="shared" si="78"/>
        <v>Error?</v>
      </c>
    </row>
    <row r="5062" spans="1:4" x14ac:dyDescent="0.2">
      <c r="A5062" s="10">
        <v>5001</v>
      </c>
      <c r="D5062" s="2" t="str">
        <f t="shared" si="78"/>
        <v>OK</v>
      </c>
    </row>
    <row r="5063" spans="1:4" x14ac:dyDescent="0.2">
      <c r="A5063" s="5">
        <v>5002</v>
      </c>
      <c r="B5063" s="138">
        <f>'Revenues 9-14'!C7</f>
        <v>20831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1765429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1105</v>
      </c>
      <c r="D5070" s="2" t="str">
        <f t="shared" si="78"/>
        <v>Error?</v>
      </c>
    </row>
    <row r="5071" spans="1:4" x14ac:dyDescent="0.2">
      <c r="A5071" s="5">
        <v>5010</v>
      </c>
      <c r="B5071" s="138">
        <f>'Revenues 9-14'!C18</f>
        <v>1105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37712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37712</v>
      </c>
      <c r="C5090" s="2" t="s">
        <v>573</v>
      </c>
      <c r="D5090" s="2" t="str">
        <f t="shared" si="78"/>
        <v>Error?</v>
      </c>
    </row>
    <row r="5091" spans="1:4" x14ac:dyDescent="0.2">
      <c r="A5091" s="5">
        <v>5030</v>
      </c>
      <c r="B5091" s="138">
        <f>'Revenues 9-14'!C70</f>
        <v>70</v>
      </c>
      <c r="D5091" s="2" t="str">
        <f t="shared" si="78"/>
        <v>Error?</v>
      </c>
    </row>
    <row r="5092" spans="1:4" x14ac:dyDescent="0.2">
      <c r="A5092" s="5">
        <v>5031</v>
      </c>
      <c r="B5092" s="138">
        <f>'Revenues 9-14'!C71</f>
        <v>5359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50281</v>
      </c>
      <c r="C5096" s="2" t="s">
        <v>573</v>
      </c>
      <c r="D5096" s="2" t="str">
        <f t="shared" si="78"/>
        <v>Error?</v>
      </c>
    </row>
    <row r="5097" spans="1:4" x14ac:dyDescent="0.2">
      <c r="A5097" s="5">
        <v>5036</v>
      </c>
      <c r="B5097" s="138">
        <f>'Revenues 9-14'!C77</f>
        <v>7337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7337</v>
      </c>
      <c r="C5102" s="2" t="s">
        <v>573</v>
      </c>
      <c r="D5102" s="2" t="str">
        <f t="shared" si="78"/>
        <v>Error?</v>
      </c>
    </row>
    <row r="5103" spans="1:4" x14ac:dyDescent="0.2">
      <c r="A5103" s="5">
        <v>5042</v>
      </c>
      <c r="B5103" s="138">
        <f>'Revenues 9-14'!C84</f>
        <v>11593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11593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15000</v>
      </c>
      <c r="D5114" s="2" t="str">
        <f t="shared" si="78"/>
        <v>Error?</v>
      </c>
    </row>
    <row r="5115" spans="1:4" x14ac:dyDescent="0.2">
      <c r="A5115" s="5">
        <v>5054</v>
      </c>
      <c r="B5115" s="138">
        <f>'Revenues 9-14'!C98</f>
        <v>6857</v>
      </c>
      <c r="D5115" s="2" t="str">
        <f t="shared" si="78"/>
        <v>Error?</v>
      </c>
    </row>
    <row r="5116" spans="1:4" x14ac:dyDescent="0.2">
      <c r="A5116" s="5">
        <v>5055</v>
      </c>
      <c r="B5116" s="138">
        <f>'Revenues 9-14'!C99</f>
        <v>10102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47993</v>
      </c>
      <c r="D5118" s="2" t="str">
        <f t="shared" si="78"/>
        <v>Error?</v>
      </c>
    </row>
    <row r="5119" spans="1:4" x14ac:dyDescent="0.2">
      <c r="A5119" s="5">
        <v>5058</v>
      </c>
      <c r="B5119" s="138">
        <f>'Revenues 9-14'!C107</f>
        <v>11037</v>
      </c>
      <c r="D5119" s="2" t="str">
        <f t="shared" ref="D5119:D5182" si="79">IF(ISBLANK(B5119),"OK",IF(A5119-B5119=0,"OK","Error?"))</f>
        <v>Error?</v>
      </c>
    </row>
    <row r="5120" spans="1:4" x14ac:dyDescent="0.2">
      <c r="A5120" s="5">
        <v>5059</v>
      </c>
      <c r="B5120" s="138">
        <f>'Revenues 9-14'!C108</f>
        <v>103019</v>
      </c>
      <c r="C5120" s="2" t="s">
        <v>573</v>
      </c>
      <c r="D5120" s="2" t="str">
        <f t="shared" si="79"/>
        <v>Error?</v>
      </c>
    </row>
    <row r="5121" spans="1:4" x14ac:dyDescent="0.2">
      <c r="A5121" s="5">
        <v>5060</v>
      </c>
      <c r="B5121" s="138">
        <f>'Revenues 9-14'!C109</f>
        <v>1976476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566169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566169</v>
      </c>
      <c r="C5132" s="2" t="s">
        <v>573</v>
      </c>
      <c r="D5132" s="2" t="str">
        <f t="shared" si="79"/>
        <v>Error?</v>
      </c>
    </row>
    <row r="5133" spans="1:4" x14ac:dyDescent="0.2">
      <c r="A5133" s="5">
        <v>5072</v>
      </c>
      <c r="B5133" s="138">
        <f>'Revenues 9-14'!C125</f>
        <v>24060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13533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37593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3872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3872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1334</v>
      </c>
      <c r="D5167" s="2" t="str">
        <f t="shared" si="79"/>
        <v>Error?</v>
      </c>
    </row>
    <row r="5168" spans="1:4" x14ac:dyDescent="0.2">
      <c r="A5168" s="5">
        <v>5107</v>
      </c>
      <c r="B5168" s="138">
        <f>'Revenues 9-14'!C148</f>
        <v>5364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51552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617721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71060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9732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80792</v>
      </c>
      <c r="C5246" s="2" t="s">
        <v>573</v>
      </c>
      <c r="D5246" s="2" t="str">
        <f t="shared" si="80"/>
        <v>Error?</v>
      </c>
    </row>
    <row r="5247" spans="1:4" x14ac:dyDescent="0.2">
      <c r="A5247" s="5">
        <v>5186</v>
      </c>
      <c r="B5247" s="138">
        <f>'Revenues 9-14'!C200</f>
        <v>73802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9163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73802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94563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94563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12667</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277952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277952</v>
      </c>
      <c r="C5326" s="2" t="s">
        <v>573</v>
      </c>
      <c r="D5326" s="2" t="str">
        <f t="shared" si="82"/>
        <v>Error?</v>
      </c>
    </row>
    <row r="5327" spans="1:5" x14ac:dyDescent="0.2">
      <c r="A5327" s="5">
        <v>5266</v>
      </c>
      <c r="B5327" s="138">
        <f>'Revenues 9-14'!C268</f>
        <v>2872149</v>
      </c>
      <c r="C5327" s="2" t="s">
        <v>573</v>
      </c>
      <c r="D5327" s="2" t="str">
        <f t="shared" si="82"/>
        <v>Error?</v>
      </c>
    </row>
    <row r="5328" spans="1:5" x14ac:dyDescent="0.2">
      <c r="A5328" s="5">
        <v>5267</v>
      </c>
      <c r="B5328" s="138">
        <f>'Revenues 9-14'!D5</f>
        <v>299445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299445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70094</v>
      </c>
      <c r="D5337" s="2" t="str">
        <f t="shared" si="82"/>
        <v>Error?</v>
      </c>
    </row>
    <row r="5338" spans="1:4" x14ac:dyDescent="0.2">
      <c r="A5338" s="5">
        <v>5277</v>
      </c>
      <c r="B5338" s="138">
        <f>'Revenues 9-14'!D17</f>
        <v>187</v>
      </c>
      <c r="D5338" s="2" t="str">
        <f t="shared" si="82"/>
        <v>Error?</v>
      </c>
    </row>
    <row r="5339" spans="1:4" x14ac:dyDescent="0.2">
      <c r="A5339" s="5">
        <v>5278</v>
      </c>
      <c r="B5339" s="138">
        <f>'Revenues 9-14'!D18</f>
        <v>70281</v>
      </c>
      <c r="C5339" s="2" t="s">
        <v>573</v>
      </c>
      <c r="D5339" s="2" t="str">
        <f t="shared" si="82"/>
        <v>Error?</v>
      </c>
    </row>
    <row r="5340" spans="1:4" x14ac:dyDescent="0.2">
      <c r="A5340" s="5">
        <v>5279</v>
      </c>
      <c r="B5340" s="138">
        <f>'Revenues 9-14'!D65</f>
        <v>5186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1779</v>
      </c>
      <c r="D5354" s="2" t="str">
        <f t="shared" si="82"/>
        <v>Error?</v>
      </c>
    </row>
    <row r="5355" spans="1:4" x14ac:dyDescent="0.2">
      <c r="A5355" s="5">
        <v>5294</v>
      </c>
      <c r="B5355" s="138">
        <f>'Revenues 9-14'!D108</f>
        <v>1779</v>
      </c>
      <c r="C5355" s="2" t="s">
        <v>573</v>
      </c>
      <c r="D5355" s="2" t="str">
        <f t="shared" si="82"/>
        <v>Error?</v>
      </c>
    </row>
    <row r="5356" spans="1:4" x14ac:dyDescent="0.2">
      <c r="A5356" s="5">
        <v>5295</v>
      </c>
      <c r="B5356" s="138">
        <f>'Revenues 9-14'!D109</f>
        <v>376691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376691</v>
      </c>
      <c r="C5508" s="2" t="s">
        <v>573</v>
      </c>
      <c r="D5508" s="2" t="str">
        <f t="shared" si="85"/>
        <v>Error?</v>
      </c>
    </row>
    <row r="5509" spans="1:4" x14ac:dyDescent="0.2">
      <c r="A5509" s="5">
        <v>5448</v>
      </c>
      <c r="B5509" s="138">
        <f>'Revenues 9-14'!E5</f>
        <v>268404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268404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169</v>
      </c>
      <c r="D5517" s="2" t="str">
        <f t="shared" si="85"/>
        <v>Error?</v>
      </c>
    </row>
    <row r="5518" spans="1:4" x14ac:dyDescent="0.2">
      <c r="A5518" s="5">
        <v>5457</v>
      </c>
      <c r="B5518" s="138">
        <f>'Revenues 9-14'!E18</f>
        <v>169</v>
      </c>
      <c r="C5518" s="2" t="s">
        <v>573</v>
      </c>
      <c r="D5518" s="2" t="str">
        <f t="shared" si="85"/>
        <v>Error?</v>
      </c>
    </row>
    <row r="5519" spans="1:4" x14ac:dyDescent="0.2">
      <c r="A5519" s="5">
        <v>5458</v>
      </c>
      <c r="B5519" s="138">
        <f>'Revenues 9-14'!E65</f>
        <v>1016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269589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269589</v>
      </c>
      <c r="C5552" s="2" t="s">
        <v>573</v>
      </c>
      <c r="D5552" s="2" t="str">
        <f t="shared" si="85"/>
        <v>Error?</v>
      </c>
    </row>
    <row r="5553" spans="1:4" x14ac:dyDescent="0.2">
      <c r="A5553" s="5">
        <v>5492</v>
      </c>
      <c r="B5553" s="138">
        <f>'Revenues 9-14'!F5</f>
        <v>104154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104154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65</v>
      </c>
      <c r="D5561" s="2" t="str">
        <f t="shared" si="85"/>
        <v>Error?</v>
      </c>
    </row>
    <row r="5562" spans="1:4" x14ac:dyDescent="0.2">
      <c r="A5562" s="5">
        <v>5501</v>
      </c>
      <c r="B5562" s="138">
        <f>'Revenues 9-14'!F18</f>
        <v>65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7502</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7502</v>
      </c>
      <c r="C5579" s="2" t="s">
        <v>573</v>
      </c>
      <c r="D5579" s="2" t="str">
        <f t="shared" si="86"/>
        <v>Error?</v>
      </c>
    </row>
    <row r="5580" spans="1:4" x14ac:dyDescent="0.2">
      <c r="A5580" s="5">
        <v>5519</v>
      </c>
      <c r="B5580" s="138">
        <f>'Revenues 9-14'!F65</f>
        <v>4372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4372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350</v>
      </c>
      <c r="D5586" s="2" t="str">
        <f t="shared" si="86"/>
        <v>Error?</v>
      </c>
    </row>
    <row r="5587" spans="1:4" x14ac:dyDescent="0.2">
      <c r="A5587" s="5">
        <v>5526</v>
      </c>
      <c r="B5587" s="138">
        <f>'Revenues 9-14'!F108</f>
        <v>350</v>
      </c>
      <c r="C5587" s="2" t="s">
        <v>573</v>
      </c>
      <c r="D5587" s="2" t="str">
        <f t="shared" si="86"/>
        <v>Error?</v>
      </c>
    </row>
    <row r="5588" spans="1:4" x14ac:dyDescent="0.2">
      <c r="A5588" s="5">
        <v>5527</v>
      </c>
      <c r="B5588" s="138">
        <f>'Revenues 9-14'!F109</f>
        <v>116443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57811</v>
      </c>
      <c r="D5615" s="2" t="str">
        <f t="shared" si="86"/>
        <v>Error?</v>
      </c>
    </row>
    <row r="5616" spans="1:4" x14ac:dyDescent="0.2">
      <c r="A5616" s="10">
        <v>5555</v>
      </c>
      <c r="D5616" s="2" t="str">
        <f t="shared" si="86"/>
        <v>OK</v>
      </c>
    </row>
    <row r="5617" spans="1:5" x14ac:dyDescent="0.2">
      <c r="A5617" s="5">
        <v>5556</v>
      </c>
      <c r="B5617" s="138">
        <f>'Revenues 9-14'!F153</f>
        <v>124044</v>
      </c>
      <c r="D5617" s="2" t="str">
        <f t="shared" si="86"/>
        <v>Error?</v>
      </c>
    </row>
    <row r="5618" spans="1:5" x14ac:dyDescent="0.2">
      <c r="A5618" s="5">
        <v>5557</v>
      </c>
      <c r="B5618" s="138">
        <f>'Revenues 9-14'!F155</f>
        <v>181855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181855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581855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7743</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7743</v>
      </c>
      <c r="C5719" s="2" t="s">
        <v>573</v>
      </c>
      <c r="D5719" s="2" t="str">
        <f t="shared" si="88"/>
        <v>Error?</v>
      </c>
    </row>
    <row r="5720" spans="1:4" x14ac:dyDescent="0.2">
      <c r="A5720" s="5">
        <v>5659</v>
      </c>
      <c r="B5720" s="138">
        <f>'Revenues 9-14'!F268</f>
        <v>706041</v>
      </c>
      <c r="C5720" s="2" t="s">
        <v>573</v>
      </c>
      <c r="D5720" s="2" t="str">
        <f t="shared" si="88"/>
        <v>Error?</v>
      </c>
    </row>
    <row r="5721" spans="1:4" x14ac:dyDescent="0.2">
      <c r="A5721" s="5">
        <v>5660</v>
      </c>
      <c r="B5721" s="138">
        <f>'Revenues 9-14'!G5</f>
        <v>78989</v>
      </c>
      <c r="D5721" s="2" t="str">
        <f t="shared" si="88"/>
        <v>Error?</v>
      </c>
    </row>
    <row r="5722" spans="1:4" x14ac:dyDescent="0.2">
      <c r="A5722" s="5">
        <v>5661</v>
      </c>
      <c r="B5722" s="138">
        <f>'Revenues 9-14'!G7</f>
        <v>0</v>
      </c>
      <c r="D5722" s="2" t="str">
        <f t="shared" si="88"/>
        <v>Error?</v>
      </c>
    </row>
    <row r="5723" spans="1:4" x14ac:dyDescent="0.2">
      <c r="A5723" s="5">
        <v>5662</v>
      </c>
      <c r="B5723" s="138">
        <f>'Revenues 9-14'!G8</f>
        <v>78989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157978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3796</v>
      </c>
      <c r="D5728" s="2" t="str">
        <f t="shared" si="88"/>
        <v>Error?</v>
      </c>
    </row>
    <row r="5729" spans="1:4" x14ac:dyDescent="0.2">
      <c r="A5729" s="5">
        <v>5668</v>
      </c>
      <c r="B5729" s="138">
        <f>'Revenues 9-14'!G17</f>
        <v>100</v>
      </c>
      <c r="D5729" s="2" t="str">
        <f t="shared" si="88"/>
        <v>Error?</v>
      </c>
    </row>
    <row r="5730" spans="1:4" x14ac:dyDescent="0.2">
      <c r="A5730" s="5">
        <v>5669</v>
      </c>
      <c r="B5730" s="138">
        <f>'Revenues 9-14'!G18</f>
        <v>3896</v>
      </c>
      <c r="C5730" s="2" t="s">
        <v>573</v>
      </c>
      <c r="D5730" s="2" t="str">
        <f t="shared" si="88"/>
        <v>Error?</v>
      </c>
    </row>
    <row r="5731" spans="1:4" x14ac:dyDescent="0.2">
      <c r="A5731" s="5">
        <v>5670</v>
      </c>
      <c r="B5731" s="138">
        <f>'Revenues 9-14'!G65</f>
        <v>2702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2702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164576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57691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57993</v>
      </c>
      <c r="C5915" s="2" t="s">
        <v>573</v>
      </c>
      <c r="D5915" s="2" t="str">
        <f t="shared" si="91"/>
        <v>Error?</v>
      </c>
    </row>
    <row r="5916" spans="1:4" x14ac:dyDescent="0.2">
      <c r="A5916" s="5">
        <v>5855</v>
      </c>
      <c r="B5916" s="138">
        <f>'Revenues 9-14'!I5</f>
        <v>26040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26040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16</v>
      </c>
      <c r="D5922" s="2" t="str">
        <f t="shared" si="91"/>
        <v>Error?</v>
      </c>
    </row>
    <row r="5923" spans="1:4" x14ac:dyDescent="0.2">
      <c r="A5923" s="5">
        <v>5862</v>
      </c>
      <c r="B5923" s="138">
        <f>'Revenues 9-14'!I18</f>
        <v>16</v>
      </c>
      <c r="C5923" s="2" t="s">
        <v>573</v>
      </c>
      <c r="D5923" s="2" t="str">
        <f t="shared" si="91"/>
        <v>Error?</v>
      </c>
    </row>
    <row r="5924" spans="1:4" x14ac:dyDescent="0.2">
      <c r="A5924" s="5">
        <v>5863</v>
      </c>
      <c r="B5924" s="138">
        <f>'Revenues 9-14'!I65</f>
        <v>806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806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26862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26040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26040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16</v>
      </c>
      <c r="D5991" s="2" t="str">
        <f t="shared" si="92"/>
        <v>Error?</v>
      </c>
    </row>
    <row r="5992" spans="1:4" x14ac:dyDescent="0.2">
      <c r="A5992" s="5">
        <v>5931</v>
      </c>
      <c r="B5992" s="138">
        <f>'Revenues 9-14'!K18</f>
        <v>16</v>
      </c>
      <c r="C5992" s="2" t="s">
        <v>573</v>
      </c>
      <c r="D5992" s="2" t="str">
        <f t="shared" si="92"/>
        <v>Error?</v>
      </c>
    </row>
    <row r="5993" spans="1:4" x14ac:dyDescent="0.2">
      <c r="A5993" s="5">
        <v>5932</v>
      </c>
      <c r="B5993" s="138">
        <f>'Revenues 9-14'!K65</f>
        <v>1822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1822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27878</v>
      </c>
      <c r="C6023" s="2" t="s">
        <v>573</v>
      </c>
      <c r="D6023" s="2" t="str">
        <f t="shared" si="93"/>
        <v>Error?</v>
      </c>
    </row>
    <row r="6024" spans="1:5" x14ac:dyDescent="0.2">
      <c r="A6024" s="5">
        <v>5963</v>
      </c>
      <c r="B6024" s="138">
        <f>'Revenues 9-14'!G109</f>
        <v>164576</v>
      </c>
      <c r="C6024" s="2" t="s">
        <v>573</v>
      </c>
      <c r="D6024" s="2" t="str">
        <f t="shared" si="93"/>
        <v>Error?</v>
      </c>
    </row>
    <row r="6025" spans="1:5" x14ac:dyDescent="0.2">
      <c r="A6025" s="5">
        <v>5964</v>
      </c>
      <c r="B6025" s="138">
        <f>'Revenues 9-14'!H109</f>
        <v>57993</v>
      </c>
      <c r="C6025" s="2" t="s">
        <v>573</v>
      </c>
      <c r="D6025" s="2" t="str">
        <f t="shared" si="93"/>
        <v>Error?</v>
      </c>
    </row>
    <row r="6026" spans="1:5" x14ac:dyDescent="0.2">
      <c r="A6026" s="5">
        <v>5965</v>
      </c>
      <c r="B6026" s="138">
        <f>'Revenues 9-14'!I109</f>
        <v>26862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27878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43722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13046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310.5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155871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99068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155871</v>
      </c>
      <c r="D6215" s="2" t="str">
        <f t="shared" si="96"/>
        <v>Error?</v>
      </c>
      <c r="E6215" s="2" t="s">
        <v>190</v>
      </c>
    </row>
    <row r="6216" spans="1:5" x14ac:dyDescent="0.2">
      <c r="A6216">
        <v>6155</v>
      </c>
      <c r="B6216" s="138">
        <f>'Assets-Liab 5-6'!J41</f>
        <v>155871</v>
      </c>
      <c r="D6216" s="2" t="str">
        <f t="shared" si="96"/>
        <v>Error?</v>
      </c>
      <c r="E6216" s="2" t="s">
        <v>190</v>
      </c>
    </row>
    <row r="6217" spans="1:5" x14ac:dyDescent="0.2">
      <c r="A6217">
        <v>6156</v>
      </c>
      <c r="B6217" s="138">
        <f>'Assets-Liab 5-6'!J4</f>
        <v>1400</v>
      </c>
      <c r="D6217" s="2" t="str">
        <f t="shared" si="96"/>
        <v>Error?</v>
      </c>
      <c r="E6217" s="2" t="s">
        <v>190</v>
      </c>
    </row>
    <row r="6218" spans="1:5" x14ac:dyDescent="0.2">
      <c r="A6218">
        <v>6157</v>
      </c>
      <c r="B6218" s="138">
        <f>'Assets-Liab 5-6'!J5</f>
        <v>154471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208336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208336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208336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199325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199325</v>
      </c>
      <c r="D6229" s="2" t="str">
        <f t="shared" si="96"/>
        <v>Error?</v>
      </c>
      <c r="E6229" s="2" t="s">
        <v>190</v>
      </c>
    </row>
    <row r="6230" spans="1:5" x14ac:dyDescent="0.2">
      <c r="A6230">
        <v>6169</v>
      </c>
      <c r="B6230" s="138">
        <f>'Acct Summary 7-8'!J20</f>
        <v>9011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9011</v>
      </c>
      <c r="D6263" s="2" t="str">
        <f t="shared" si="96"/>
        <v>Error?</v>
      </c>
      <c r="E6263" s="2" t="s">
        <v>190</v>
      </c>
    </row>
    <row r="6264" spans="1:5" x14ac:dyDescent="0.2">
      <c r="A6264">
        <v>6203</v>
      </c>
      <c r="B6264" s="138">
        <f>'Acct Summary 7-8'!J79</f>
        <v>146860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155871</v>
      </c>
      <c r="D6266" s="2" t="str">
        <f t="shared" si="96"/>
        <v>Error?</v>
      </c>
      <c r="E6266" s="2" t="s">
        <v>190</v>
      </c>
    </row>
    <row r="6267" spans="1:5" x14ac:dyDescent="0.2">
      <c r="A6267">
        <v>6206</v>
      </c>
      <c r="B6267" s="138">
        <f>'Acct Summary 7-8'!C82</f>
        <v>894398</v>
      </c>
      <c r="D6267" s="2" t="str">
        <f t="shared" si="96"/>
        <v>Error?</v>
      </c>
      <c r="E6267" s="2" t="s">
        <v>190</v>
      </c>
    </row>
    <row r="6268" spans="1:5" x14ac:dyDescent="0.2">
      <c r="A6268">
        <v>6207</v>
      </c>
      <c r="B6268" s="138">
        <f>'Acct Summary 7-8'!D82</f>
        <v>76014</v>
      </c>
      <c r="D6268" s="2" t="str">
        <f t="shared" si="96"/>
        <v>Error?</v>
      </c>
      <c r="E6268" s="2" t="s">
        <v>190</v>
      </c>
    </row>
    <row r="6269" spans="1:5" x14ac:dyDescent="0.2">
      <c r="A6269">
        <v>6208</v>
      </c>
      <c r="B6269" s="138">
        <f>'Acct Summary 7-8'!E82</f>
        <v>-19</v>
      </c>
      <c r="D6269" s="2" t="str">
        <f t="shared" si="96"/>
        <v>Error?</v>
      </c>
      <c r="E6269" s="2" t="s">
        <v>190</v>
      </c>
    </row>
    <row r="6270" spans="1:5" x14ac:dyDescent="0.2">
      <c r="A6270">
        <v>6209</v>
      </c>
      <c r="B6270" s="138">
        <f>'Acct Summary 7-8'!F82</f>
        <v>347756</v>
      </c>
      <c r="D6270" s="2" t="str">
        <f t="shared" si="96"/>
        <v>Error?</v>
      </c>
      <c r="E6270" s="2" t="s">
        <v>190</v>
      </c>
    </row>
    <row r="6271" spans="1:5" x14ac:dyDescent="0.2">
      <c r="A6271">
        <v>6210</v>
      </c>
      <c r="B6271" s="138">
        <f>'Acct Summary 7-8'!G82</f>
        <v>14863</v>
      </c>
      <c r="D6271" s="2" t="str">
        <f t="shared" ref="D6271:D6334" si="97">IF(ISBLANK(B6271),"OK",IF(A6271-B6271=0,"OK","Error?"))</f>
        <v>Error?</v>
      </c>
      <c r="E6271" s="2" t="s">
        <v>190</v>
      </c>
    </row>
    <row r="6272" spans="1:5" x14ac:dyDescent="0.2">
      <c r="A6272">
        <v>6211</v>
      </c>
      <c r="B6272" s="138">
        <f>'Acct Summary 7-8'!H82</f>
        <v>41714</v>
      </c>
      <c r="D6272" s="2" t="str">
        <f t="shared" si="97"/>
        <v>Error?</v>
      </c>
      <c r="E6272" s="2" t="s">
        <v>190</v>
      </c>
    </row>
    <row r="6273" spans="1:5" x14ac:dyDescent="0.2">
      <c r="A6273">
        <v>6212</v>
      </c>
      <c r="B6273" s="138">
        <f>'Acct Summary 7-8'!I82</f>
        <v>26862</v>
      </c>
      <c r="D6273" s="2" t="str">
        <f t="shared" si="97"/>
        <v>Error?</v>
      </c>
      <c r="E6273" s="2" t="s">
        <v>190</v>
      </c>
    </row>
    <row r="6274" spans="1:5" x14ac:dyDescent="0.2">
      <c r="A6274">
        <v>6213</v>
      </c>
      <c r="B6274" s="138">
        <f>'Acct Summary 7-8'!J82</f>
        <v>9011</v>
      </c>
      <c r="D6274" s="2" t="str">
        <f t="shared" si="97"/>
        <v>Error?</v>
      </c>
      <c r="E6274" s="2" t="s">
        <v>190</v>
      </c>
    </row>
    <row r="6275" spans="1:5" x14ac:dyDescent="0.2">
      <c r="A6275">
        <v>6214</v>
      </c>
      <c r="B6275" s="138">
        <f>'Acct Summary 7-8'!K82</f>
        <v>27878</v>
      </c>
      <c r="D6275" s="2" t="str">
        <f t="shared" si="97"/>
        <v>Error?</v>
      </c>
      <c r="E6275" s="2" t="s">
        <v>190</v>
      </c>
    </row>
    <row r="6276" spans="1:5" x14ac:dyDescent="0.2">
      <c r="A6276">
        <v>6215</v>
      </c>
      <c r="B6276" s="138">
        <f>'Acct Summary 7-8'!C83</f>
        <v>0.42953852360209965</v>
      </c>
      <c r="D6276" s="2" t="str">
        <f t="shared" si="97"/>
        <v>Error?</v>
      </c>
      <c r="E6276" s="2" t="s">
        <v>190</v>
      </c>
    </row>
    <row r="6277" spans="1:5" x14ac:dyDescent="0.2">
      <c r="A6277">
        <v>6216</v>
      </c>
      <c r="B6277" s="138">
        <f>'Acct Summary 7-8'!D83</f>
        <v>0.30520601626930272</v>
      </c>
      <c r="D6277" s="2" t="str">
        <f t="shared" si="97"/>
        <v>Error?</v>
      </c>
      <c r="E6277" s="2" t="s">
        <v>190</v>
      </c>
    </row>
    <row r="6278" spans="1:5" x14ac:dyDescent="0.2">
      <c r="A6278">
        <v>6217</v>
      </c>
      <c r="B6278" s="138">
        <f>'Acct Summary 7-8'!E83</f>
        <v>-3.3427163969035889E-3</v>
      </c>
      <c r="D6278" s="2" t="str">
        <f t="shared" si="97"/>
        <v>Error?</v>
      </c>
      <c r="E6278" s="2" t="s">
        <v>190</v>
      </c>
    </row>
    <row r="6279" spans="1:5" x14ac:dyDescent="0.2">
      <c r="A6279">
        <v>6218</v>
      </c>
      <c r="B6279" s="138">
        <f>'Acct Summary 7-8'!F83</f>
        <v>0.94713562802656015</v>
      </c>
      <c r="D6279" s="2" t="str">
        <f t="shared" si="97"/>
        <v>Error?</v>
      </c>
      <c r="E6279" s="2" t="s">
        <v>190</v>
      </c>
    </row>
    <row r="6280" spans="1:5" x14ac:dyDescent="0.2">
      <c r="A6280">
        <v>6219</v>
      </c>
      <c r="B6280" s="138">
        <f>'Acct Summary 7-8'!G83</f>
        <v>0.10729471214582205</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0.46518313273876527</v>
      </c>
      <c r="D6282" s="2" t="str">
        <f t="shared" si="97"/>
        <v>Error?</v>
      </c>
      <c r="E6282" s="2" t="s">
        <v>190</v>
      </c>
    </row>
    <row r="6283" spans="1:5" x14ac:dyDescent="0.2">
      <c r="A6283">
        <v>6222</v>
      </c>
      <c r="B6283" s="138">
        <f>'Acct Summary 7-8'!J83</f>
        <v>5.7810625453099035E-2</v>
      </c>
      <c r="D6283" s="2" t="str">
        <f t="shared" si="97"/>
        <v>Error?</v>
      </c>
      <c r="E6283" s="2" t="s">
        <v>190</v>
      </c>
    </row>
    <row r="6284" spans="1:5" x14ac:dyDescent="0.2">
      <c r="A6284">
        <v>6223</v>
      </c>
      <c r="B6284" s="138">
        <f>'Acct Summary 7-8'!K83</f>
        <v>0.21658871606818217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205227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205227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133</v>
      </c>
      <c r="D6305" s="2" t="str">
        <f t="shared" si="97"/>
        <v>Error?</v>
      </c>
      <c r="E6305" s="2" t="s">
        <v>190</v>
      </c>
    </row>
    <row r="6306" spans="1:5" x14ac:dyDescent="0.2">
      <c r="A6306">
        <v>6245</v>
      </c>
      <c r="B6306" s="138">
        <f>'Revenues 9-14'!J18</f>
        <v>133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2976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2976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208336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385705</v>
      </c>
      <c r="D6983" s="2" t="str">
        <f t="shared" si="108"/>
        <v>Error?</v>
      </c>
    </row>
    <row r="6984" spans="1:4" x14ac:dyDescent="0.2">
      <c r="A6984">
        <v>6923</v>
      </c>
      <c r="B6984" s="138">
        <f>'Expenditures 15-22'!K86</f>
        <v>385705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385705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199325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208336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3778</v>
      </c>
      <c r="D7093" s="2" t="str">
        <f t="shared" si="109"/>
        <v>Error?</v>
      </c>
    </row>
    <row r="7094" spans="1:4" x14ac:dyDescent="0.2">
      <c r="A7094">
        <v>7033</v>
      </c>
      <c r="B7094" s="138">
        <f>'Expenditures 15-22'!K254</f>
        <v>3778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26964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26964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4065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4065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57612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57612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66067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66067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44617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44617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199325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199325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199325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199325</v>
      </c>
      <c r="D7224" s="2" t="str">
        <f t="shared" si="111"/>
        <v>Error?</v>
      </c>
    </row>
    <row r="7225" spans="1:4" x14ac:dyDescent="0.2">
      <c r="A7225">
        <v>7164</v>
      </c>
      <c r="B7225" s="138">
        <f>'Expenditures 15-22'!K343</f>
        <v>9011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21795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21795</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7265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7265</v>
      </c>
      <c r="D7622" s="2" t="str">
        <f t="shared" si="124"/>
        <v>Error?</v>
      </c>
      <c r="E7622" s="2" t="s">
        <v>19</v>
      </c>
    </row>
    <row r="7623" spans="1:5" x14ac:dyDescent="0.2">
      <c r="A7623">
        <f t="shared" si="123"/>
        <v>7562</v>
      </c>
      <c r="B7623" s="138">
        <f>'Cap Outlay Deprec 26'!L14</f>
        <v>14530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90284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57691</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5364</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5364</v>
      </c>
      <c r="D7719" s="2" t="str">
        <f t="shared" si="126"/>
        <v>Error?</v>
      </c>
      <c r="E7719" s="2" t="s">
        <v>827</v>
      </c>
    </row>
    <row r="7720" spans="1:6" x14ac:dyDescent="0.2">
      <c r="A7720">
        <v>7659</v>
      </c>
      <c r="B7720" s="138">
        <f>'Rest Tax Levies-Tort Im 25'!H14</f>
        <v>20831</v>
      </c>
      <c r="D7720" s="2" t="str">
        <f t="shared" si="126"/>
        <v>Error?</v>
      </c>
      <c r="E7720" s="2" t="s">
        <v>827</v>
      </c>
    </row>
    <row r="7721" spans="1:6" x14ac:dyDescent="0.2">
      <c r="A7721">
        <v>7660</v>
      </c>
      <c r="B7721" s="138">
        <f>'Rest Tax Levies-Tort Im 25'!K14</f>
        <v>5364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94944</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44944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Lowpoint-Washburn CUSD 21</v>
      </c>
      <c r="B7" s="2385"/>
      <c r="C7" s="2385"/>
      <c r="D7" s="2422"/>
      <c r="E7" s="2423">
        <f>COVER!A13</f>
        <v>53102021026</v>
      </c>
      <c r="F7" s="2424"/>
      <c r="G7" s="2391" t="str">
        <f>COVER!T23</f>
        <v>066-005055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Ginoli &amp; Company LTD</v>
      </c>
      <c r="H9" s="2398"/>
      <c r="I9" s="2398"/>
      <c r="J9" s="2398"/>
      <c r="K9" s="2398"/>
      <c r="L9" s="2399"/>
    </row>
    <row r="10" spans="1:29" ht="13.5" customHeight="1" x14ac:dyDescent="0.2">
      <c r="A10" s="2381" t="str">
        <f>COVER!A38</f>
        <v>Duane Schupp</v>
      </c>
      <c r="B10" s="2382"/>
      <c r="C10" s="2382"/>
      <c r="D10" s="2382"/>
      <c r="E10" s="2382"/>
      <c r="F10" s="2383"/>
      <c r="G10" s="2397" t="str">
        <f>COVER!T17</f>
        <v>7625 N University Street, Suite A</v>
      </c>
      <c r="H10" s="2410"/>
      <c r="I10" s="2410"/>
      <c r="J10" s="2410"/>
      <c r="K10" s="2410"/>
      <c r="L10" s="2411"/>
    </row>
    <row r="11" spans="1:29" ht="13.5" customHeight="1" x14ac:dyDescent="0.2">
      <c r="A11" s="1184" t="s">
        <v>1519</v>
      </c>
      <c r="B11" s="1185"/>
      <c r="C11" s="1186"/>
      <c r="D11" s="1191"/>
      <c r="E11" s="1186"/>
      <c r="F11" s="1190"/>
      <c r="G11" s="2397" t="str">
        <f>COVER!T19</f>
        <v>Peoria</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mreinken@ginolicpa.com</v>
      </c>
      <c r="J13" s="2419"/>
      <c r="K13" s="2419"/>
      <c r="L13" s="2420"/>
    </row>
    <row r="14" spans="1:29" ht="13.5" customHeight="1" x14ac:dyDescent="0.2">
      <c r="A14" s="2397" t="str">
        <f>COVER!A19</f>
        <v>508 E Walnut Street</v>
      </c>
      <c r="B14" s="2410"/>
      <c r="C14" s="2410"/>
      <c r="D14" s="2410"/>
      <c r="E14" s="2410"/>
      <c r="F14" s="2411"/>
      <c r="G14" s="1195" t="s">
        <v>1185</v>
      </c>
      <c r="H14" s="1193"/>
      <c r="I14" s="1193"/>
      <c r="J14" s="1193"/>
      <c r="K14" s="1193"/>
      <c r="L14" s="1194"/>
    </row>
    <row r="15" spans="1:29" ht="13.5" customHeight="1" x14ac:dyDescent="0.2">
      <c r="A15" s="2397" t="str">
        <f>COVER!A21</f>
        <v>Washburn</v>
      </c>
      <c r="B15" s="2410"/>
      <c r="C15" s="2410"/>
      <c r="D15" s="2410"/>
      <c r="E15" s="2410"/>
      <c r="F15" s="2411"/>
      <c r="G15" s="2407" t="str">
        <f>COVER!T15</f>
        <v>Mark D Reinken</v>
      </c>
      <c r="H15" s="2408"/>
      <c r="I15" s="2408"/>
      <c r="J15" s="2408"/>
      <c r="K15" s="2408"/>
      <c r="L15" s="2409"/>
    </row>
    <row r="16" spans="1:29" ht="12.2" customHeight="1" x14ac:dyDescent="0.2">
      <c r="A16" s="2387" t="str">
        <f>COVER!A25</f>
        <v>61570-0596</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(309)671-2350</v>
      </c>
      <c r="H18" s="2385"/>
      <c r="I18" s="2385"/>
      <c r="J18" s="2385"/>
      <c r="K18" s="2384" t="str">
        <f>COVER!X21</f>
        <v>(309)671-5459</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Lowpoint-Washburn CUSD 21</v>
      </c>
      <c r="B1" s="2421"/>
      <c r="C1" s="2421"/>
      <c r="D1" s="2421"/>
    </row>
    <row r="2" spans="1:11" s="1212" customFormat="1" ht="12.75" x14ac:dyDescent="0.2">
      <c r="A2" s="2426">
        <f>'Single Audit Cover'!E7</f>
        <v>53102021026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Lowpoint-Washburn CUSD 21</v>
      </c>
      <c r="B1" s="2429"/>
      <c r="C1" s="2429"/>
      <c r="D1" s="2429"/>
      <c r="E1" s="2429"/>
    </row>
    <row r="2" spans="1:5" x14ac:dyDescent="0.2">
      <c r="A2" s="2430">
        <f>'Single Audit Cover'!E7</f>
        <v>53102021026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285695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13046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-7743</v>
      </c>
    </row>
    <row r="19" spans="1:4" ht="13.5" thickBot="1" x14ac:dyDescent="0.25">
      <c r="A19" s="1262" t="s">
        <v>1235</v>
      </c>
      <c r="D19" s="1263">
        <f>SUM(D10:D17)</f>
        <v>290998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290998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290998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Lowpoint-Washburn CUSD 21</v>
      </c>
      <c r="C1" s="2433"/>
      <c r="D1" s="2433"/>
      <c r="E1" s="2433"/>
      <c r="F1" s="2433"/>
      <c r="G1" s="2433"/>
      <c r="H1" s="2433"/>
      <c r="I1" s="2433"/>
      <c r="J1" s="2433"/>
      <c r="K1" s="2433"/>
      <c r="L1" s="2433"/>
      <c r="M1" s="2433"/>
    </row>
    <row r="2" spans="2:14" ht="15" x14ac:dyDescent="0.2">
      <c r="B2" s="2434">
        <f>'Single Audit Cover'!E7</f>
        <v>53102021026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Lowpoint-Washburn CUSD 21</v>
      </c>
      <c r="B1" s="2438"/>
      <c r="C1" s="2438"/>
      <c r="D1" s="2438"/>
      <c r="E1" s="2438"/>
      <c r="F1" s="2438"/>
    </row>
    <row r="2" spans="1:7" ht="13.5" customHeight="1" x14ac:dyDescent="0.2">
      <c r="A2" s="2434">
        <f>'Single Audit Cover'!E7</f>
        <v>53102021026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2"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2087</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t="s">
        <v>2101</v>
      </c>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2114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X26" sqref="X2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Lowpoint-Washburn CUSD 21</v>
      </c>
      <c r="C1" s="2454"/>
      <c r="D1" s="2454"/>
      <c r="E1" s="2454"/>
      <c r="F1" s="2454"/>
      <c r="G1" s="2454"/>
      <c r="H1" s="2454"/>
      <c r="I1" s="2454"/>
      <c r="J1" s="1406"/>
    </row>
    <row r="2" spans="2:10" s="317" customFormat="1" ht="12.75" customHeight="1" x14ac:dyDescent="0.2">
      <c r="B2" s="2455">
        <f>'Single Audit Cover'!E7</f>
        <v>53102021026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6" zoomScale="110" zoomScaleNormal="110" workbookViewId="0">
      <selection activeCell="X26" sqref="X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Lowpoint-Washburn CUSD 21</v>
      </c>
      <c r="C1" s="2453"/>
      <c r="D1" s="2453"/>
      <c r="E1" s="2453"/>
      <c r="F1" s="2453"/>
      <c r="G1" s="2453"/>
      <c r="H1" s="2453"/>
      <c r="I1" s="2453"/>
      <c r="J1" s="2453"/>
      <c r="K1" s="2453"/>
      <c r="L1" s="1371"/>
      <c r="M1" s="1371"/>
    </row>
    <row r="2" spans="1:13" ht="12" customHeight="1" x14ac:dyDescent="0.2">
      <c r="B2" s="2455">
        <f>'Single Audit Cover'!E7</f>
        <v>53102021026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1986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2088</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2089</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2090</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2091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2092</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2093</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2094</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Lowpoint-Washburn CUSD 21</v>
      </c>
      <c r="C1" s="2480"/>
      <c r="D1" s="2480"/>
      <c r="E1" s="2480"/>
      <c r="F1" s="2480"/>
      <c r="G1" s="2480"/>
      <c r="H1" s="2480"/>
      <c r="I1" s="2480"/>
      <c r="J1" s="2480"/>
      <c r="K1" s="2480"/>
      <c r="L1" s="1449"/>
    </row>
    <row r="2" spans="1:12" ht="12.75" customHeight="1" x14ac:dyDescent="0.2">
      <c r="B2" s="2481">
        <f>'Single Audit Cover'!E7</f>
        <v>53102021026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6" sqref="X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Lowpoint-Washburn CUSD 21</v>
      </c>
      <c r="C1" s="2453"/>
      <c r="D1" s="2453"/>
      <c r="E1" s="1469"/>
    </row>
    <row r="2" spans="2:5" s="1279" customFormat="1" ht="12.75" customHeight="1" x14ac:dyDescent="0.2">
      <c r="B2" s="2455">
        <f>'Single Audit Cover'!E7</f>
        <v>53102021026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2095</v>
      </c>
      <c r="C7" s="324" t="s">
        <v>2096</v>
      </c>
      <c r="D7" s="324" t="s">
        <v>2101</v>
      </c>
      <c r="E7" s="324"/>
    </row>
    <row r="8" spans="2:5" ht="13.5" customHeight="1" x14ac:dyDescent="0.2">
      <c r="B8" s="1474"/>
      <c r="C8" s="324" t="s">
        <v>2097</v>
      </c>
      <c r="D8" s="324"/>
      <c r="E8" s="324"/>
    </row>
    <row r="9" spans="2:5" ht="13.5" customHeight="1" x14ac:dyDescent="0.2">
      <c r="B9" s="1475"/>
      <c r="C9" s="323" t="s">
        <v>2098</v>
      </c>
      <c r="D9" s="323"/>
      <c r="E9" s="323"/>
    </row>
    <row r="10" spans="2:5" ht="13.5" customHeight="1" x14ac:dyDescent="0.2">
      <c r="B10" s="1474"/>
      <c r="C10" s="323" t="s">
        <v>2099</v>
      </c>
      <c r="D10" s="323"/>
      <c r="E10" s="323"/>
    </row>
    <row r="11" spans="2:5" ht="13.5" customHeight="1" x14ac:dyDescent="0.2">
      <c r="B11" s="1474"/>
      <c r="C11" s="323" t="s">
        <v>2100</v>
      </c>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X26" sqref="X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54243924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3.3000000000000002E-2</v>
      </c>
      <c r="E10" s="356" t="s">
        <v>1005</v>
      </c>
      <c r="F10" s="355">
        <v>5.7499999999999999E-3</v>
      </c>
      <c r="G10" s="356" t="s">
        <v>1005</v>
      </c>
      <c r="H10" s="355">
        <v>2E-3</v>
      </c>
      <c r="I10" s="356" t="s">
        <v>1006</v>
      </c>
      <c r="J10" s="1732">
        <f>ROUND(D10+F10+H10,5)</f>
        <v>4.0750000000000001E-2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3981743</v>
      </c>
      <c r="E16" s="356"/>
      <c r="F16" s="1733">
        <f>SUM('Acct Summary 7-8'!C17,'Acct Summary 7-8'!D17,'Acct Summary 7-8'!F17)</f>
        <v>3941713</v>
      </c>
      <c r="G16" s="356"/>
      <c r="H16" s="1733">
        <f>SUM(D16-F16)</f>
        <v>40030</v>
      </c>
      <c r="I16" s="222"/>
      <c r="J16" s="1733">
        <f>SUM('Acct Summary 7-8'!C81,'Acct Summary 7-8'!D81,'Acct Summary 7-8'!F81,'Acct Summary 7-8'!I81)</f>
        <v>2756199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7485661.512000001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1305000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X26" sqref="X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Lowpoint-Washburn CUSD 21</v>
      </c>
      <c r="E7" s="391"/>
      <c r="G7" s="252"/>
      <c r="H7" s="387"/>
      <c r="I7" s="387"/>
      <c r="J7" s="387"/>
      <c r="K7" s="387"/>
      <c r="L7" s="329"/>
      <c r="M7" s="329"/>
      <c r="N7" s="329"/>
      <c r="O7" s="329"/>
      <c r="P7" s="329"/>
    </row>
    <row r="8" spans="1:18" ht="12.75" x14ac:dyDescent="0.2">
      <c r="A8" s="329"/>
      <c r="B8" s="329"/>
      <c r="C8" s="389" t="s">
        <v>1125</v>
      </c>
      <c r="D8" s="392">
        <f>COVER!A13</f>
        <v>53102021026</v>
      </c>
      <c r="E8" s="393"/>
      <c r="G8" s="329"/>
      <c r="H8" s="329"/>
      <c r="I8" s="329"/>
      <c r="J8" s="329"/>
      <c r="K8" s="329"/>
      <c r="L8" s="329"/>
      <c r="M8" s="329"/>
      <c r="N8" s="329"/>
      <c r="O8" s="329"/>
      <c r="P8" s="329"/>
    </row>
    <row r="9" spans="1:18" ht="12.75" x14ac:dyDescent="0.2">
      <c r="A9" s="329"/>
      <c r="B9" s="329"/>
      <c r="C9" s="389" t="s">
        <v>713</v>
      </c>
      <c r="D9" s="394" t="str">
        <f>COVER!A15</f>
        <v>Woodford and 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2756199</v>
      </c>
      <c r="I12" s="404"/>
      <c r="J12" s="404"/>
      <c r="K12" s="405">
        <f>TRUNC((H12/H13*100000),5)/100000</f>
        <v>0.69220916560000001</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3981743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3941713</v>
      </c>
      <c r="I17" s="404"/>
      <c r="J17" s="416"/>
      <c r="K17" s="405">
        <f>TRUNC((H17/H18*100000),5)/100000</f>
        <v>0.98994661380000004</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3981743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2855267</v>
      </c>
      <c r="I24" s="422"/>
      <c r="J24" s="422"/>
      <c r="K24" s="423">
        <f>TRUNC(((H24/H25*100000)/100000),2)</f>
        <v>260.77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10949.20278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1878873.9175499999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1305000</v>
      </c>
      <c r="I32" s="420"/>
      <c r="J32" s="420"/>
      <c r="K32" s="423">
        <f>TRUNC(100-((((H32/H33*100))*100)/100),2)</f>
        <v>82.56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7485661.512000001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6" activePane="bottomLeft" state="frozen"/>
      <selection activeCell="X26" sqref="X26"/>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9647</v>
      </c>
      <c r="D4" s="466">
        <v>611</v>
      </c>
      <c r="E4" s="466">
        <v>5684</v>
      </c>
      <c r="F4" s="466">
        <v>235</v>
      </c>
      <c r="G4" s="466">
        <v>696</v>
      </c>
      <c r="H4" s="466"/>
      <c r="I4" s="466"/>
      <c r="J4" s="467">
        <v>1400</v>
      </c>
      <c r="K4" s="466">
        <v>879</v>
      </c>
      <c r="L4" s="466">
        <v>30386</v>
      </c>
      <c r="M4" s="468"/>
      <c r="N4" s="469"/>
    </row>
    <row r="5" spans="1:14" x14ac:dyDescent="0.2">
      <c r="A5" s="463" t="s">
        <v>992</v>
      </c>
      <c r="B5" s="470">
        <v>120</v>
      </c>
      <c r="C5" s="465">
        <v>2072583</v>
      </c>
      <c r="D5" s="466">
        <v>347515</v>
      </c>
      <c r="E5" s="466"/>
      <c r="F5" s="466">
        <v>366931</v>
      </c>
      <c r="G5" s="466">
        <v>137829</v>
      </c>
      <c r="H5" s="466">
        <v>41714</v>
      </c>
      <c r="I5" s="466">
        <v>57745</v>
      </c>
      <c r="J5" s="467">
        <v>154471</v>
      </c>
      <c r="K5" s="471">
        <v>127835</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2082230</v>
      </c>
      <c r="D13" s="1737">
        <f t="shared" ref="D13:L13" si="0">SUM(D4:D12)</f>
        <v>348126</v>
      </c>
      <c r="E13" s="1737">
        <f t="shared" si="0"/>
        <v>5684</v>
      </c>
      <c r="F13" s="1737">
        <f t="shared" si="0"/>
        <v>367166</v>
      </c>
      <c r="G13" s="1737">
        <f t="shared" si="0"/>
        <v>138525</v>
      </c>
      <c r="H13" s="1737">
        <f t="shared" si="0"/>
        <v>41714</v>
      </c>
      <c r="I13" s="1737">
        <f t="shared" si="0"/>
        <v>57745</v>
      </c>
      <c r="J13" s="1737">
        <f t="shared" si="0"/>
        <v>155871</v>
      </c>
      <c r="K13" s="1737">
        <f t="shared" si="0"/>
        <v>128714</v>
      </c>
      <c r="L13" s="1737">
        <f t="shared" si="0"/>
        <v>30386</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18400</v>
      </c>
      <c r="N16" s="484"/>
    </row>
    <row r="17" spans="1:14" s="485" customFormat="1" ht="12.75" customHeight="1" x14ac:dyDescent="0.2">
      <c r="A17" s="482" t="s">
        <v>1403</v>
      </c>
      <c r="B17" s="483">
        <v>230</v>
      </c>
      <c r="C17" s="477"/>
      <c r="D17" s="477"/>
      <c r="E17" s="477"/>
      <c r="F17" s="477"/>
      <c r="G17" s="477"/>
      <c r="H17" s="477"/>
      <c r="I17" s="477"/>
      <c r="J17" s="477"/>
      <c r="K17" s="477"/>
      <c r="L17" s="477"/>
      <c r="M17" s="467">
        <v>3909628</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234787+35544+21796-2</f>
        <v>292125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5684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1299316</v>
      </c>
    </row>
    <row r="23" spans="1:14" ht="13.5" customHeight="1" thickBot="1" x14ac:dyDescent="0.25">
      <c r="A23" s="1736" t="s">
        <v>643</v>
      </c>
      <c r="B23" s="1741"/>
      <c r="C23" s="468"/>
      <c r="D23" s="468"/>
      <c r="E23" s="468"/>
      <c r="F23" s="468"/>
      <c r="G23" s="468"/>
      <c r="H23" s="468"/>
      <c r="I23" s="468"/>
      <c r="J23" s="468"/>
      <c r="K23" s="468"/>
      <c r="L23" s="468"/>
      <c r="M23" s="1688">
        <f>SUM(M15:M22)</f>
        <v>4220153</v>
      </c>
      <c r="N23" s="1688">
        <f>SUM(N21:N22)</f>
        <v>1305000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v>99068</v>
      </c>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30386</v>
      </c>
      <c r="M33" s="468"/>
      <c r="N33" s="469"/>
    </row>
    <row r="34" spans="1:14" ht="13.5" customHeight="1" thickBot="1" x14ac:dyDescent="0.25">
      <c r="A34" s="1738" t="s">
        <v>654</v>
      </c>
      <c r="B34" s="1739"/>
      <c r="C34" s="1740">
        <f>SUM(C25:C33)</f>
        <v>0</v>
      </c>
      <c r="D34" s="1740">
        <f t="shared" ref="D34:K34" si="1">SUM(D25:D33)</f>
        <v>99068</v>
      </c>
      <c r="E34" s="1740">
        <f t="shared" si="1"/>
        <v>0</v>
      </c>
      <c r="F34" s="1740">
        <f t="shared" si="1"/>
        <v>0</v>
      </c>
      <c r="G34" s="1740">
        <f t="shared" si="1"/>
        <v>0</v>
      </c>
      <c r="H34" s="1740">
        <f t="shared" si="1"/>
        <v>0</v>
      </c>
      <c r="I34" s="1740">
        <f t="shared" si="1"/>
        <v>0</v>
      </c>
      <c r="J34" s="1740">
        <f t="shared" si="1"/>
        <v>0</v>
      </c>
      <c r="K34" s="1740">
        <f t="shared" si="1"/>
        <v>0</v>
      </c>
      <c r="L34" s="1721">
        <f>SUM(L33)</f>
        <v>30386</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1305000</v>
      </c>
    </row>
    <row r="37" spans="1:14" ht="13.5" thickBot="1" x14ac:dyDescent="0.25">
      <c r="A37" s="1736" t="s">
        <v>653</v>
      </c>
      <c r="B37" s="1741"/>
      <c r="C37" s="477"/>
      <c r="D37" s="477"/>
      <c r="E37" s="477"/>
      <c r="F37" s="477"/>
      <c r="G37" s="477"/>
      <c r="H37" s="477"/>
      <c r="I37" s="477"/>
      <c r="J37" s="477"/>
      <c r="K37" s="477"/>
      <c r="L37" s="480"/>
      <c r="M37" s="468"/>
      <c r="N37" s="1688">
        <f>SUM(N36:N36)</f>
        <v>1305000</v>
      </c>
    </row>
    <row r="38" spans="1:14" s="329" customFormat="1" ht="13.5" customHeight="1" thickTop="1" x14ac:dyDescent="0.2">
      <c r="A38" s="496" t="s">
        <v>420</v>
      </c>
      <c r="B38" s="483">
        <v>714</v>
      </c>
      <c r="C38" s="466"/>
      <c r="D38" s="466"/>
      <c r="E38" s="466"/>
      <c r="F38" s="466"/>
      <c r="G38" s="466">
        <v>45586</v>
      </c>
      <c r="H38" s="466">
        <v>41714</v>
      </c>
      <c r="I38" s="466"/>
      <c r="J38" s="467"/>
      <c r="K38" s="466"/>
      <c r="L38" s="481"/>
      <c r="M38" s="497"/>
      <c r="N38" s="497"/>
    </row>
    <row r="39" spans="1:14" s="329" customFormat="1" ht="13.5" customHeight="1" x14ac:dyDescent="0.2">
      <c r="A39" s="496" t="s">
        <v>342</v>
      </c>
      <c r="B39" s="483">
        <v>730</v>
      </c>
      <c r="C39" s="466">
        <v>2082230</v>
      </c>
      <c r="D39" s="466">
        <v>249058</v>
      </c>
      <c r="E39" s="466">
        <v>5684</v>
      </c>
      <c r="F39" s="466">
        <v>367166</v>
      </c>
      <c r="G39" s="466">
        <v>92939</v>
      </c>
      <c r="H39" s="466"/>
      <c r="I39" s="466">
        <v>57745</v>
      </c>
      <c r="J39" s="467">
        <v>155871</v>
      </c>
      <c r="K39" s="466">
        <v>128714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4220153</v>
      </c>
      <c r="N40" s="497"/>
    </row>
    <row r="41" spans="1:14" ht="13.5" customHeight="1" thickBot="1" x14ac:dyDescent="0.25">
      <c r="A41" s="1736" t="s">
        <v>655</v>
      </c>
      <c r="B41" s="1706"/>
      <c r="C41" s="1688">
        <f>(SUM(C34,C37,C38,C39))</f>
        <v>2082230</v>
      </c>
      <c r="D41" s="1688">
        <f t="shared" ref="D41:L41" si="2">SUM(D34,D37,D38:D39)</f>
        <v>348126</v>
      </c>
      <c r="E41" s="1688">
        <f t="shared" si="2"/>
        <v>5684</v>
      </c>
      <c r="F41" s="1688">
        <f t="shared" si="2"/>
        <v>367166</v>
      </c>
      <c r="G41" s="1688">
        <f t="shared" si="2"/>
        <v>138525</v>
      </c>
      <c r="H41" s="1688">
        <f t="shared" si="2"/>
        <v>41714</v>
      </c>
      <c r="I41" s="1688">
        <f t="shared" si="2"/>
        <v>57745</v>
      </c>
      <c r="J41" s="1688">
        <f t="shared" si="2"/>
        <v>155871</v>
      </c>
      <c r="K41" s="1688">
        <f t="shared" si="2"/>
        <v>128714</v>
      </c>
      <c r="L41" s="1688">
        <f t="shared" si="2"/>
        <v>30386</v>
      </c>
      <c r="M41" s="1688">
        <f>SUM(M40)</f>
        <v>4220153</v>
      </c>
      <c r="N41" s="1688">
        <f>SUM(N37)</f>
        <v>1305000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to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X26" sqref="X26"/>
      <selection pane="bottomLeft" activeCell="X26" sqref="X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1976476</v>
      </c>
      <c r="D4" s="1742">
        <f>'Revenues 9-14'!D109</f>
        <v>376691</v>
      </c>
      <c r="E4" s="1742">
        <f>'Revenues 9-14'!E109</f>
        <v>269589</v>
      </c>
      <c r="F4" s="1742">
        <f>'Revenues 9-14'!F109</f>
        <v>116443</v>
      </c>
      <c r="G4" s="1742">
        <f>'Revenues 9-14'!G109</f>
        <v>164576</v>
      </c>
      <c r="H4" s="1742">
        <f>'Revenues 9-14'!H109</f>
        <v>57993</v>
      </c>
      <c r="I4" s="1742">
        <f>'Revenues 9-14'!I109</f>
        <v>26862</v>
      </c>
      <c r="J4" s="1742">
        <f>'Revenues 9-14'!J109</f>
        <v>208336</v>
      </c>
      <c r="K4" s="1742">
        <f>'Revenues 9-14'!K109</f>
        <v>27878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617721</v>
      </c>
      <c r="D6" s="1743">
        <f>'Revenues 9-14'!D170</f>
        <v>0</v>
      </c>
      <c r="E6" s="1743">
        <f>'Revenues 9-14'!E170</f>
        <v>0</v>
      </c>
      <c r="F6" s="1743">
        <f>'Revenues 9-14'!F170</f>
        <v>581855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277952</v>
      </c>
      <c r="D7" s="1743">
        <f>'Revenues 9-14'!D267</f>
        <v>0</v>
      </c>
      <c r="E7" s="1743">
        <f>'Revenues 9-14'!E267</f>
        <v>0</v>
      </c>
      <c r="F7" s="1743">
        <f>'Revenues 9-14'!F267</f>
        <v>7743</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2872149</v>
      </c>
      <c r="D8" s="1688">
        <f t="shared" ref="D8:K8" si="0">SUM(D4:D7)</f>
        <v>376691</v>
      </c>
      <c r="E8" s="1688">
        <f t="shared" si="0"/>
        <v>269589</v>
      </c>
      <c r="F8" s="1688">
        <f t="shared" si="0"/>
        <v>706041</v>
      </c>
      <c r="G8" s="1688">
        <f t="shared" si="0"/>
        <v>164576</v>
      </c>
      <c r="H8" s="1688">
        <f t="shared" si="0"/>
        <v>57993</v>
      </c>
      <c r="I8" s="1688">
        <f t="shared" si="0"/>
        <v>26862</v>
      </c>
      <c r="J8" s="1688">
        <f t="shared" si="0"/>
        <v>208336</v>
      </c>
      <c r="K8" s="1688">
        <f t="shared" si="0"/>
        <v>27878</v>
      </c>
      <c r="L8" s="347"/>
    </row>
    <row r="9" spans="1:13" ht="15.75" thickTop="1" x14ac:dyDescent="0.2">
      <c r="A9" s="514" t="s">
        <v>1653</v>
      </c>
      <c r="B9" s="515">
        <v>3998</v>
      </c>
      <c r="C9" s="481">
        <v>1274988</v>
      </c>
      <c r="D9" s="516"/>
      <c r="E9" s="481"/>
      <c r="F9" s="481"/>
      <c r="G9" s="517"/>
      <c r="H9" s="481"/>
      <c r="I9" s="509" t="s">
        <v>1169</v>
      </c>
      <c r="J9" s="478"/>
      <c r="K9" s="481"/>
      <c r="L9" s="347"/>
    </row>
    <row r="10" spans="1:13" s="519" customFormat="1" ht="13.5" thickBot="1" x14ac:dyDescent="0.25">
      <c r="A10" s="1736" t="s">
        <v>1173</v>
      </c>
      <c r="B10" s="1709"/>
      <c r="C10" s="1688">
        <f>SUM(C8:C9)</f>
        <v>4147137</v>
      </c>
      <c r="D10" s="1688">
        <f t="shared" ref="D10:K10" si="1">SUM(D8:D9)</f>
        <v>376691</v>
      </c>
      <c r="E10" s="1688">
        <f t="shared" si="1"/>
        <v>269589</v>
      </c>
      <c r="F10" s="1688">
        <f t="shared" si="1"/>
        <v>706041</v>
      </c>
      <c r="G10" s="1688">
        <f t="shared" si="1"/>
        <v>164576</v>
      </c>
      <c r="H10" s="1688">
        <f t="shared" si="1"/>
        <v>57993</v>
      </c>
      <c r="I10" s="1688">
        <f t="shared" si="1"/>
        <v>26862</v>
      </c>
      <c r="J10" s="1688">
        <f t="shared" si="1"/>
        <v>208336</v>
      </c>
      <c r="K10" s="1688">
        <f t="shared" si="1"/>
        <v>27878</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1974748</v>
      </c>
      <c r="D12" s="520" t="s">
        <v>1169</v>
      </c>
      <c r="E12" s="468" t="s">
        <v>1169</v>
      </c>
      <c r="F12" s="468" t="s">
        <v>1169</v>
      </c>
      <c r="G12" s="1742">
        <f>'Expenditures 15-22'!K229</f>
        <v>45558</v>
      </c>
      <c r="H12" s="521"/>
      <c r="I12" s="468" t="s">
        <v>1169</v>
      </c>
      <c r="J12" s="468" t="s">
        <v>1169</v>
      </c>
      <c r="K12" s="521" t="s">
        <v>1169</v>
      </c>
      <c r="L12" s="347"/>
    </row>
    <row r="13" spans="1:13" ht="15.75" customHeight="1" x14ac:dyDescent="0.2">
      <c r="A13" s="1576" t="s">
        <v>457</v>
      </c>
      <c r="B13" s="1578">
        <v>2000</v>
      </c>
      <c r="C13" s="1743">
        <f>'Expenditures 15-22'!K74</f>
        <v>713845</v>
      </c>
      <c r="D13" s="1743">
        <f>'Expenditures 15-22'!K129</f>
        <v>295364</v>
      </c>
      <c r="E13" s="469" t="s">
        <v>1169</v>
      </c>
      <c r="F13" s="1743">
        <f>'Expenditures 15-22'!K184</f>
        <v>358285</v>
      </c>
      <c r="G13" s="1743">
        <f>'Expenditures 15-22'!K279</f>
        <v>104155</v>
      </c>
      <c r="H13" s="1743">
        <f>'Expenditures 15-22'!K303</f>
        <v>16279</v>
      </c>
      <c r="I13" s="468" t="s">
        <v>1169</v>
      </c>
      <c r="J13" s="1743">
        <f>'Expenditures 15-22'!K330</f>
        <v>199325</v>
      </c>
      <c r="K13" s="1747">
        <f>'Expenditures 15-22'!K352</f>
        <v>0</v>
      </c>
      <c r="L13" s="347"/>
    </row>
    <row r="14" spans="1:13" ht="15.75" customHeight="1" x14ac:dyDescent="0.2">
      <c r="A14" s="1576" t="s">
        <v>449</v>
      </c>
      <c r="B14" s="1578">
        <v>3000</v>
      </c>
      <c r="C14" s="1743">
        <f>'Expenditures 15-22'!K75</f>
        <v>26181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567977</v>
      </c>
      <c r="D15" s="1743">
        <f>'Expenditures 15-22'!K139</f>
        <v>5313</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269608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3282751</v>
      </c>
      <c r="D17" s="1688">
        <f t="shared" si="2"/>
        <v>300677</v>
      </c>
      <c r="E17" s="1688">
        <f t="shared" si="2"/>
        <v>269608</v>
      </c>
      <c r="F17" s="1688">
        <f t="shared" si="2"/>
        <v>358285</v>
      </c>
      <c r="G17" s="1688">
        <f t="shared" si="2"/>
        <v>149713</v>
      </c>
      <c r="H17" s="1688">
        <f t="shared" si="2"/>
        <v>16279</v>
      </c>
      <c r="I17" s="468"/>
      <c r="J17" s="1688">
        <f>SUM(J12:J16)</f>
        <v>199325</v>
      </c>
      <c r="K17" s="1688">
        <f>SUM(K12:K16)</f>
        <v>0</v>
      </c>
      <c r="L17" s="347"/>
    </row>
    <row r="18" spans="1:12" ht="15" customHeight="1" thickTop="1" x14ac:dyDescent="0.2">
      <c r="A18" s="1744" t="s">
        <v>1654</v>
      </c>
      <c r="B18" s="1745">
        <v>4180</v>
      </c>
      <c r="C18" s="1742">
        <f t="shared" ref="C18:H18" si="3">C9</f>
        <v>1274988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4557739</v>
      </c>
      <c r="D19" s="1688">
        <f t="shared" si="4"/>
        <v>300677</v>
      </c>
      <c r="E19" s="1688">
        <f t="shared" si="4"/>
        <v>269608</v>
      </c>
      <c r="F19" s="1688">
        <f t="shared" si="4"/>
        <v>358285</v>
      </c>
      <c r="G19" s="1688">
        <f t="shared" si="4"/>
        <v>149713</v>
      </c>
      <c r="H19" s="1688">
        <f t="shared" si="4"/>
        <v>16279</v>
      </c>
      <c r="I19" s="468"/>
      <c r="J19" s="1688">
        <f>SUM(J17:J18)</f>
        <v>199325</v>
      </c>
      <c r="K19" s="1688">
        <f>SUM(K17:K18)</f>
        <v>0</v>
      </c>
      <c r="L19" s="347"/>
    </row>
    <row r="20" spans="1:12" ht="16.5" thickTop="1" thickBot="1" x14ac:dyDescent="0.25">
      <c r="A20" s="2126" t="s">
        <v>1655</v>
      </c>
      <c r="B20" s="2127"/>
      <c r="C20" s="1746">
        <f>C8-C17</f>
        <v>-410602</v>
      </c>
      <c r="D20" s="1746">
        <f t="shared" ref="D20:K20" si="5">D8-D17</f>
        <v>76014</v>
      </c>
      <c r="E20" s="1746">
        <f t="shared" si="5"/>
        <v>-19</v>
      </c>
      <c r="F20" s="1746">
        <f t="shared" si="5"/>
        <v>347756</v>
      </c>
      <c r="G20" s="1746">
        <f t="shared" si="5"/>
        <v>14863</v>
      </c>
      <c r="H20" s="1746">
        <f t="shared" si="5"/>
        <v>41714</v>
      </c>
      <c r="I20" s="1746">
        <f t="shared" si="5"/>
        <v>26862</v>
      </c>
      <c r="J20" s="1746">
        <f t="shared" si="5"/>
        <v>9011</v>
      </c>
      <c r="K20" s="1746">
        <f t="shared" si="5"/>
        <v>27878</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v>1305000</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1305000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1305000</v>
      </c>
      <c r="D44" s="1703">
        <f t="shared" ref="D44:K44" si="6">SUM(D24:D43)</f>
        <v>0</v>
      </c>
      <c r="E44" s="1703">
        <f t="shared" si="6"/>
        <v>0</v>
      </c>
      <c r="F44" s="1703">
        <f t="shared" si="6"/>
        <v>0</v>
      </c>
      <c r="G44" s="1703">
        <f t="shared" si="6"/>
        <v>0</v>
      </c>
      <c r="H44" s="1703">
        <f t="shared" si="6"/>
        <v>0</v>
      </c>
      <c r="I44" s="1703">
        <f t="shared" si="6"/>
        <v>1305000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1305000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1305000</v>
      </c>
      <c r="J76" s="1703">
        <f t="shared" si="7"/>
        <v>0</v>
      </c>
      <c r="K76" s="1703">
        <f t="shared" si="7"/>
        <v>0</v>
      </c>
      <c r="L76" s="524"/>
    </row>
    <row r="77" spans="1:12" ht="14.25" thickTop="1" thickBot="1" x14ac:dyDescent="0.25">
      <c r="A77" s="2118" t="s">
        <v>1177</v>
      </c>
      <c r="B77" s="2119"/>
      <c r="C77" s="1703">
        <f t="shared" ref="C77:K77" si="8">C44-C76</f>
        <v>1305000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894398</v>
      </c>
      <c r="D78" s="1702">
        <f t="shared" si="9"/>
        <v>76014</v>
      </c>
      <c r="E78" s="1702">
        <f t="shared" si="9"/>
        <v>-19</v>
      </c>
      <c r="F78" s="1702">
        <f t="shared" si="9"/>
        <v>347756</v>
      </c>
      <c r="G78" s="1702">
        <f t="shared" si="9"/>
        <v>14863</v>
      </c>
      <c r="H78" s="1702">
        <f t="shared" si="9"/>
        <v>41714</v>
      </c>
      <c r="I78" s="1702">
        <f t="shared" si="9"/>
        <v>26862</v>
      </c>
      <c r="J78" s="1702">
        <f t="shared" si="9"/>
        <v>9011</v>
      </c>
      <c r="K78" s="1702">
        <f t="shared" si="9"/>
        <v>27878</v>
      </c>
      <c r="L78" s="533"/>
    </row>
    <row r="79" spans="1:12" ht="13.5" thickTop="1" x14ac:dyDescent="0.2">
      <c r="A79" s="1494" t="s">
        <v>1949</v>
      </c>
      <c r="B79" s="534"/>
      <c r="C79" s="478">
        <v>1187832</v>
      </c>
      <c r="D79" s="535">
        <v>173044</v>
      </c>
      <c r="E79" s="535">
        <v>5703</v>
      </c>
      <c r="F79" s="535">
        <v>19410</v>
      </c>
      <c r="G79" s="535">
        <v>123662</v>
      </c>
      <c r="H79" s="535">
        <v>0</v>
      </c>
      <c r="I79" s="535">
        <v>30883</v>
      </c>
      <c r="J79" s="535">
        <v>146860</v>
      </c>
      <c r="K79" s="535">
        <v>100836</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2082230</v>
      </c>
      <c r="D81" s="1688">
        <f>SUM(D78:D80)</f>
        <v>249058</v>
      </c>
      <c r="E81" s="1688">
        <f t="shared" ref="E81:K81" si="10">SUM(E78:E80)</f>
        <v>5684</v>
      </c>
      <c r="F81" s="1688">
        <f t="shared" si="10"/>
        <v>367166</v>
      </c>
      <c r="G81" s="1688">
        <f t="shared" si="10"/>
        <v>138525</v>
      </c>
      <c r="H81" s="1688">
        <f t="shared" si="10"/>
        <v>41714</v>
      </c>
      <c r="I81" s="1688">
        <f t="shared" si="10"/>
        <v>57745</v>
      </c>
      <c r="J81" s="1688">
        <f t="shared" si="10"/>
        <v>155871</v>
      </c>
      <c r="K81" s="1688">
        <f t="shared" si="10"/>
        <v>128714</v>
      </c>
      <c r="L81" s="347"/>
    </row>
    <row r="82" spans="1:12" ht="0.75" customHeight="1" thickTop="1" thickBot="1" x14ac:dyDescent="0.25">
      <c r="A82" s="536" t="s">
        <v>343</v>
      </c>
      <c r="B82" s="537"/>
      <c r="C82" s="538">
        <f>(C81-C79)</f>
        <v>894398</v>
      </c>
      <c r="D82" s="538">
        <f t="shared" ref="D82:K82" si="11">(D81-D79)</f>
        <v>76014</v>
      </c>
      <c r="E82" s="538">
        <f t="shared" si="11"/>
        <v>-19</v>
      </c>
      <c r="F82" s="538">
        <f t="shared" si="11"/>
        <v>347756</v>
      </c>
      <c r="G82" s="538">
        <f t="shared" si="11"/>
        <v>14863</v>
      </c>
      <c r="H82" s="538">
        <f t="shared" si="11"/>
        <v>41714</v>
      </c>
      <c r="I82" s="538">
        <f t="shared" si="11"/>
        <v>26862</v>
      </c>
      <c r="J82" s="538">
        <f t="shared" si="11"/>
        <v>9011</v>
      </c>
      <c r="K82" s="538">
        <f t="shared" si="11"/>
        <v>27878</v>
      </c>
    </row>
    <row r="83" spans="1:12" ht="14.25" hidden="1" thickTop="1" thickBot="1" x14ac:dyDescent="0.25">
      <c r="A83" s="539" t="s">
        <v>344</v>
      </c>
      <c r="B83" s="464"/>
      <c r="C83" s="540">
        <f>C82/C81</f>
        <v>0.42953852360209965</v>
      </c>
      <c r="D83" s="540">
        <f t="shared" ref="D83:K83" si="12">D82/D81</f>
        <v>0.30520601626930272</v>
      </c>
      <c r="E83" s="540">
        <f t="shared" si="12"/>
        <v>-3.3427163969035889E-3</v>
      </c>
      <c r="F83" s="540">
        <f t="shared" si="12"/>
        <v>0.94713562802656015</v>
      </c>
      <c r="G83" s="540">
        <f t="shared" si="12"/>
        <v>0.10729471214582205</v>
      </c>
      <c r="H83" s="540">
        <f t="shared" si="12"/>
        <v>1</v>
      </c>
      <c r="I83" s="540">
        <f t="shared" si="12"/>
        <v>0.46518313273876527</v>
      </c>
      <c r="J83" s="540">
        <f t="shared" si="12"/>
        <v>5.7810625453099035E-2</v>
      </c>
      <c r="K83" s="540">
        <f t="shared" si="12"/>
        <v>0.21658871606818217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to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2" activePane="bottomLeft" state="frozen"/>
      <selection activeCell="X26" sqref="X26"/>
      <selection pane="bottomLeft" activeCell="X172" sqref="X17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1718558</v>
      </c>
      <c r="D5" s="481">
        <v>299445</v>
      </c>
      <c r="E5" s="466">
        <v>268404</v>
      </c>
      <c r="F5" s="548">
        <v>104154</v>
      </c>
      <c r="G5" s="466">
        <v>78989</v>
      </c>
      <c r="H5" s="466"/>
      <c r="I5" s="466">
        <v>26040</v>
      </c>
      <c r="J5" s="467">
        <v>205227</v>
      </c>
      <c r="K5" s="466">
        <v>26040</v>
      </c>
    </row>
    <row r="6" spans="1:12" ht="15" x14ac:dyDescent="0.2">
      <c r="A6" s="463" t="s">
        <v>1662</v>
      </c>
      <c r="B6" s="470">
        <v>1130</v>
      </c>
      <c r="C6" s="466">
        <v>26040</v>
      </c>
      <c r="D6" s="466"/>
      <c r="E6" s="475"/>
      <c r="F6" s="475"/>
      <c r="G6" s="468"/>
      <c r="H6" s="468"/>
      <c r="I6" s="468"/>
      <c r="J6" s="468"/>
      <c r="K6" s="468"/>
    </row>
    <row r="7" spans="1:12" x14ac:dyDescent="0.2">
      <c r="A7" s="463" t="s">
        <v>110</v>
      </c>
      <c r="B7" s="549">
        <v>1140</v>
      </c>
      <c r="C7" s="466">
        <v>20831</v>
      </c>
      <c r="D7" s="466"/>
      <c r="E7" s="468"/>
      <c r="F7" s="467"/>
      <c r="G7" s="467"/>
      <c r="H7" s="467"/>
      <c r="I7" s="468"/>
      <c r="J7" s="468"/>
      <c r="K7" s="468"/>
    </row>
    <row r="8" spans="1:12" x14ac:dyDescent="0.2">
      <c r="A8" s="463" t="s">
        <v>413</v>
      </c>
      <c r="B8" s="470">
        <v>1150</v>
      </c>
      <c r="C8" s="475"/>
      <c r="D8" s="475"/>
      <c r="E8" s="477"/>
      <c r="F8" s="477"/>
      <c r="G8" s="481">
        <v>78989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1765429</v>
      </c>
      <c r="D12" s="1707">
        <f t="shared" si="0"/>
        <v>299445</v>
      </c>
      <c r="E12" s="1707">
        <f t="shared" si="0"/>
        <v>268404</v>
      </c>
      <c r="F12" s="1707">
        <f t="shared" si="0"/>
        <v>104154</v>
      </c>
      <c r="G12" s="1707">
        <f t="shared" si="0"/>
        <v>157978</v>
      </c>
      <c r="H12" s="1707">
        <f t="shared" si="0"/>
        <v>0</v>
      </c>
      <c r="I12" s="1707">
        <f t="shared" si="0"/>
        <v>26040</v>
      </c>
      <c r="J12" s="1707">
        <f t="shared" si="0"/>
        <v>205227</v>
      </c>
      <c r="K12" s="1688">
        <f t="shared" si="0"/>
        <v>26040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70094</v>
      </c>
      <c r="E16" s="466"/>
      <c r="F16" s="466"/>
      <c r="G16" s="466">
        <f>1898+1898</f>
        <v>3796</v>
      </c>
      <c r="H16" s="466"/>
      <c r="I16" s="466"/>
      <c r="J16" s="467"/>
      <c r="K16" s="466"/>
    </row>
    <row r="17" spans="1:11" ht="12.75" customHeight="1" x14ac:dyDescent="0.2">
      <c r="A17" s="463" t="s">
        <v>807</v>
      </c>
      <c r="B17" s="470">
        <v>1290</v>
      </c>
      <c r="C17" s="551">
        <v>1105</v>
      </c>
      <c r="D17" s="466">
        <v>187</v>
      </c>
      <c r="E17" s="466">
        <v>169</v>
      </c>
      <c r="F17" s="466">
        <v>65</v>
      </c>
      <c r="G17" s="466">
        <f>50+50</f>
        <v>100</v>
      </c>
      <c r="H17" s="466"/>
      <c r="I17" s="466">
        <v>16</v>
      </c>
      <c r="J17" s="467">
        <v>133</v>
      </c>
      <c r="K17" s="466">
        <v>16</v>
      </c>
    </row>
    <row r="18" spans="1:11" ht="12.75" customHeight="1" thickBot="1" x14ac:dyDescent="0.25">
      <c r="A18" s="1708" t="s">
        <v>537</v>
      </c>
      <c r="B18" s="1709"/>
      <c r="C18" s="1710">
        <f>SUM(C14:C17)</f>
        <v>1105</v>
      </c>
      <c r="D18" s="1710">
        <f t="shared" ref="D18:K18" si="1">SUM(D14:D17)</f>
        <v>70281</v>
      </c>
      <c r="E18" s="1710">
        <f t="shared" si="1"/>
        <v>169</v>
      </c>
      <c r="F18" s="1710">
        <f t="shared" si="1"/>
        <v>65</v>
      </c>
      <c r="G18" s="1710">
        <f t="shared" si="1"/>
        <v>3896</v>
      </c>
      <c r="H18" s="1710">
        <f t="shared" si="1"/>
        <v>0</v>
      </c>
      <c r="I18" s="1710">
        <f t="shared" si="1"/>
        <v>16</v>
      </c>
      <c r="J18" s="1710">
        <f t="shared" si="1"/>
        <v>133</v>
      </c>
      <c r="K18" s="1711">
        <f t="shared" si="1"/>
        <v>16</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7502</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7502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37712</v>
      </c>
      <c r="D65" s="466">
        <v>5186</v>
      </c>
      <c r="E65" s="466">
        <v>1016</v>
      </c>
      <c r="F65" s="467">
        <v>4372</v>
      </c>
      <c r="G65" s="466">
        <v>2702</v>
      </c>
      <c r="H65" s="466">
        <v>302</v>
      </c>
      <c r="I65" s="466">
        <v>806</v>
      </c>
      <c r="J65" s="467">
        <v>2976</v>
      </c>
      <c r="K65" s="466">
        <v>1822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37712</v>
      </c>
      <c r="D67" s="1688">
        <f t="shared" ref="D67:K67" si="2">SUM(D65:D66)</f>
        <v>5186</v>
      </c>
      <c r="E67" s="1688">
        <f t="shared" si="2"/>
        <v>1016</v>
      </c>
      <c r="F67" s="1688">
        <f t="shared" si="2"/>
        <v>4372</v>
      </c>
      <c r="G67" s="1688">
        <f t="shared" si="2"/>
        <v>2702</v>
      </c>
      <c r="H67" s="1688">
        <f t="shared" si="2"/>
        <v>302</v>
      </c>
      <c r="I67" s="1688">
        <f t="shared" si="2"/>
        <v>806</v>
      </c>
      <c r="J67" s="1688">
        <f t="shared" si="2"/>
        <v>2976</v>
      </c>
      <c r="K67" s="1688">
        <f t="shared" si="2"/>
        <v>1822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43722</v>
      </c>
      <c r="D69" s="468"/>
      <c r="E69" s="468"/>
      <c r="F69" s="468"/>
      <c r="G69" s="468"/>
      <c r="H69" s="468"/>
      <c r="I69" s="468"/>
      <c r="J69" s="468"/>
      <c r="K69" s="468"/>
    </row>
    <row r="70" spans="1:11" ht="12.75" customHeight="1" x14ac:dyDescent="0.2">
      <c r="A70" s="463" t="s">
        <v>997</v>
      </c>
      <c r="B70" s="470">
        <v>1612</v>
      </c>
      <c r="C70" s="551">
        <v>70</v>
      </c>
      <c r="D70" s="468"/>
      <c r="E70" s="468"/>
      <c r="F70" s="468"/>
      <c r="G70" s="468"/>
      <c r="H70" s="468"/>
      <c r="I70" s="468"/>
      <c r="J70" s="468"/>
      <c r="K70" s="468"/>
    </row>
    <row r="71" spans="1:11" ht="12.75" customHeight="1" x14ac:dyDescent="0.2">
      <c r="A71" s="463" t="s">
        <v>273</v>
      </c>
      <c r="B71" s="470">
        <v>1613</v>
      </c>
      <c r="C71" s="551">
        <v>5359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50281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7337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7337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11593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11593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15000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6857</v>
      </c>
      <c r="D98" s="466"/>
      <c r="E98" s="512"/>
      <c r="F98" s="466"/>
      <c r="G98" s="512"/>
      <c r="H98" s="512"/>
      <c r="I98" s="510"/>
      <c r="J98" s="512"/>
      <c r="K98" s="512"/>
    </row>
    <row r="99" spans="1:12" ht="12.75" customHeight="1" x14ac:dyDescent="0.2">
      <c r="A99" s="463" t="s">
        <v>821</v>
      </c>
      <c r="B99" s="470">
        <v>1950</v>
      </c>
      <c r="C99" s="489">
        <v>10102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f>2130+9900</f>
        <v>12030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47993</v>
      </c>
      <c r="D106" s="489"/>
      <c r="E106" s="467"/>
      <c r="F106" s="467"/>
      <c r="G106" s="467"/>
      <c r="H106" s="467">
        <v>57691</v>
      </c>
      <c r="I106" s="521"/>
      <c r="J106" s="467"/>
      <c r="K106" s="467"/>
    </row>
    <row r="107" spans="1:12" ht="12.75" customHeight="1" x14ac:dyDescent="0.2">
      <c r="A107" s="463" t="s">
        <v>78</v>
      </c>
      <c r="B107" s="470">
        <v>1999</v>
      </c>
      <c r="C107" s="551">
        <v>11037</v>
      </c>
      <c r="D107" s="466">
        <v>1779</v>
      </c>
      <c r="E107" s="466"/>
      <c r="F107" s="466">
        <v>350</v>
      </c>
      <c r="G107" s="466"/>
      <c r="H107" s="466"/>
      <c r="I107" s="466"/>
      <c r="J107" s="467"/>
      <c r="K107" s="466"/>
    </row>
    <row r="108" spans="1:12" ht="12.75" customHeight="1" thickBot="1" x14ac:dyDescent="0.25">
      <c r="A108" s="1708" t="s">
        <v>487</v>
      </c>
      <c r="B108" s="1712"/>
      <c r="C108" s="1707">
        <f>SUM(C95:C107)</f>
        <v>103019</v>
      </c>
      <c r="D108" s="1707">
        <f t="shared" ref="D108:K108" si="3">SUM(D95:D107)</f>
        <v>1779</v>
      </c>
      <c r="E108" s="1707">
        <f t="shared" si="3"/>
        <v>0</v>
      </c>
      <c r="F108" s="1707">
        <f t="shared" si="3"/>
        <v>350</v>
      </c>
      <c r="G108" s="1707">
        <f t="shared" si="3"/>
        <v>0</v>
      </c>
      <c r="H108" s="1707">
        <f t="shared" si="3"/>
        <v>57691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1976476</v>
      </c>
      <c r="D109" s="1715">
        <f t="shared" si="4"/>
        <v>376691</v>
      </c>
      <c r="E109" s="1715">
        <f t="shared" si="4"/>
        <v>269589</v>
      </c>
      <c r="F109" s="1715">
        <f t="shared" si="4"/>
        <v>116443</v>
      </c>
      <c r="G109" s="1715">
        <f t="shared" si="4"/>
        <v>164576</v>
      </c>
      <c r="H109" s="1715">
        <f t="shared" si="4"/>
        <v>57993</v>
      </c>
      <c r="I109" s="1715">
        <f t="shared" si="4"/>
        <v>26862</v>
      </c>
      <c r="J109" s="1715">
        <f t="shared" si="4"/>
        <v>208336</v>
      </c>
      <c r="K109" s="1702">
        <f t="shared" si="4"/>
        <v>27878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566169</v>
      </c>
      <c r="D117" s="481"/>
      <c r="E117" s="466"/>
      <c r="F117" s="481">
        <v>400000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566169</v>
      </c>
      <c r="D122" s="1707">
        <f t="shared" si="5"/>
        <v>0</v>
      </c>
      <c r="E122" s="1707">
        <f t="shared" si="5"/>
        <v>0</v>
      </c>
      <c r="F122" s="1707">
        <f t="shared" si="5"/>
        <v>400000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24060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13533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37593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3872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3872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5364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57811</v>
      </c>
      <c r="G152" s="467"/>
      <c r="H152" s="468"/>
      <c r="I152" s="468"/>
      <c r="J152" s="468"/>
      <c r="K152" s="468"/>
    </row>
    <row r="153" spans="1:11" ht="12.75" customHeight="1" x14ac:dyDescent="0.2">
      <c r="A153" s="463" t="s">
        <v>1057</v>
      </c>
      <c r="B153" s="562">
        <v>3510</v>
      </c>
      <c r="C153" s="551"/>
      <c r="D153" s="466"/>
      <c r="E153" s="561"/>
      <c r="F153" s="466">
        <v>124044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181855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3389</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51552</v>
      </c>
      <c r="D169" s="1722">
        <f t="shared" si="6"/>
        <v>0</v>
      </c>
      <c r="E169" s="1722">
        <f t="shared" si="6"/>
        <v>0</v>
      </c>
      <c r="F169" s="1722">
        <f t="shared" si="6"/>
        <v>181855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617721</v>
      </c>
      <c r="D170" s="1715">
        <f t="shared" si="7"/>
        <v>0</v>
      </c>
      <c r="E170" s="1715">
        <f t="shared" si="7"/>
        <v>0</v>
      </c>
      <c r="F170" s="1715">
        <f t="shared" si="7"/>
        <v>581855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71060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9732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80792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73802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73802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9163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9163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94563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94563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12667</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6965</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v>7743</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277952</v>
      </c>
      <c r="D266" s="1715">
        <f t="shared" si="10"/>
        <v>0</v>
      </c>
      <c r="E266" s="1715">
        <f t="shared" si="10"/>
        <v>0</v>
      </c>
      <c r="F266" s="1715">
        <f t="shared" si="10"/>
        <v>7743</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277952</v>
      </c>
      <c r="D267" s="1715">
        <f>SUM(D175,D181,D266)</f>
        <v>0</v>
      </c>
      <c r="E267" s="1715">
        <f>SUM(E175,E266)</f>
        <v>0</v>
      </c>
      <c r="F267" s="1715">
        <f t="shared" ref="F267:K267" si="11">SUM(F175,F181,F266)</f>
        <v>7743</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2872149</v>
      </c>
      <c r="D268" s="1715">
        <f t="shared" si="12"/>
        <v>376691</v>
      </c>
      <c r="E268" s="1715">
        <f t="shared" si="12"/>
        <v>269589</v>
      </c>
      <c r="F268" s="1715">
        <f t="shared" si="12"/>
        <v>706041</v>
      </c>
      <c r="G268" s="1715">
        <f t="shared" si="12"/>
        <v>164576</v>
      </c>
      <c r="H268" s="1715">
        <f t="shared" si="12"/>
        <v>57993</v>
      </c>
      <c r="I268" s="1715">
        <f t="shared" si="12"/>
        <v>26862</v>
      </c>
      <c r="J268" s="1715">
        <f t="shared" si="12"/>
        <v>208336</v>
      </c>
      <c r="K268" s="1702">
        <f t="shared" si="12"/>
        <v>27878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&amp;F&amp;CThe notes to financial statements are an integral part of this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8" activePane="bottomLeft" state="frozen"/>
      <selection activeCell="X26" sqref="X26"/>
      <selection pane="bottomLeft" activeCell="X26" sqref="X2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1029930</v>
      </c>
      <c r="D5" s="466">
        <v>238875</v>
      </c>
      <c r="E5" s="466">
        <v>10159</v>
      </c>
      <c r="F5" s="466">
        <f>30602+719</f>
        <v>31321</v>
      </c>
      <c r="G5" s="466">
        <f>22515-719</f>
        <v>21796</v>
      </c>
      <c r="H5" s="466">
        <v>18108</v>
      </c>
      <c r="I5" s="467"/>
      <c r="J5" s="467"/>
      <c r="K5" s="1671">
        <f>SUM(C5:J5)</f>
        <v>1350189</v>
      </c>
      <c r="L5" s="466">
        <v>1329146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223767</v>
      </c>
      <c r="D8" s="466">
        <v>52689</v>
      </c>
      <c r="E8" s="466"/>
      <c r="F8" s="466">
        <v>201</v>
      </c>
      <c r="G8" s="466"/>
      <c r="H8" s="466"/>
      <c r="I8" s="467"/>
      <c r="J8" s="467"/>
      <c r="K8" s="1671">
        <f t="shared" si="0"/>
        <v>276657</v>
      </c>
      <c r="L8" s="466">
        <v>289625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77232+3940</f>
        <v>81172</v>
      </c>
      <c r="D10" s="466">
        <f>31933-864-2677-442-1370-327</f>
        <v>26253</v>
      </c>
      <c r="E10" s="466">
        <v>7000</v>
      </c>
      <c r="F10" s="466"/>
      <c r="G10" s="466"/>
      <c r="H10" s="466"/>
      <c r="I10" s="467"/>
      <c r="J10" s="467"/>
      <c r="K10" s="1671">
        <f t="shared" si="0"/>
        <v>114425</v>
      </c>
      <c r="L10" s="466">
        <v>110071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52552</f>
        <v>52552</v>
      </c>
      <c r="D13" s="466">
        <f>14079</f>
        <v>14079</v>
      </c>
      <c r="E13" s="466"/>
      <c r="F13" s="466"/>
      <c r="G13" s="466"/>
      <c r="H13" s="466">
        <v>692</v>
      </c>
      <c r="I13" s="467"/>
      <c r="J13" s="467"/>
      <c r="K13" s="1671">
        <f t="shared" si="0"/>
        <v>67323</v>
      </c>
      <c r="L13" s="466">
        <v>66812</v>
      </c>
    </row>
    <row r="14" spans="1:14" x14ac:dyDescent="0.2">
      <c r="A14" s="1504" t="s">
        <v>963</v>
      </c>
      <c r="B14" s="614">
        <v>1500</v>
      </c>
      <c r="C14" s="466">
        <v>107198</v>
      </c>
      <c r="D14" s="466">
        <f>17647-284</f>
        <v>17363</v>
      </c>
      <c r="E14" s="466">
        <v>12393</v>
      </c>
      <c r="F14" s="466">
        <v>13257</v>
      </c>
      <c r="G14" s="466"/>
      <c r="H14" s="466">
        <v>15943</v>
      </c>
      <c r="I14" s="467"/>
      <c r="J14" s="467"/>
      <c r="K14" s="1671">
        <f t="shared" si="0"/>
        <v>166154</v>
      </c>
      <c r="L14" s="466">
        <v>170447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1494619</v>
      </c>
      <c r="D33" s="1670">
        <f t="shared" ref="D33:L33" si="1">SUM(D5:D32)</f>
        <v>349259</v>
      </c>
      <c r="E33" s="1670">
        <f t="shared" si="1"/>
        <v>29552</v>
      </c>
      <c r="F33" s="1670">
        <f t="shared" si="1"/>
        <v>44779</v>
      </c>
      <c r="G33" s="1670">
        <f t="shared" si="1"/>
        <v>21796</v>
      </c>
      <c r="H33" s="1670">
        <f t="shared" si="1"/>
        <v>34743</v>
      </c>
      <c r="I33" s="1670">
        <f t="shared" si="1"/>
        <v>0</v>
      </c>
      <c r="J33" s="1670">
        <f t="shared" si="1"/>
        <v>0</v>
      </c>
      <c r="K33" s="1670">
        <f t="shared" si="1"/>
        <v>1974748</v>
      </c>
      <c r="L33" s="1670">
        <f t="shared" si="1"/>
        <v>1966101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39171</v>
      </c>
      <c r="D37" s="466">
        <v>21142</v>
      </c>
      <c r="E37" s="466"/>
      <c r="F37" s="466"/>
      <c r="G37" s="466"/>
      <c r="H37" s="466"/>
      <c r="I37" s="467"/>
      <c r="J37" s="467"/>
      <c r="K37" s="1671">
        <f t="shared" si="2"/>
        <v>60313</v>
      </c>
      <c r="L37" s="466">
        <v>59158</v>
      </c>
    </row>
    <row r="38" spans="1:14" x14ac:dyDescent="0.2">
      <c r="A38" s="1504" t="s">
        <v>198</v>
      </c>
      <c r="B38" s="614">
        <v>2130</v>
      </c>
      <c r="C38" s="466"/>
      <c r="D38" s="466"/>
      <c r="E38" s="466">
        <v>1389</v>
      </c>
      <c r="F38" s="466">
        <v>92</v>
      </c>
      <c r="G38" s="466"/>
      <c r="H38" s="466"/>
      <c r="I38" s="467"/>
      <c r="J38" s="467"/>
      <c r="K38" s="1671">
        <f t="shared" si="2"/>
        <v>1481</v>
      </c>
      <c r="L38" s="466">
        <v>4750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39171</v>
      </c>
      <c r="D42" s="1670">
        <f t="shared" ref="D42:L42" si="3">SUM(D36:D41)</f>
        <v>21142</v>
      </c>
      <c r="E42" s="1670">
        <f t="shared" si="3"/>
        <v>1389</v>
      </c>
      <c r="F42" s="1670">
        <f t="shared" si="3"/>
        <v>92</v>
      </c>
      <c r="G42" s="1670">
        <f t="shared" si="3"/>
        <v>0</v>
      </c>
      <c r="H42" s="1670">
        <f t="shared" si="3"/>
        <v>0</v>
      </c>
      <c r="I42" s="1670">
        <f t="shared" si="3"/>
        <v>0</v>
      </c>
      <c r="J42" s="1670">
        <f t="shared" si="3"/>
        <v>0</v>
      </c>
      <c r="K42" s="1670">
        <f t="shared" si="3"/>
        <v>61794</v>
      </c>
      <c r="L42" s="1670">
        <f t="shared" si="3"/>
        <v>63908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2871</v>
      </c>
      <c r="E44" s="481">
        <v>3667</v>
      </c>
      <c r="F44" s="481"/>
      <c r="G44" s="481"/>
      <c r="H44" s="481"/>
      <c r="I44" s="467"/>
      <c r="J44" s="467"/>
      <c r="K44" s="1672">
        <f>SUM(C44:J44)</f>
        <v>6538</v>
      </c>
      <c r="L44" s="481">
        <v>16000</v>
      </c>
    </row>
    <row r="45" spans="1:14" x14ac:dyDescent="0.2">
      <c r="A45" s="1504" t="s">
        <v>815</v>
      </c>
      <c r="B45" s="614">
        <v>2220</v>
      </c>
      <c r="C45" s="466">
        <v>11433</v>
      </c>
      <c r="D45" s="466"/>
      <c r="E45" s="466">
        <v>8921</v>
      </c>
      <c r="F45" s="466">
        <v>2563</v>
      </c>
      <c r="G45" s="466"/>
      <c r="H45" s="466"/>
      <c r="I45" s="467"/>
      <c r="J45" s="467"/>
      <c r="K45" s="1672">
        <f>SUM(C45:J45)</f>
        <v>22917</v>
      </c>
      <c r="L45" s="466">
        <v>44200</v>
      </c>
    </row>
    <row r="46" spans="1:14" x14ac:dyDescent="0.2">
      <c r="A46" s="1504" t="s">
        <v>816</v>
      </c>
      <c r="B46" s="614">
        <v>2230</v>
      </c>
      <c r="C46" s="466"/>
      <c r="D46" s="466"/>
      <c r="E46" s="466"/>
      <c r="F46" s="466"/>
      <c r="G46" s="466"/>
      <c r="H46" s="466"/>
      <c r="I46" s="467"/>
      <c r="J46" s="467"/>
      <c r="K46" s="1672">
        <f>SUM(C46:J46)</f>
        <v>0</v>
      </c>
      <c r="L46" s="466">
        <v>2250</v>
      </c>
    </row>
    <row r="47" spans="1:14" ht="12.75" customHeight="1" thickBot="1" x14ac:dyDescent="0.25">
      <c r="A47" s="1668" t="s">
        <v>561</v>
      </c>
      <c r="B47" s="1669" t="s">
        <v>32</v>
      </c>
      <c r="C47" s="1670">
        <f>SUM(C44:C46)</f>
        <v>11433</v>
      </c>
      <c r="D47" s="1670">
        <f t="shared" ref="D47:K47" si="4">SUM(D44:D46)</f>
        <v>2871</v>
      </c>
      <c r="E47" s="1670">
        <f t="shared" si="4"/>
        <v>12588</v>
      </c>
      <c r="F47" s="1670">
        <f t="shared" si="4"/>
        <v>2563</v>
      </c>
      <c r="G47" s="1670">
        <f t="shared" si="4"/>
        <v>0</v>
      </c>
      <c r="H47" s="1670">
        <f t="shared" si="4"/>
        <v>0</v>
      </c>
      <c r="I47" s="1670">
        <f t="shared" si="4"/>
        <v>0</v>
      </c>
      <c r="J47" s="1670">
        <f t="shared" si="4"/>
        <v>0</v>
      </c>
      <c r="K47" s="1670">
        <f t="shared" si="4"/>
        <v>29455</v>
      </c>
      <c r="L47" s="1670">
        <f>SUM(L44:L46)</f>
        <v>62450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7995</v>
      </c>
      <c r="F49" s="481"/>
      <c r="G49" s="481"/>
      <c r="H49" s="481">
        <v>6030</v>
      </c>
      <c r="I49" s="467"/>
      <c r="J49" s="467"/>
      <c r="K49" s="1672">
        <f>SUM(C49:J49)</f>
        <v>14025</v>
      </c>
      <c r="L49" s="481">
        <v>14600</v>
      </c>
    </row>
    <row r="50" spans="1:14" x14ac:dyDescent="0.2">
      <c r="A50" s="1504" t="s">
        <v>818</v>
      </c>
      <c r="B50" s="614">
        <v>2320</v>
      </c>
      <c r="C50" s="466">
        <v>67255</v>
      </c>
      <c r="D50" s="466">
        <f>35701-618-1475-331-803-188</f>
        <v>32286</v>
      </c>
      <c r="E50" s="466">
        <v>1831</v>
      </c>
      <c r="F50" s="466">
        <v>73</v>
      </c>
      <c r="G50" s="466"/>
      <c r="H50" s="466">
        <v>938</v>
      </c>
      <c r="I50" s="467"/>
      <c r="J50" s="467"/>
      <c r="K50" s="1672">
        <f>SUM(C50:J50)</f>
        <v>102383</v>
      </c>
      <c r="L50" s="466">
        <v>101460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67255</v>
      </c>
      <c r="D53" s="1670">
        <f t="shared" ref="D53:L53" si="5">SUM(D49:D52)</f>
        <v>32286</v>
      </c>
      <c r="E53" s="1670">
        <f t="shared" si="5"/>
        <v>9826</v>
      </c>
      <c r="F53" s="1670">
        <f t="shared" si="5"/>
        <v>73</v>
      </c>
      <c r="G53" s="1670">
        <f t="shared" si="5"/>
        <v>0</v>
      </c>
      <c r="H53" s="1670">
        <f t="shared" si="5"/>
        <v>6968</v>
      </c>
      <c r="I53" s="1670">
        <f t="shared" si="5"/>
        <v>0</v>
      </c>
      <c r="J53" s="1670">
        <f t="shared" si="5"/>
        <v>0</v>
      </c>
      <c r="K53" s="1670">
        <f t="shared" si="5"/>
        <v>116408</v>
      </c>
      <c r="L53" s="1670">
        <f t="shared" si="5"/>
        <v>116060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168925</v>
      </c>
      <c r="D55" s="481">
        <v>61755</v>
      </c>
      <c r="E55" s="481">
        <v>757</v>
      </c>
      <c r="F55" s="481">
        <v>701</v>
      </c>
      <c r="G55" s="481"/>
      <c r="H55" s="481">
        <v>1380</v>
      </c>
      <c r="I55" s="467"/>
      <c r="J55" s="467"/>
      <c r="K55" s="1672">
        <f>SUM(C55:J55)</f>
        <v>233518</v>
      </c>
      <c r="L55" s="481">
        <v>220882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168925</v>
      </c>
      <c r="D57" s="1674">
        <f t="shared" ref="D57:K57" si="6">SUM(D55:D56)</f>
        <v>61755</v>
      </c>
      <c r="E57" s="1674">
        <f t="shared" si="6"/>
        <v>757</v>
      </c>
      <c r="F57" s="1674">
        <f t="shared" si="6"/>
        <v>701</v>
      </c>
      <c r="G57" s="1674">
        <f t="shared" si="6"/>
        <v>0</v>
      </c>
      <c r="H57" s="1674">
        <f t="shared" si="6"/>
        <v>1380</v>
      </c>
      <c r="I57" s="1674">
        <f t="shared" si="6"/>
        <v>0</v>
      </c>
      <c r="J57" s="1674">
        <f t="shared" si="6"/>
        <v>0</v>
      </c>
      <c r="K57" s="1674">
        <f t="shared" si="6"/>
        <v>233518</v>
      </c>
      <c r="L57" s="1670">
        <f>SUM(L55:L56)</f>
        <v>220882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60501</v>
      </c>
      <c r="D60" s="466">
        <v>15664</v>
      </c>
      <c r="E60" s="466">
        <v>9665</v>
      </c>
      <c r="F60" s="466">
        <v>1041</v>
      </c>
      <c r="G60" s="466"/>
      <c r="H60" s="466">
        <v>913</v>
      </c>
      <c r="I60" s="467"/>
      <c r="J60" s="467"/>
      <c r="K60" s="1672">
        <f t="shared" si="7"/>
        <v>87784</v>
      </c>
      <c r="L60" s="466">
        <v>89436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57357</v>
      </c>
      <c r="D63" s="466">
        <v>16886</v>
      </c>
      <c r="E63" s="466">
        <v>2282</v>
      </c>
      <c r="F63" s="466">
        <v>72580</v>
      </c>
      <c r="G63" s="466">
        <v>22181</v>
      </c>
      <c r="H63" s="466">
        <v>425</v>
      </c>
      <c r="I63" s="467"/>
      <c r="J63" s="467"/>
      <c r="K63" s="1672">
        <f t="shared" si="7"/>
        <v>171711</v>
      </c>
      <c r="L63" s="466">
        <v>166198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117858</v>
      </c>
      <c r="D65" s="1670">
        <f t="shared" ref="D65:L65" si="8">SUM(D59:D64)</f>
        <v>32550</v>
      </c>
      <c r="E65" s="1670">
        <f t="shared" si="8"/>
        <v>11947</v>
      </c>
      <c r="F65" s="1670">
        <f t="shared" si="8"/>
        <v>73621</v>
      </c>
      <c r="G65" s="1670">
        <f t="shared" si="8"/>
        <v>22181</v>
      </c>
      <c r="H65" s="1670">
        <f t="shared" si="8"/>
        <v>1338</v>
      </c>
      <c r="I65" s="1670">
        <f t="shared" si="8"/>
        <v>0</v>
      </c>
      <c r="J65" s="1670">
        <f t="shared" si="8"/>
        <v>0</v>
      </c>
      <c r="K65" s="1670">
        <f t="shared" si="8"/>
        <v>259495</v>
      </c>
      <c r="L65" s="1670">
        <f t="shared" si="8"/>
        <v>255634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v>13175</v>
      </c>
      <c r="I71" s="467"/>
      <c r="J71" s="467"/>
      <c r="K71" s="1672">
        <f>SUM(C71:J71)</f>
        <v>13175</v>
      </c>
      <c r="L71" s="466">
        <v>18000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13175</v>
      </c>
      <c r="I72" s="1670">
        <f t="shared" si="9"/>
        <v>0</v>
      </c>
      <c r="J72" s="1670">
        <f t="shared" si="9"/>
        <v>0</v>
      </c>
      <c r="K72" s="1670">
        <f t="shared" si="9"/>
        <v>13175</v>
      </c>
      <c r="L72" s="1670">
        <f>SUM(L67:L71)</f>
        <v>18000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404642</v>
      </c>
      <c r="D74" s="1677">
        <f t="shared" ref="D74:K74" si="10">SUM(D42,D47,D53,D57,D65,D72,D73)</f>
        <v>150604</v>
      </c>
      <c r="E74" s="1677">
        <f t="shared" si="10"/>
        <v>36507</v>
      </c>
      <c r="F74" s="1677">
        <f t="shared" si="10"/>
        <v>77050</v>
      </c>
      <c r="G74" s="1677">
        <f t="shared" si="10"/>
        <v>22181</v>
      </c>
      <c r="H74" s="1677">
        <f t="shared" si="10"/>
        <v>22861</v>
      </c>
      <c r="I74" s="1677">
        <f t="shared" si="10"/>
        <v>0</v>
      </c>
      <c r="J74" s="1677">
        <f t="shared" si="10"/>
        <v>0</v>
      </c>
      <c r="K74" s="1677">
        <f t="shared" si="10"/>
        <v>713845</v>
      </c>
      <c r="L74" s="1677">
        <f>SUM(L42,L47,L53,L57,L65,L72,L73)</f>
        <v>736934</v>
      </c>
    </row>
    <row r="75" spans="1:14" s="259" customFormat="1" ht="15.75" customHeight="1" thickTop="1" thickBot="1" x14ac:dyDescent="0.25">
      <c r="A75" s="1610" t="s">
        <v>47</v>
      </c>
      <c r="B75" s="1611" t="s">
        <v>575</v>
      </c>
      <c r="C75" s="573"/>
      <c r="D75" s="573"/>
      <c r="E75" s="573">
        <v>26181</v>
      </c>
      <c r="F75" s="573"/>
      <c r="G75" s="573"/>
      <c r="H75" s="573"/>
      <c r="I75" s="531"/>
      <c r="J75" s="531"/>
      <c r="K75" s="1670">
        <f>SUM(C75:J75)</f>
        <v>26181</v>
      </c>
      <c r="L75" s="576">
        <v>22000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f>172876+9394+2</f>
        <v>182272</v>
      </c>
      <c r="F79" s="616"/>
      <c r="G79" s="616"/>
      <c r="H79" s="466"/>
      <c r="I79" s="477"/>
      <c r="J79" s="477"/>
      <c r="K79" s="1671">
        <f t="shared" si="11"/>
        <v>182272</v>
      </c>
      <c r="L79" s="466">
        <v>201519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182272</v>
      </c>
      <c r="F84" s="616"/>
      <c r="G84" s="616"/>
      <c r="H84" s="1670">
        <f>SUM(H78:H83)</f>
        <v>0</v>
      </c>
      <c r="I84" s="477"/>
      <c r="J84" s="477"/>
      <c r="K84" s="1670">
        <f>SUM(K78:K83)</f>
        <v>182272</v>
      </c>
      <c r="L84" s="1670">
        <f>SUM(L78:L83)</f>
        <v>201519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385705</v>
      </c>
      <c r="I86" s="477"/>
      <c r="J86" s="477"/>
      <c r="K86" s="1677">
        <f t="shared" ref="K86:K98" si="12">H86</f>
        <v>385705</v>
      </c>
      <c r="L86" s="530">
        <v>407000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v>7500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v>5000</v>
      </c>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385705</v>
      </c>
      <c r="I92" s="477"/>
      <c r="J92" s="477"/>
      <c r="K92" s="1677">
        <f t="shared" si="12"/>
        <v>385705</v>
      </c>
      <c r="L92" s="1670">
        <f>SUM(L85:L91)</f>
        <v>419500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182272</v>
      </c>
      <c r="F102" s="616"/>
      <c r="G102" s="616"/>
      <c r="H102" s="1677">
        <f>SUM(H84,H92,H100,H101)</f>
        <v>385705</v>
      </c>
      <c r="I102" s="477"/>
      <c r="J102" s="477"/>
      <c r="K102" s="1677">
        <f>SUM(K84,K92,K100,K101)</f>
        <v>567977</v>
      </c>
      <c r="L102" s="1677">
        <f>SUM(L84,L92,L100,L101)</f>
        <v>621019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1899261</v>
      </c>
      <c r="D114" s="1670">
        <f t="shared" ref="D114:K114" si="13">SUM(D33,D74,D75,D102,D112,D113)</f>
        <v>499863</v>
      </c>
      <c r="E114" s="1670">
        <f t="shared" si="13"/>
        <v>274512</v>
      </c>
      <c r="F114" s="1670">
        <f t="shared" si="13"/>
        <v>121829</v>
      </c>
      <c r="G114" s="1670">
        <f t="shared" si="13"/>
        <v>43977</v>
      </c>
      <c r="H114" s="1670">
        <f>SUM(H33,H74,H75,H102,H112,H113)</f>
        <v>443309</v>
      </c>
      <c r="I114" s="1670">
        <f t="shared" si="13"/>
        <v>0</v>
      </c>
      <c r="J114" s="1670">
        <f t="shared" si="13"/>
        <v>0</v>
      </c>
      <c r="K114" s="1670">
        <f t="shared" si="13"/>
        <v>3282751</v>
      </c>
      <c r="L114" s="1670">
        <f>SUM(L33,L74,L75,L102,L112,L113)</f>
        <v>3346054</v>
      </c>
    </row>
    <row r="115" spans="1:14" ht="13.5" thickTop="1" x14ac:dyDescent="0.2">
      <c r="A115" s="2156" t="s">
        <v>996</v>
      </c>
      <c r="B115" s="2157"/>
      <c r="C115" s="618"/>
      <c r="D115" s="618"/>
      <c r="E115" s="618"/>
      <c r="F115" s="618"/>
      <c r="G115" s="618"/>
      <c r="H115" s="618"/>
      <c r="I115" s="618"/>
      <c r="J115" s="618"/>
      <c r="K115" s="1684">
        <f>'Revenues 9-14'!C268-'Expenditures 15-22'!K114</f>
        <v>-410602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149466</v>
      </c>
      <c r="D124" s="466">
        <v>24460</v>
      </c>
      <c r="E124" s="466">
        <v>32775</v>
      </c>
      <c r="F124" s="466">
        <v>82601</v>
      </c>
      <c r="G124" s="466">
        <v>6062</v>
      </c>
      <c r="H124" s="466"/>
      <c r="I124" s="467"/>
      <c r="J124" s="467"/>
      <c r="K124" s="1670">
        <f>SUM(C124:J124)</f>
        <v>295364</v>
      </c>
      <c r="L124" s="466">
        <v>327413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149466</v>
      </c>
      <c r="D127" s="1670">
        <f t="shared" ref="D127:L127" si="14">SUM(D122:D126)</f>
        <v>24460</v>
      </c>
      <c r="E127" s="1670">
        <f t="shared" si="14"/>
        <v>32775</v>
      </c>
      <c r="F127" s="1670">
        <f t="shared" si="14"/>
        <v>82601</v>
      </c>
      <c r="G127" s="1670">
        <f t="shared" si="14"/>
        <v>6062</v>
      </c>
      <c r="H127" s="1670">
        <f t="shared" si="14"/>
        <v>0</v>
      </c>
      <c r="I127" s="1670">
        <f t="shared" si="14"/>
        <v>0</v>
      </c>
      <c r="J127" s="1670">
        <f t="shared" si="14"/>
        <v>0</v>
      </c>
      <c r="K127" s="1670">
        <f t="shared" si="14"/>
        <v>295364</v>
      </c>
      <c r="L127" s="1670">
        <f t="shared" si="14"/>
        <v>327413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149466</v>
      </c>
      <c r="D129" s="1677">
        <f t="shared" ref="D129:L129" si="15">SUM(D120,D127,D128)</f>
        <v>24460</v>
      </c>
      <c r="E129" s="1677">
        <f t="shared" si="15"/>
        <v>32775</v>
      </c>
      <c r="F129" s="1677">
        <f t="shared" si="15"/>
        <v>82601</v>
      </c>
      <c r="G129" s="1677">
        <f t="shared" si="15"/>
        <v>6062</v>
      </c>
      <c r="H129" s="1677">
        <f t="shared" si="15"/>
        <v>0</v>
      </c>
      <c r="I129" s="1677">
        <f t="shared" si="15"/>
        <v>0</v>
      </c>
      <c r="J129" s="1677">
        <f t="shared" si="15"/>
        <v>0</v>
      </c>
      <c r="K129" s="1677">
        <f t="shared" si="15"/>
        <v>295364</v>
      </c>
      <c r="L129" s="1677">
        <f t="shared" si="15"/>
        <v>327413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v>5313</v>
      </c>
      <c r="F136" s="616"/>
      <c r="G136" s="616"/>
      <c r="H136" s="466"/>
      <c r="I136" s="477"/>
      <c r="J136" s="616"/>
      <c r="K136" s="1672">
        <f>SUM(E136,H136)</f>
        <v>5313</v>
      </c>
      <c r="L136" s="466"/>
    </row>
    <row r="137" spans="1:14" ht="12.75" customHeight="1" thickBot="1" x14ac:dyDescent="0.25">
      <c r="A137" s="1668" t="s">
        <v>480</v>
      </c>
      <c r="B137" s="1678">
        <v>4100</v>
      </c>
      <c r="C137" s="616"/>
      <c r="D137" s="616"/>
      <c r="E137" s="1670">
        <f>SUM(E133:E136)</f>
        <v>5313</v>
      </c>
      <c r="F137" s="616"/>
      <c r="G137" s="616"/>
      <c r="H137" s="1670">
        <f>SUM(H133:H136)</f>
        <v>0</v>
      </c>
      <c r="I137" s="477"/>
      <c r="J137" s="616"/>
      <c r="K137" s="1670">
        <f>SUM(K133:K136)</f>
        <v>5313</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5313</v>
      </c>
      <c r="F139" s="616"/>
      <c r="G139" s="616"/>
      <c r="H139" s="1679">
        <f>SUM(H137:H138)</f>
        <v>0</v>
      </c>
      <c r="I139" s="477"/>
      <c r="J139" s="616"/>
      <c r="K139" s="1672">
        <f>SUM(K137,K138)</f>
        <v>5313</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149466</v>
      </c>
      <c r="D151" s="1670">
        <f t="shared" ref="D151:K151" si="16">SUM(D129,D130,D139,D149,D150)</f>
        <v>24460</v>
      </c>
      <c r="E151" s="1670">
        <f t="shared" si="16"/>
        <v>38088</v>
      </c>
      <c r="F151" s="1670">
        <f t="shared" si="16"/>
        <v>82601</v>
      </c>
      <c r="G151" s="1670">
        <f t="shared" si="16"/>
        <v>6062</v>
      </c>
      <c r="H151" s="1670">
        <f t="shared" si="16"/>
        <v>0</v>
      </c>
      <c r="I151" s="1670">
        <f t="shared" si="16"/>
        <v>0</v>
      </c>
      <c r="J151" s="1670">
        <f t="shared" si="16"/>
        <v>0</v>
      </c>
      <c r="K151" s="1670">
        <f t="shared" si="16"/>
        <v>300677</v>
      </c>
      <c r="L151" s="1670">
        <f>SUM(L129,L130,L139,L149,L150)</f>
        <v>327413</v>
      </c>
    </row>
    <row r="152" spans="1:14" ht="12.75" customHeight="1" thickTop="1" x14ac:dyDescent="0.2">
      <c r="A152" s="2176" t="s">
        <v>1178</v>
      </c>
      <c r="B152" s="2177"/>
      <c r="C152" s="618"/>
      <c r="D152" s="618"/>
      <c r="E152" s="618"/>
      <c r="F152" s="618"/>
      <c r="G152" s="618"/>
      <c r="H152" s="618"/>
      <c r="I152" s="618"/>
      <c r="J152" s="616"/>
      <c r="K152" s="1684">
        <f>'Revenues 9-14'!D268-'Expenditures 15-22'!K151</f>
        <v>76014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4108</v>
      </c>
      <c r="I169" s="616"/>
      <c r="J169" s="616"/>
      <c r="K169" s="1671">
        <f>SUM(C169:H169)</f>
        <v>4108</v>
      </c>
      <c r="L169" s="656">
        <v>4108</v>
      </c>
    </row>
    <row r="170" spans="1:14" ht="33.75" customHeight="1" x14ac:dyDescent="0.2">
      <c r="A170" s="669" t="s">
        <v>1670</v>
      </c>
      <c r="B170" s="671" t="s">
        <v>31</v>
      </c>
      <c r="C170" s="616"/>
      <c r="D170" s="616"/>
      <c r="E170" s="616"/>
      <c r="F170" s="616"/>
      <c r="G170" s="616"/>
      <c r="H170" s="569">
        <v>265000</v>
      </c>
      <c r="I170" s="616"/>
      <c r="J170" s="616"/>
      <c r="K170" s="1671">
        <f>SUM(C170:J170)</f>
        <v>265000</v>
      </c>
      <c r="L170" s="569">
        <v>265000</v>
      </c>
    </row>
    <row r="171" spans="1:14" ht="15.75" customHeight="1" x14ac:dyDescent="0.2">
      <c r="A171" s="621" t="s">
        <v>766</v>
      </c>
      <c r="B171" s="672" t="s">
        <v>84</v>
      </c>
      <c r="C171" s="616"/>
      <c r="D171" s="616"/>
      <c r="E171" s="466"/>
      <c r="F171" s="616"/>
      <c r="G171" s="616"/>
      <c r="H171" s="569">
        <v>500</v>
      </c>
      <c r="I171" s="477"/>
      <c r="J171" s="616"/>
      <c r="K171" s="1671">
        <f>SUM(C171:J171)</f>
        <v>500</v>
      </c>
      <c r="L171" s="569"/>
    </row>
    <row r="172" spans="1:14" ht="12.75" customHeight="1" thickBot="1" x14ac:dyDescent="0.25">
      <c r="A172" s="1668" t="s">
        <v>638</v>
      </c>
      <c r="B172" s="1669" t="s">
        <v>492</v>
      </c>
      <c r="C172" s="616"/>
      <c r="D172" s="616"/>
      <c r="E172" s="1677">
        <f>SUM(E168,E169,E170,E171)</f>
        <v>0</v>
      </c>
      <c r="F172" s="616"/>
      <c r="G172" s="616"/>
      <c r="H172" s="1677">
        <f>SUM(H168,H169,H170,H171)</f>
        <v>269608</v>
      </c>
      <c r="I172" s="638"/>
      <c r="J172" s="616"/>
      <c r="K172" s="1677">
        <f>SUM(K168,K169,K170,K171)</f>
        <v>269608</v>
      </c>
      <c r="L172" s="1677">
        <f>SUM(L168,L169,L170,L171)</f>
        <v>269108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269608</v>
      </c>
      <c r="I174" s="638"/>
      <c r="J174" s="616"/>
      <c r="K174" s="1677">
        <f>SUM(K160,K172,K173)</f>
        <v>269608</v>
      </c>
      <c r="L174" s="1677">
        <f>SUM(L160,L172,L173)</f>
        <v>269108</v>
      </c>
    </row>
    <row r="175" spans="1:14" ht="13.5" thickTop="1" x14ac:dyDescent="0.2">
      <c r="A175" s="2156" t="s">
        <v>996</v>
      </c>
      <c r="B175" s="2157"/>
      <c r="C175" s="616"/>
      <c r="D175" s="616"/>
      <c r="E175" s="616"/>
      <c r="F175" s="616"/>
      <c r="G175" s="616"/>
      <c r="H175" s="618"/>
      <c r="I175" s="616"/>
      <c r="J175" s="616"/>
      <c r="K175" s="1684">
        <f>'Revenues 9-14'!E268-'Expenditures 15-22'!K174</f>
        <v>-19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201241</v>
      </c>
      <c r="D182" s="466">
        <v>21434</v>
      </c>
      <c r="E182" s="466">
        <v>97151</v>
      </c>
      <c r="F182" s="466">
        <v>38325</v>
      </c>
      <c r="G182" s="466"/>
      <c r="H182" s="466">
        <v>134</v>
      </c>
      <c r="I182" s="467"/>
      <c r="J182" s="467"/>
      <c r="K182" s="1671">
        <f>SUM(C182:J182)</f>
        <v>358285</v>
      </c>
      <c r="L182" s="466">
        <v>360497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201241</v>
      </c>
      <c r="D184" s="1677">
        <f t="shared" ref="D184:J184" si="17">SUM(D180,D182,D183)</f>
        <v>21434</v>
      </c>
      <c r="E184" s="1677">
        <f t="shared" si="17"/>
        <v>97151</v>
      </c>
      <c r="F184" s="1677">
        <f t="shared" si="17"/>
        <v>38325</v>
      </c>
      <c r="G184" s="1677">
        <f t="shared" si="17"/>
        <v>0</v>
      </c>
      <c r="H184" s="1677">
        <f t="shared" si="17"/>
        <v>134</v>
      </c>
      <c r="I184" s="1677">
        <f t="shared" si="17"/>
        <v>0</v>
      </c>
      <c r="J184" s="1677">
        <f t="shared" si="17"/>
        <v>0</v>
      </c>
      <c r="K184" s="1677">
        <f>SUM(K180,K182,K183)</f>
        <v>358285</v>
      </c>
      <c r="L184" s="1677">
        <f>SUM(L180, L182:L183)</f>
        <v>360497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201241</v>
      </c>
      <c r="D210" s="1670">
        <f>SUM(D184,D185)</f>
        <v>21434</v>
      </c>
      <c r="E210" s="1670">
        <f>SUM(E184,E185,E196)</f>
        <v>97151</v>
      </c>
      <c r="F210" s="1670">
        <f>SUM(F184,F185)</f>
        <v>38325</v>
      </c>
      <c r="G210" s="1670">
        <f>SUM(G184,G185)</f>
        <v>0</v>
      </c>
      <c r="H210" s="1670">
        <f>SUM(H184,H185,H196,H208,H209)</f>
        <v>134</v>
      </c>
      <c r="I210" s="1670">
        <f>SUM(I184,I185)</f>
        <v>0</v>
      </c>
      <c r="J210" s="1670">
        <f>SUM(J184,J185)</f>
        <v>0</v>
      </c>
      <c r="K210" s="1671">
        <f>SUM(K184,K185,K196,K208,K209)</f>
        <v>358285</v>
      </c>
      <c r="L210" s="1670">
        <f>SUM(L184,L185,L196,L208,L209)</f>
        <v>360497</v>
      </c>
    </row>
    <row r="211" spans="1:14" ht="13.5" thickTop="1" x14ac:dyDescent="0.2">
      <c r="A211" s="2156" t="s">
        <v>996</v>
      </c>
      <c r="B211" s="2157"/>
      <c r="C211" s="618"/>
      <c r="D211" s="618"/>
      <c r="E211" s="618"/>
      <c r="F211" s="618"/>
      <c r="G211" s="618"/>
      <c r="H211" s="618"/>
      <c r="I211" s="616"/>
      <c r="J211" s="616"/>
      <c r="K211" s="1684">
        <f>'Revenues 9-14'!F268-'Expenditures 15-22'!K210</f>
        <v>347756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15073</v>
      </c>
      <c r="E215" s="616"/>
      <c r="F215" s="616"/>
      <c r="G215" s="616"/>
      <c r="H215" s="616"/>
      <c r="I215" s="616"/>
      <c r="J215" s="616"/>
      <c r="K215" s="1671">
        <f>D215</f>
        <v>15073</v>
      </c>
      <c r="L215" s="466">
        <v>14400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9736+9122</f>
        <v>18858</v>
      </c>
      <c r="E217" s="616"/>
      <c r="F217" s="616"/>
      <c r="G217" s="616"/>
      <c r="H217" s="616"/>
      <c r="I217" s="616"/>
      <c r="J217" s="616"/>
      <c r="K217" s="1671">
        <f t="shared" si="19"/>
        <v>18858</v>
      </c>
      <c r="L217" s="466">
        <v>21900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864+2677+442+1370+327+795</f>
        <v>6475</v>
      </c>
      <c r="E219" s="616"/>
      <c r="F219" s="616"/>
      <c r="G219" s="616"/>
      <c r="H219" s="616"/>
      <c r="I219" s="616"/>
      <c r="J219" s="616"/>
      <c r="K219" s="1671">
        <f t="shared" si="19"/>
        <v>6475</v>
      </c>
      <c r="L219" s="466">
        <v>6255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808</v>
      </c>
      <c r="E222" s="616"/>
      <c r="F222" s="616"/>
      <c r="G222" s="616"/>
      <c r="H222" s="616"/>
      <c r="I222" s="616"/>
      <c r="J222" s="616"/>
      <c r="K222" s="1671">
        <f t="shared" si="19"/>
        <v>808</v>
      </c>
      <c r="L222" s="466">
        <v>775</v>
      </c>
    </row>
    <row r="223" spans="1:14" x14ac:dyDescent="0.2">
      <c r="A223" s="1504" t="s">
        <v>963</v>
      </c>
      <c r="B223" s="614">
        <v>1500</v>
      </c>
      <c r="C223" s="616"/>
      <c r="D223" s="466">
        <f>284+4060</f>
        <v>4344</v>
      </c>
      <c r="E223" s="616"/>
      <c r="F223" s="616"/>
      <c r="G223" s="616"/>
      <c r="H223" s="616"/>
      <c r="I223" s="616"/>
      <c r="J223" s="616"/>
      <c r="K223" s="1671">
        <f t="shared" si="19"/>
        <v>4344</v>
      </c>
      <c r="L223" s="466">
        <v>4255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45558</v>
      </c>
      <c r="E229" s="616"/>
      <c r="F229" s="616"/>
      <c r="G229" s="616"/>
      <c r="H229" s="616"/>
      <c r="I229" s="616"/>
      <c r="J229" s="616"/>
      <c r="K229" s="1670">
        <f>SUM(K215:K228)</f>
        <v>45558</v>
      </c>
      <c r="L229" s="1670">
        <f>SUM(L215:L228)</f>
        <v>47585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881</v>
      </c>
      <c r="E241" s="616"/>
      <c r="F241" s="616"/>
      <c r="G241" s="616"/>
      <c r="H241" s="616"/>
      <c r="I241" s="616"/>
      <c r="J241" s="616"/>
      <c r="K241" s="1672">
        <f>D241</f>
        <v>881</v>
      </c>
      <c r="L241" s="466">
        <v>800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881</v>
      </c>
      <c r="E243" s="616"/>
      <c r="F243" s="616"/>
      <c r="G243" s="616"/>
      <c r="H243" s="616"/>
      <c r="I243" s="616"/>
      <c r="J243" s="616"/>
      <c r="K243" s="1670">
        <f>SUM(K240:K242)</f>
        <v>881</v>
      </c>
      <c r="L243" s="1670">
        <f>SUM(L240:L242)</f>
        <v>800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972</v>
      </c>
      <c r="E246" s="616"/>
      <c r="F246" s="616"/>
      <c r="G246" s="616"/>
      <c r="H246" s="616"/>
      <c r="I246" s="616"/>
      <c r="J246" s="616"/>
      <c r="K246" s="1672">
        <f t="shared" ref="K246:K256" si="21">D246</f>
        <v>972</v>
      </c>
      <c r="L246" s="466">
        <v>1000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3778</v>
      </c>
      <c r="E254" s="616"/>
      <c r="F254" s="616"/>
      <c r="G254" s="616"/>
      <c r="H254" s="616"/>
      <c r="I254" s="616"/>
      <c r="J254" s="616"/>
      <c r="K254" s="1672">
        <f t="shared" si="21"/>
        <v>3778</v>
      </c>
      <c r="L254" s="466">
        <v>5160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4750</v>
      </c>
      <c r="E257" s="616"/>
      <c r="F257" s="616"/>
      <c r="G257" s="616"/>
      <c r="H257" s="616"/>
      <c r="I257" s="616"/>
      <c r="J257" s="616"/>
      <c r="K257" s="1670">
        <f>SUM(K245:K256)</f>
        <v>4750</v>
      </c>
      <c r="L257" s="1670">
        <f>SUM(L245:L256)</f>
        <v>6160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17881</v>
      </c>
      <c r="E259" s="616"/>
      <c r="F259" s="616"/>
      <c r="G259" s="616"/>
      <c r="H259" s="616"/>
      <c r="I259" s="616"/>
      <c r="J259" s="616"/>
      <c r="K259" s="1672">
        <f>D259</f>
        <v>17881</v>
      </c>
      <c r="L259" s="481">
        <v>19130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17881</v>
      </c>
      <c r="E261" s="616"/>
      <c r="F261" s="616"/>
      <c r="G261" s="616"/>
      <c r="H261" s="616"/>
      <c r="I261" s="616"/>
      <c r="J261" s="616"/>
      <c r="K261" s="1670">
        <f>SUM(K259:K260)</f>
        <v>17881</v>
      </c>
      <c r="L261" s="1670">
        <f>SUM(L259:L260)</f>
        <v>19130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10023</v>
      </c>
      <c r="E264" s="616"/>
      <c r="F264" s="616"/>
      <c r="G264" s="616"/>
      <c r="H264" s="616"/>
      <c r="I264" s="616"/>
      <c r="J264" s="616"/>
      <c r="K264" s="1672">
        <f t="shared" ref="K264:K269" si="22">D264</f>
        <v>10023</v>
      </c>
      <c r="L264" s="466">
        <v>9725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27364</v>
      </c>
      <c r="E266" s="616"/>
      <c r="F266" s="616"/>
      <c r="G266" s="616"/>
      <c r="H266" s="616"/>
      <c r="I266" s="616"/>
      <c r="J266" s="616"/>
      <c r="K266" s="1672">
        <f t="shared" si="22"/>
        <v>27364</v>
      </c>
      <c r="L266" s="466">
        <v>28055</v>
      </c>
    </row>
    <row r="267" spans="1:14" x14ac:dyDescent="0.2">
      <c r="A267" s="1504" t="s">
        <v>953</v>
      </c>
      <c r="B267" s="614">
        <v>2550</v>
      </c>
      <c r="C267" s="616"/>
      <c r="D267" s="466">
        <v>33085</v>
      </c>
      <c r="E267" s="616"/>
      <c r="F267" s="616"/>
      <c r="G267" s="616"/>
      <c r="H267" s="616"/>
      <c r="I267" s="616"/>
      <c r="J267" s="616"/>
      <c r="K267" s="1672">
        <f t="shared" si="22"/>
        <v>33085</v>
      </c>
      <c r="L267" s="466">
        <v>35300</v>
      </c>
    </row>
    <row r="268" spans="1:14" x14ac:dyDescent="0.2">
      <c r="A268" s="1504" t="s">
        <v>100</v>
      </c>
      <c r="B268" s="614">
        <v>2560</v>
      </c>
      <c r="C268" s="616"/>
      <c r="D268" s="466">
        <v>10171</v>
      </c>
      <c r="E268" s="616"/>
      <c r="F268" s="616"/>
      <c r="G268" s="616"/>
      <c r="H268" s="616"/>
      <c r="I268" s="616"/>
      <c r="J268" s="616"/>
      <c r="K268" s="1672">
        <f t="shared" si="22"/>
        <v>10171</v>
      </c>
      <c r="L268" s="466">
        <v>11440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80643</v>
      </c>
      <c r="E270" s="616"/>
      <c r="F270" s="616"/>
      <c r="G270" s="616"/>
      <c r="H270" s="616"/>
      <c r="I270" s="616"/>
      <c r="J270" s="616"/>
      <c r="K270" s="1670">
        <f>SUM(K263:K269)</f>
        <v>80643</v>
      </c>
      <c r="L270" s="1670">
        <f>SUM(L263:L269)</f>
        <v>84520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104155</v>
      </c>
      <c r="E279" s="616"/>
      <c r="F279" s="616"/>
      <c r="G279" s="616"/>
      <c r="H279" s="616"/>
      <c r="I279" s="616"/>
      <c r="J279" s="616"/>
      <c r="K279" s="1677">
        <f>SUM(K238,K243,K257,K261,K270,K277,K278)</f>
        <v>104155</v>
      </c>
      <c r="L279" s="1677">
        <f>SUM(L238,L243,L257,L261,L270,L277,L278)</f>
        <v>110610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149713</v>
      </c>
      <c r="E295" s="616"/>
      <c r="F295" s="616"/>
      <c r="G295" s="616"/>
      <c r="H295" s="1670">
        <f>H293</f>
        <v>0</v>
      </c>
      <c r="I295" s="616"/>
      <c r="J295" s="616"/>
      <c r="K295" s="1670">
        <f>SUM(K229,K279,K280,K285,K293,K294)</f>
        <v>149713</v>
      </c>
      <c r="L295" s="1670">
        <f>SUM(L229,L279,L280,L285,L293,L294)</f>
        <v>158195</v>
      </c>
    </row>
    <row r="296" spans="1:14" ht="13.5" thickTop="1" x14ac:dyDescent="0.2">
      <c r="A296" s="2156" t="s">
        <v>996</v>
      </c>
      <c r="B296" s="2157"/>
      <c r="C296" s="616"/>
      <c r="D296" s="618"/>
      <c r="E296" s="616"/>
      <c r="F296" s="616"/>
      <c r="G296" s="616"/>
      <c r="H296" s="687"/>
      <c r="I296" s="616"/>
      <c r="J296" s="616"/>
      <c r="K296" s="1684">
        <f>'Revenues 9-14'!G268-'Expenditures 15-22'!K295</f>
        <v>14863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16279</v>
      </c>
      <c r="H301" s="466"/>
      <c r="I301" s="467"/>
      <c r="J301" s="467"/>
      <c r="K301" s="1671">
        <f>SUM(C301:J301)</f>
        <v>16279</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16279</v>
      </c>
      <c r="H303" s="1677">
        <f t="shared" si="23"/>
        <v>0</v>
      </c>
      <c r="I303" s="1677">
        <f t="shared" si="23"/>
        <v>0</v>
      </c>
      <c r="J303" s="1677">
        <f t="shared" si="23"/>
        <v>0</v>
      </c>
      <c r="K303" s="1677">
        <f t="shared" si="23"/>
        <v>16279</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16279</v>
      </c>
      <c r="H312" s="1670">
        <f>SUM(H303,H310)</f>
        <v>0</v>
      </c>
      <c r="I312" s="1670">
        <f>SUM(I303)</f>
        <v>0</v>
      </c>
      <c r="J312" s="1670">
        <f>SUM(J303)</f>
        <v>0</v>
      </c>
      <c r="K312" s="1670">
        <f>SUM(K303,K310,K311)</f>
        <v>16279</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41714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f>14580+6209+6175</f>
        <v>26964</v>
      </c>
      <c r="F320" s="467"/>
      <c r="G320" s="467"/>
      <c r="H320" s="467"/>
      <c r="I320" s="467"/>
      <c r="J320" s="467"/>
      <c r="K320" s="1671">
        <f t="shared" ref="K320:K327" si="24">SUM(C320:J320)</f>
        <v>26964</v>
      </c>
      <c r="L320" s="467">
        <v>26964</v>
      </c>
      <c r="M320" s="665"/>
      <c r="N320" s="665"/>
    </row>
    <row r="321" spans="1:14" s="674" customFormat="1" x14ac:dyDescent="0.2">
      <c r="A321" s="1519" t="s">
        <v>300</v>
      </c>
      <c r="B321" s="697" t="s">
        <v>283</v>
      </c>
      <c r="C321" s="467"/>
      <c r="D321" s="467"/>
      <c r="E321" s="467">
        <v>4065</v>
      </c>
      <c r="F321" s="467"/>
      <c r="G321" s="467"/>
      <c r="H321" s="467"/>
      <c r="I321" s="467"/>
      <c r="J321" s="467"/>
      <c r="K321" s="1671">
        <f t="shared" si="24"/>
        <v>4065</v>
      </c>
      <c r="L321" s="467">
        <v>10000</v>
      </c>
      <c r="M321" s="665"/>
      <c r="N321" s="665"/>
    </row>
    <row r="322" spans="1:14" s="674" customFormat="1" x14ac:dyDescent="0.2">
      <c r="A322" s="1519" t="s">
        <v>238</v>
      </c>
      <c r="B322" s="697" t="s">
        <v>284</v>
      </c>
      <c r="C322" s="467"/>
      <c r="D322" s="467"/>
      <c r="E322" s="467">
        <v>57612</v>
      </c>
      <c r="F322" s="467"/>
      <c r="G322" s="467"/>
      <c r="H322" s="467"/>
      <c r="I322" s="467"/>
      <c r="J322" s="467"/>
      <c r="K322" s="1671">
        <f t="shared" si="24"/>
        <v>57612</v>
      </c>
      <c r="L322" s="467">
        <v>56717</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45200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f>15273+18028+13146+19620</f>
        <v>66067</v>
      </c>
      <c r="F325" s="467"/>
      <c r="G325" s="467"/>
      <c r="H325" s="467"/>
      <c r="I325" s="467"/>
      <c r="J325" s="467"/>
      <c r="K325" s="1671">
        <f t="shared" si="24"/>
        <v>66067</v>
      </c>
      <c r="L325" s="467">
        <v>64023</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f>2161+42456</f>
        <v>44617</v>
      </c>
      <c r="F327" s="467"/>
      <c r="G327" s="467"/>
      <c r="H327" s="467"/>
      <c r="I327" s="467"/>
      <c r="J327" s="467"/>
      <c r="K327" s="1671">
        <f t="shared" si="24"/>
        <v>44617</v>
      </c>
      <c r="L327" s="467">
        <v>4000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199325</v>
      </c>
      <c r="F330" s="1670">
        <f t="shared" si="25"/>
        <v>0</v>
      </c>
      <c r="G330" s="1670">
        <f t="shared" si="25"/>
        <v>0</v>
      </c>
      <c r="H330" s="1670">
        <f t="shared" si="25"/>
        <v>0</v>
      </c>
      <c r="I330" s="1670">
        <f t="shared" si="25"/>
        <v>0</v>
      </c>
      <c r="J330" s="1670">
        <f t="shared" si="25"/>
        <v>0</v>
      </c>
      <c r="K330" s="1670">
        <f>SUM(K319:K329)</f>
        <v>199325</v>
      </c>
      <c r="L330" s="1670">
        <f>SUM(L319:L329)</f>
        <v>206904</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199325</v>
      </c>
      <c r="F342" s="1670">
        <f>SUM(F330)</f>
        <v>0</v>
      </c>
      <c r="G342" s="1670">
        <f>SUM(G330)</f>
        <v>0</v>
      </c>
      <c r="H342" s="1670">
        <f>SUM(H330,H334,H340)</f>
        <v>0</v>
      </c>
      <c r="I342" s="1670">
        <f>SUM(I330)</f>
        <v>0</v>
      </c>
      <c r="J342" s="1670">
        <f>SUM(J330)</f>
        <v>0</v>
      </c>
      <c r="K342" s="1670">
        <f>SUM(K330,K334,K340)</f>
        <v>199325</v>
      </c>
      <c r="L342" s="1677">
        <f>SUM(L330,L340,L341)</f>
        <v>206904</v>
      </c>
    </row>
    <row r="343" spans="1:14" ht="12.75" customHeight="1" thickTop="1" x14ac:dyDescent="0.2">
      <c r="A343" s="2169" t="s">
        <v>996</v>
      </c>
      <c r="B343" s="2170"/>
      <c r="C343" s="616"/>
      <c r="D343" s="616"/>
      <c r="E343" s="616"/>
      <c r="F343" s="616"/>
      <c r="G343" s="616"/>
      <c r="H343" s="616"/>
      <c r="I343" s="616"/>
      <c r="J343" s="616"/>
      <c r="K343" s="1684">
        <f>'Revenues 9-14'!J268-'Expenditures 15-22'!K342</f>
        <v>9011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20000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20000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20000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20000</v>
      </c>
    </row>
    <row r="368" spans="1:14" ht="13.5" thickTop="1" x14ac:dyDescent="0.2">
      <c r="A368" s="2156" t="s">
        <v>996</v>
      </c>
      <c r="B368" s="2157"/>
      <c r="C368" s="654"/>
      <c r="D368" s="654"/>
      <c r="E368" s="626"/>
      <c r="F368" s="626"/>
      <c r="G368" s="626"/>
      <c r="H368" s="626"/>
      <c r="I368" s="626"/>
      <c r="J368" s="623"/>
      <c r="K368" s="1671">
        <f>'Revenues 9-14'!K268-'Expenditures 15-22'!K367</f>
        <v>27878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&amp;F&amp;CThe notes to financial statements are an integral part of this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schemas.microsoft.com/sharepoint/v3"/>
    <ds:schemaRef ds:uri="6ce3111e-7420-4802-b50a-75d4e9a0b980"/>
    <ds:schemaRef ds:uri="http://schemas.microsoft.com/office/infopath/2007/PartnerControls"/>
    <ds:schemaRef ds:uri="4d435f69-8686-490b-bd6d-b153bf22ab50"/>
    <ds:schemaRef ds:uri="d21dc803-237d-4c68-8692-8d731fd2911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2019-10-10T19:36:02Z</cp:lastPrinted>
  <dcterms:created xsi:type="dcterms:W3CDTF">2003-10-29T19:06:34Z</dcterms:created>
  <dcterms:modified xsi:type="dcterms:W3CDTF">2019-11-21T14:34:35Z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