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965" yWindow="270" windowWidth="21900" windowHeight="1158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Sheet2" sheetId="184"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39" i="3" l="1"/>
  <c r="C192" i="5"/>
  <c r="C9" i="4" l="1"/>
  <c r="C6" i="5"/>
  <c r="C5" i="5"/>
  <c r="L4" i="3"/>
  <c r="E349" i="29" l="1"/>
  <c r="E71" i="29"/>
  <c r="G71" i="29"/>
  <c r="C193" i="5"/>
  <c r="I12" i="11" l="1"/>
  <c r="D12" i="11"/>
  <c r="E4" i="7" l="1"/>
  <c r="C4" i="7"/>
  <c r="G65" i="5"/>
  <c r="C49" i="29"/>
  <c r="C159" i="5"/>
  <c r="C134" i="5"/>
  <c r="G4" i="3"/>
  <c r="C5" i="3"/>
  <c r="C4" i="3"/>
  <c r="J88" i="183"/>
  <c r="J85" i="183"/>
  <c r="J90"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B7758" i="106"/>
  <c r="D7758" i="106" s="1"/>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G39" i="108"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G29" i="108"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G30" i="108"/>
  <c r="D31" i="108"/>
  <c r="D36"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D52" i="36" l="1"/>
  <c r="D9" i="7"/>
  <c r="B1767" i="106" s="1"/>
  <c r="D1767" i="106" s="1"/>
  <c r="K28" i="118"/>
  <c r="O27" i="118" s="1"/>
  <c r="O29" i="118" s="1"/>
  <c r="F62" i="34"/>
  <c r="G38" i="108"/>
  <c r="B7078" i="106"/>
  <c r="D7078" i="106" s="1"/>
  <c r="B6238" i="106"/>
  <c r="D6238" i="106" s="1"/>
  <c r="B4211" i="106"/>
  <c r="D4211" i="106" s="1"/>
  <c r="B3488" i="106"/>
  <c r="D3488" i="106" s="1"/>
  <c r="B1996" i="106"/>
  <c r="D1996" i="106" s="1"/>
  <c r="K184" i="29"/>
  <c r="F13" i="4" s="1"/>
  <c r="B2596" i="106" s="1"/>
  <c r="D2596" i="106" s="1"/>
  <c r="G210" i="29"/>
  <c r="B1308" i="106"/>
  <c r="D1308" i="106" s="1"/>
  <c r="E174" i="29"/>
  <c r="B1309" i="106" s="1"/>
  <c r="D1309" i="106" s="1"/>
  <c r="F14" i="4"/>
  <c r="B2597" i="106" s="1"/>
  <c r="D2597" i="106" s="1"/>
  <c r="E30" i="108"/>
  <c r="B2836" i="106"/>
  <c r="D2836" i="106" s="1"/>
  <c r="F44" i="34"/>
  <c r="E29" i="108"/>
  <c r="F77" i="4"/>
  <c r="B3255" i="106" s="1"/>
  <c r="D3255" i="106" s="1"/>
  <c r="G15" i="145"/>
  <c r="D17" i="7"/>
  <c r="B4104" i="106" s="1"/>
  <c r="D4104" i="106" s="1"/>
  <c r="D7245" i="106"/>
  <c r="J41" i="3"/>
  <c r="C352" i="29"/>
  <c r="K76" i="4"/>
  <c r="B3586" i="106" s="1"/>
  <c r="D3586" i="106" s="1"/>
  <c r="F19" i="7"/>
  <c r="B1807" i="106" s="1"/>
  <c r="D1807" i="106" s="1"/>
  <c r="B6995" i="106"/>
  <c r="D6995" i="106" s="1"/>
  <c r="B3647" i="106"/>
  <c r="D3647" i="106" s="1"/>
  <c r="L342" i="29"/>
  <c r="L13" i="11"/>
  <c r="B2060" i="106" s="1"/>
  <c r="D2060" i="106" s="1"/>
  <c r="C342" i="29"/>
  <c r="B7216" i="106" s="1"/>
  <c r="D7216"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3" i="106"/>
  <c r="B1365" i="106"/>
  <c r="D1365" i="106" s="1"/>
  <c r="F65" i="34"/>
  <c r="B5770" i="106"/>
  <c r="D5770" i="106" s="1"/>
  <c r="B1328" i="106"/>
  <c r="D1328" i="106" s="1"/>
  <c r="D7256" i="106"/>
  <c r="D7251" i="106"/>
  <c r="C114" i="29"/>
  <c r="B757" i="106" s="1"/>
  <c r="D757" i="106" s="1"/>
  <c r="L114" i="29"/>
  <c r="K342" i="29"/>
  <c r="F13" i="34" s="1"/>
  <c r="B5527" i="106"/>
  <c r="D552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<sst xmlns="http://schemas.openxmlformats.org/spreadsheetml/2006/main" count="5081" uniqueCount="2098">
  <si>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</si>
  <si>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</si>
  <si>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</si>
  <si>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</si>
  <si>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</si>
  <si>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</si>
  <si>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</si>
  <si>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</si>
  <si>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</si>
  <si>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</si>
  <si>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</si>
  <si>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</si>
  <si>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</si>
  <si>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</si>
  <si>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</si>
  <si>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</si>
  <si>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</si>
  <si>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</si>
  <si>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</si>
  <si>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</si>
  <si>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</si>
  <si>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</si>
  <si>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</si>
  <si>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</si>
  <si>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</si>
  <si>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</si>
  <si>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</si>
  <si>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</si>
  <si>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</si>
  <si>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</si>
  <si>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</si>
  <si>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</si>
  <si>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</si>
  <si>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</si>
  <si>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</si>
  <si>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</si>
  <si>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</si>
  <si>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</si>
  <si>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</si>
  <si>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</si>
  <si>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</si>
  <si>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</si>
  <si>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</si>
  <si>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</si>
  <si>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</si>
  <si>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</si>
  <si>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</si>
  <si>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</si>
  <si>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</si>
  <si>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</si>
  <si>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</si>
  <si>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</si>
  <si>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</si>
  <si>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</si>
  <si>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</si>
  <si>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</si>
  <si>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</si>
  <si>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</si>
  <si>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</si>
  <si>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</si>
  <si>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</si>
  <si>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</si>
  <si>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</si>
  <si>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</si>
  <si>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</si>
  <si>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</si>
  <si>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</si>
  <si>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</si>
  <si>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</si>
  <si>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</si>
  <si>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</si>
  <si>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</si>
  <si>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</si>
  <si>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</si>
  <si>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</si>
  <si>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</si>
  <si>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</si>
  <si>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</si>
  <si>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</si>
  <si>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</si>
  <si>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</si>
  <si>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</si>
  <si>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</si>
  <si>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</si>
  <si>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</si>
  <si>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</si>
  <si>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</si>
  <si>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</si>
  <si>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</si>
  <si>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</si>
  <si>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</si>
  <si>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</si>
  <si>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</si>
  <si>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</si>
  <si>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</si>
  <si>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</si>
  <si>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</si>
  <si>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</si>
  <si>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</si>
  <si>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</si>
  <si>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</si>
  <si>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</si>
  <si>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</si>
  <si>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</si>
  <si>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</si>
  <si>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</si>
  <si>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</si>
  <si>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</si>
  <si>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</si>
  <si>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</si>
  <si>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</si>
  <si>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</si>
  <si>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</si>
  <si>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</si>
  <si>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</si>
  <si>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</si>
  <si>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</si>
  <si>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</si>
  <si>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</si>
  <si>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</si>
  <si>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</si>
  <si>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</si>
  <si>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</si>
  <si>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</si>
  <si>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</si>
  <si>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</si>
  <si>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</si>
  <si>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</si>
  <si>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</si>
  <si>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</si>
  <si>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</si>
  <si>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</si>
  <si>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</si>
  <si>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</si>
  <si>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</si>
  <si>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</si>
  <si>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</si>
  <si>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</si>
  <si>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</si>
  <si>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</si>
  <si>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</si>
  <si>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</si>
  <si>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</si>
  <si>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</si>
  <si>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</si>
  <si>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</si>
  <si>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</si>
  <si>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</si>
  <si>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</si>
  <si>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</si>
  <si>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</si>
  <si>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</si>
  <si>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</si>
  <si>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</si>
  <si>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</si>
  <si>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</si>
  <si>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</si>
  <si>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</si>
  <si>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</si>
  <si>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</si>
  <si>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</si>
  <si>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</si>
  <si>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</si>
  <si>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</si>
  <si>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</si>
  <si>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</si>
  <si>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</si>
  <si>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</si>
  <si>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</si>
  <si>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</si>
  <si>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</si>
  <si>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</si>
  <si>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</si>
  <si>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</si>
  <si>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</si>
  <si>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</si>
  <si>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</si>
  <si>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</si>
  <si>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</si>
  <si>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</si>
  <si>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</si>
  <si>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</si>
  <si>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</si>
  <si>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</si>
  <si>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</si>
  <si>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</si>
  <si>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</si>
  <si>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</si>
  <si>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</si>
  <si>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</si>
  <si>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</si>
  <si>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</si>
  <si>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</si>
  <si>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</si>
  <si>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</si>
  <si>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</si>
  <si>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</si>
  <si>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</si>
  <si>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</si>
  <si>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</si>
  <si>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</si>
  <si>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</si>
  <si>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</si>
  <si>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</si>
  <si>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</si>
  <si>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</si>
  <si>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</si>
  <si>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</si>
  <si>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</si>
  <si>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</si>
  <si>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</si>
  <si>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</si>
  <si>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</si>
  <si>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</si>
  <si>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</si>
  <si>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</si>
  <si>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</si>
  <si>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</si>
  <si>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</si>
  <si>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</si>
  <si>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</si>
  <si>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</si>
  <si>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</si>
  <si>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</si>
  <si>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</si>
  <si>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</si>
  <si>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</si>
  <si>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</si>
  <si>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</si>
  <si>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</si>
  <si>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</si>
  <si>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</si>
  <si>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</si>
  <si>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</si>
  <si>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</si>
  <si>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</si>
  <si>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</si>
  <si>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</si>
  <si>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</si>
  <si>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</si>
  <si>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</si>
  <si>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</si>
  <si>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</si>
  <si>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</si>
  <si>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</si>
  <si>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</si>
  <si>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</si>
  <si>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</si>
  <si>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</si>
  <si>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</si>
  <si>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</si>
  <si>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</si>
  <si>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</si>
  <si>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</si>
  <si>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</si>
  <si>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</si>
  <si>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</si>
  <si>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</si>
  <si>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</si>
  <si>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</si>
  <si>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</si>
  <si>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</si>
  <si>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</si>
  <si>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</si>
  <si>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</si>
  <si>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</si>
  <si>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</si>
  <si>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</si>
  <si>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</si>
  <si>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</si>
  <si>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</si>
  <si>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</si>
  <si>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</si>
  <si>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</si>
  <si>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</si>
  <si>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</si>
  <si>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</si>
  <si>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</si>
  <si>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</si>
  <si>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</si>
  <si>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</si>
  <si>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</si>
  <si>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</si>
  <si>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</si>
  <si>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</si>
  <si>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</si>
  <si>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</si>
  <si>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</si>
  <si>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</si>
  <si>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</si>
  <si>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</si>
  <si>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</si>
  <si>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</si>
  <si>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</si>
  <si>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</si>
  <si>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</si>
  <si>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</si>
  <si>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</si>
  <si>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</si>
  <si>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</si>
  <si>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</si>
  <si>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</si>
  <si>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</si>
  <si>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</si>
  <si>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</si>
  <si>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</si>
  <si>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</si>
  <si>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</si>
  <si>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</si>
  <si>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</si>
  <si>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</si>
  <si>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</si>
  <si>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</si>
  <si>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</si>
  <si>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</si>
  <si>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</si>
  <si>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</si>
  <si>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</si>
  <si>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</si>
  <si>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</si>
  <si>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</si>
  <si>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</si>
  <si>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</si>
  <si>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</si>
  <si>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</si>
  <si>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</si>
  <si>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</si>
  <si>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</si>
  <si>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</si>
  <si>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</si>
  <si>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</si>
  <si>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</si>
  <si>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</si>
  <si>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</si>
  <si>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</si>
  <si>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</si>
  <si>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</si>
  <si>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</si>
  <si>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</si>
  <si>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</si>
  <si>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</si>
  <si>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</si>
  <si>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</si>
  <si>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</si>
  <si>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</si>
  <si>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</si>
  <si>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</si>
  <si>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</si>
  <si>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</si>
  <si>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</si>
  <si>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</si>
  <si>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</si>
  <si>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</si>
  <si>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</si>
  <si>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</si>
  <si>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</si>
  <si>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</si>
  <si>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</si>
  <si>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</si>
  <si>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</si>
  <si>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</si>
  <si>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</si>
  <si>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</si>
  <si>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</si>
  <si>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</si>
  <si>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</si>
  <si>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</si>
  <si>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</si>
  <si>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</si>
  <si>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</si>
  <si>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</si>
  <si>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</si>
  <si>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</si>
  <si>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</si>
  <si>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</si>
  <si>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</si>
  <si>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</si>
  <si>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</si>
  <si>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</si>
  <si>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</si>
  <si>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</si>
  <si>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</si>
  <si>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</si>
  <si>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</si>
  <si>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</si>
  <si>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</si>
  <si>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</si>
  <si>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</si>
  <si>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</si>
  <si>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</si>
  <si>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</si>
  <si>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</si>
  <si>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</si>
  <si>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</si>
  <si>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</si>
  <si>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</si>
  <si>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</si>
  <si>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</si>
  <si>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</si>
  <si>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</si>
  <si>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</si>
  <si>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</si>
  <si>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</si>
  <si>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</si>
  <si>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</si>
  <si>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</si>
  <si>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</si>
  <si>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</si>
  <si>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</si>
  <si>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</si>
  <si>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</si>
  <si>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</si>
  <si>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</si>
  <si>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</si>
  <si>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</si>
  <si>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</si>
  <si>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</si>
  <si>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</si>
  <si>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</si>
  <si>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</si>
  <si>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</si>
  <si>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</si>
  <si>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</si>
  <si>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</si>
  <si>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</si>
  <si>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</si>
  <si>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</si>
  <si>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</si>
  <si>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</si>
  <si>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</si>
  <si>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</si>
  <si>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</si>
  <si>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</si>
  <si>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</si>
  <si>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</si>
  <si>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</si>
  <si>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</si>
  <si>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</si>
  <si>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</si>
  <si>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</si>
  <si>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</si>
  <si>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</si>
  <si>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</si>
  <si>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</si>
  <si>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</si>
  <si>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</si>
  <si>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</si>
  <si>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</si>
  <si>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</si>
  <si>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</si>
  <si>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</si>
  <si>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</si>
  <si>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</si>
  <si>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</si>
  <si>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</si>
  <si>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</si>
  <si>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</si>
  <si>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</si>
  <si>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</si>
  <si>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</si>
  <si>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</si>
  <si>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</si>
  <si>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</si>
  <si>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</si>
  <si>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</si>
  <si>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</si>
  <si>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</si>
  <si>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</si>
  <si>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</si>
  <si>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</si>
  <si>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</si>
  <si>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</si>
  <si>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</si>
  <si>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</si>
  <si>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</si>
  <si>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</si>
  <si>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</si>
  <si>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</si>
  <si>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</si>
  <si>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</si>
  <si>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</si>
  <si>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</si>
  <si>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</si>
  <si>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</si>
  <si>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</si>
  <si>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</si>
  <si>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</si>
  <si>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</si>
  <si>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</si>
  <si>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</si>
  <si>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</si>
  <si>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</si>
  <si>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</si>
  <si>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</si>
  <si>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</si>
  <si>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</si>
  <si>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</si>
  <si>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</si>
  <si>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</si>
  <si>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</si>
  <si>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</si>
  <si>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</si>
  <si>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</si>
  <si>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</si>
  <si>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</si>
  <si>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</si>
  <si>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</si>
  <si>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</si>
  <si>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</si>
  <si>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</si>
  <si>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</si>
  <si>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</si>
  <si>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</si>
  <si>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</si>
  <si>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</si>
  <si>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</si>
  <si>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</si>
  <si>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</si>
  <si>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</si>
  <si>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</si>
  <si>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</si>
  <si>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</si>
  <si>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</si>
  <si>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</si>
  <si>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</si>
  <si>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</si>
  <si>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</si>
  <si>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</si>
  <si>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</si>
  <si>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</si>
  <si>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</si>
  <si>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</si>
  <si>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</si>
  <si>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</si>
  <si>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</si>
  <si>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</si>
  <si>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</si>
  <si>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</si>
  <si>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</si>
  <si>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</si>
  <si>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</si>
  <si>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</si>
  <si>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</si>
  <si>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</si>
  <si>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</si>
  <si>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</si>
  <si>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</si>
  <si>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</si>
  <si>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</si>
  <si>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</si>
  <si>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</si>
  <si>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</si>
  <si>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</si>
  <si>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</si>
  <si>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</si>
  <si>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</si>
  <si>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</si>
  <si>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</si>
  <si>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</si>
  <si>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</si>
  <si>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</si>
  <si>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</si>
  <si>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</si>
  <si>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</si>
  <si>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</si>
  <si>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</si>
  <si>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</si>
  <si>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</si>
  <si>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</si>
  <si>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</si>
  <si>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</si>
  <si>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</si>
  <si>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</si>
  <si>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</si>
  <si>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</si>
  <si>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</si>
  <si>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</si>
  <si>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</si>
  <si>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</si>
  <si>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</si>
  <si>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</si>
  <si>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</si>
  <si>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</si>
  <si>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</si>
  <si>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</si>
  <si>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</si>
  <si>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</si>
  <si>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</si>
  <si>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</si>
  <si>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</si>
  <si>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</si>
  <si>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</si>
  <si>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</si>
  <si>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</si>
  <si>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</si>
  <si>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</si>
  <si>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</si>
  <si>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</si>
  <si>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</si>
  <si>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</si>
  <si>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</si>
  <si>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</si>
  <si>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</si>
  <si>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</si>
  <si>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</si>
  <si>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</si>
  <si>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</si>
  <si>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</si>
  <si>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</si>
  <si>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</si>
  <si>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</si>
  <si>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</si>
  <si>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</si>
  <si>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</si>
  <si>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</si>
  <si>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</si>
  <si>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</si>
  <si>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</si>
  <si>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</si>
  <si>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</si>
  <si>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</si>
  <si>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</si>
  <si>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</si>
  <si>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</si>
  <si>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</si>
  <si>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</si>
  <si>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</si>
  <si>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</si>
  <si>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</si>
  <si>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</si>
  <si>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</si>
  <si>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</si>
  <si>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</si>
  <si>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</si>
  <si>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</si>
  <si>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</si>
  <si>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</si>
  <si>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</si>
  <si>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</si>
  <si>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</si>
  <si>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</si>
  <si>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</si>
  <si>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</si>
  <si>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</si>
  <si>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</si>
  <si>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</si>
  <si>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</si>
  <si>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</si>
  <si>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</si>
  <si>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</si>
  <si>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</si>
  <si>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</si>
  <si>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</si>
  <si>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</si>
  <si>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</si>
  <si>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</si>
  <si>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</si>
  <si>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</si>
  <si>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</si>
  <si>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</si>
  <si>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</si>
  <si>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</si>
  <si>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</si>
  <si>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</si>
  <si>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</si>
  <si>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</si>
  <si>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</si>
  <si>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</si>
  <si>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</si>
  <si>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</si>
  <si>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</si>
  <si>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</si>
  <si>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</si>
  <si>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</si>
  <si>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</si>
  <si>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</si>
  <si>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</si>
  <si>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</si>
  <si>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</si>
  <si>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</si>
  <si>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</si>
  <si>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</si>
  <si>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</si>
  <si>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</si>
  <si>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</si>
  <si>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</si>
  <si>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</si>
  <si>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</si>
  <si>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</si>
  <si>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</si>
  <si>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</si>
  <si>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</si>
  <si>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</si>
  <si>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</si>
  <si>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</si>
  <si>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</si>
  <si>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</si>
  <si>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</si>
  <si>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</si>
  <si>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</si>
  <si>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</si>
  <si>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</si>
  <si>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</si>
  <si>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</si>
  <si>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</si>
  <si>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</si>
  <si>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</si>
  <si>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</si>
  <si>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</si>
  <si>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</si>
  <si>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</si>
  <si>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</si>
  <si>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</si>
  <si>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</si>
  <si>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</si>
  <si>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</si>
  <si>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</si>
  <si>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</si>
  <si>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</si>
  <si>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</si>
  <si>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</si>
  <si>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</si>
  <si>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</si>
  <si>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</si>
  <si>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</si>
  <si>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</si>
  <si>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</si>
  <si>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</si>
  <si>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</si>
  <si>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</si>
  <si>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</si>
  <si>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</si>
  <si>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</si>
  <si>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</si>
  <si>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</si>
  <si>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</si>
  <si>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</si>
  <si>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</si>
  <si>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</si>
  <si>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</si>
  <si>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</si>
  <si>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</si>
  <si>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</si>
  <si>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</si>
  <si>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</si>
  <si>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</si>
  <si>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</si>
  <si>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</si>
  <si>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</si>
  <si>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</si>
  <si>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</si>
  <si>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</si>
  <si>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</si>
  <si>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</si>
  <si>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</si>
  <si>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</si>
  <si>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</si>
  <si>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</si>
  <si>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</si>
  <si>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</si>
  <si>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</si>
  <si>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</si>
  <si>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</si>
  <si>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</si>
  <si>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</si>
  <si>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</si>
  <si>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</si>
  <si>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</si>
  <si>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</si>
  <si>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</si>
  <si>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</si>
  <si>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</si>
  <si>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</si>
  <si>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</si>
  <si>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</si>
  <si>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</si>
  <si>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</si>
  <si>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</si>
  <si>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</si>
  <si>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</si>
  <si>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</si>
  <si>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</si>
  <si>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</si>
  <si>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</si>
  <si>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</si>
  <si>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</si>
  <si>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</si>
  <si>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</si>
  <si>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</si>
  <si>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</si>
  <si>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</si>
  <si>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</si>
  <si>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</si>
  <si>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</si>
  <si>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</si>
  <si>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</si>
  <si>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</si>
  <si>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</si>
  <si>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</si>
  <si>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</si>
  <si>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</si>
  <si>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</si>
  <si>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</si>
  <si>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</si>
  <si>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</si>
  <si>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</si>
  <si>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</si>
  <si>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</si>
  <si>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</si>
  <si>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</si>
  <si>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</si>
  <si>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</si>
  <si>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</si>
  <si>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</si>
  <si>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</si>
  <si>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</si>
  <si>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</si>
  <si>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</si>
  <si>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</si>
  <si>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</si>
  <si>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</si>
  <si>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</si>
  <si>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</si>
  <si>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</si>
  <si>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</si>
  <si>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</si>
  <si>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</si>
  <si>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</si>
  <si>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</si>
  <si>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</si>
  <si>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</si>
  <si>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</si>
  <si>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</si>
  <si>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</si>
  <si>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</si>
  <si>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</si>
  <si>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</si>
  <si>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</si>
  <si>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</si>
  <si>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</si>
  <si>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</si>
  <si>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</si>
  <si>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</si>
  <si>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</si>
  <si>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</si>
  <si>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</si>
  <si>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</si>
  <si>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</si>
  <si>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</si>
  <si>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</si>
  <si>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</si>
  <si>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</si>
  <si>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</si>
  <si>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</si>
  <si>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</si>
  <si>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</si>
  <si>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</si>
  <si>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</si>
  <si>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</si>
  <si>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</si>
  <si>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</si>
  <si>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</si>
  <si>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</si>
  <si>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</si>
  <si>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</si>
  <si>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</si>
  <si>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</si>
  <si>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</si>
  <si>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</si>
  <si>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</si>
  <si>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</si>
  <si>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</si>
  <si>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</si>
  <si>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</si>
  <si>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</si>
  <si>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</si>
  <si>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</si>
  <si>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</si>
  <si>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</si>
  <si>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</si>
  <si>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</si>
  <si>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</si>
  <si>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</si>
  <si>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</si>
  <si>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</si>
  <si>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</si>
  <si>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</si>
  <si>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</si>
  <si>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</si>
  <si>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</si>
  <si>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</si>
  <si>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</si>
  <si>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</si>
  <si>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</si>
  <si>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</si>
  <si>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</si>
  <si>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</si>
  <si>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</si>
  <si>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</si>
  <si>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</si>
  <si>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</si>
  <si>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</si>
  <si>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</si>
  <si>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</si>
  <si>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</si>
  <si>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</si>
  <si>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</si>
  <si>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</si>
  <si>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</si>
  <si>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</si>
  <si>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</si>
  <si>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</si>
  <si>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</si>
  <si>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</si>
  <si>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</si>
  <si>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</si>
  <si>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</si>
  <si>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</si>
  <si>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</si>
  <si>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</si>
  <si>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</si>
  <si>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</si>
  <si>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</si>
  <si>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</si>
  <si>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</si>
  <si>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</si>
  <si>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</si>
  <si>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</si>
  <si>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</si>
  <si>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</si>
  <si>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</si>
  <si>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</si>
  <si>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</si>
  <si>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</si>
  <si>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</si>
  <si>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</si>
  <si>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</si>
  <si>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</si>
  <si>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</si>
  <si>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</si>
  <si>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</si>
  <si>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</si>
  <si>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</si>
  <si>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</si>
  <si>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</si>
  <si>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</si>
  <si>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</si>
  <si>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</si>
  <si>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</si>
  <si>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</si>
  <si>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</si>
  <si>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</si>
  <si>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</si>
  <si>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</si>
  <si>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</si>
  <si>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</si>
  <si>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</si>
  <si>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</si>
  <si>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</si>
  <si>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</si>
  <si>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</si>
  <si>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</si>
  <si>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</si>
  <si>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</si>
  <si>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</si>
  <si>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</si>
  <si>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</si>
  <si>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</si>
  <si>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</si>
  <si>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</si>
  <si>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</si>
  <si>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</si>
  <si>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</si>
  <si>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</si>
  <si>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</si>
  <si>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</si>
  <si>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</si>
  <si>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</si>
  <si>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</si>
  <si>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</si>
  <si>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</si>
  <si>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</si>
  <si>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</si>
  <si>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</si>
  <si>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</si>
  <si>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</si>
  <si>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</si>
  <si>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</si>
  <si>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</si>
  <si>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</si>
  <si>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</si>
  <si>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</si>
  <si>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</si>
  <si>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</si>
  <si>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</si>
  <si>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</si>
  <si>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</si>
  <si>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</si>
  <si>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</si>
  <si>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</si>
  <si>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</si>
  <si>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</si>
  <si>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</si>
  <si>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</si>
  <si>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</si>
  <si>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</si>
  <si>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</si>
  <si>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</si>
  <si>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</si>
  <si>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</si>
  <si>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</si>
  <si>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</si>
  <si>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</si>
  <si>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</si>
  <si>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</si>
  <si>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</si>
  <si>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</si>
  <si>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</si>
  <si>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</si>
  <si>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</si>
  <si>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</si>
  <si>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</si>
  <si>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</si>
  <si>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</si>
  <si>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</si>
  <si>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</si>
  <si>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</si>
  <si>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</si>
  <si>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</si>
  <si>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</si>
  <si>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</si>
  <si>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</si>
  <si>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</si>
  <si>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</si>
  <si>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</si>
  <si>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</si>
  <si>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</si>
  <si>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</si>
  <si>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</si>
  <si>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</si>
  <si>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</si>
  <si>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</si>
  <si>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</si>
  <si>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</si>
  <si>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</si>
  <si>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</si>
  <si>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</si>
  <si>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</si>
  <si>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</si>
  <si>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</si>
  <si>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</si>
  <si>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</si>
  <si>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</si>
  <si>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</si>
  <si>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</si>
  <si>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</si>
  <si>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</si>
  <si>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</si>
  <si>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</si>
  <si>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</si>
  <si>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</si>
  <si>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</si>
  <si>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</si>
  <si>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</si>
  <si>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</si>
  <si>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</si>
  <si>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</si>
  <si>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</si>
  <si>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</si>
  <si>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</si>
  <si>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</si>
  <si>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</si>
  <si>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</si>
  <si>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</si>
  <si>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</si>
  <si>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</si>
  <si>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</si>
  <si>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</si>
  <si>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</si>
  <si>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</si>
  <si>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</si>
  <si>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</si>
  <si>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</si>
  <si>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</si>
  <si>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</si>
  <si>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</si>
  <si>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</si>
  <si>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</si>
  <si>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</si>
  <si>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</si>
  <si>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</si>
  <si>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</si>
  <si>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</si>
  <si>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</si>
  <si>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</si>
  <si>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</si>
  <si>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</si>
  <si>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</si>
  <si>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</si>
  <si>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</si>
  <si>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</si>
  <si>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</si>
  <si>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</si>
  <si>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</si>
  <si>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</si>
  <si>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</si>
  <si>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</si>
  <si>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</si>
  <si>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</si>
  <si>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</si>
  <si>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</si>
  <si>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</si>
  <si>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</si>
  <si>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</si>
  <si>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</si>
  <si>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</si>
  <si>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</si>
  <si>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</si>
  <si>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</si>
  <si>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</si>
  <si>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</si>
  <si>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</si>
  <si>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</si>
  <si>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</si>
  <si>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</si>
  <si>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</si>
  <si>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</si>
  <si>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</si>
  <si>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</si>
  <si>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</si>
  <si>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</si>
  <si>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</si>
  <si>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</si>
  <si>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</si>
  <si>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</si>
  <si>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</si>
  <si>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</si>
  <si>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</si>
  <si>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</si>
  <si>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</si>
  <si>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</si>
  <si>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</si>
  <si>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</si>
  <si>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</si>
  <si>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</si>
  <si>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</si>
  <si>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</si>
  <si>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</si>
  <si>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</si>
  <si>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</si>
  <si>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</si>
  <si>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</si>
  <si>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</si>
  <si>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</si>
  <si>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</si>
  <si>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</si>
  <si>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</si>
  <si>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</si>
  <si>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</si>
  <si>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</si>
  <si>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</si>
  <si>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</si>
  <si>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</si>
  <si>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</si>
  <si>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</si>
  <si>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</si>
  <si>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</si>
  <si>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</si>
  <si>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</si>
  <si>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</si>
  <si>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</si>
  <si>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</si>
  <si>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</si>
  <si>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</si>
  <si>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</si>
  <si>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</si>
  <si>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</si>
  <si>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</si>
  <si>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</si>
  <si>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</si>
  <si>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</si>
  <si>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</si>
  <si>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</si>
  <si>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</si>
  <si>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</si>
  <si>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</si>
  <si>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</si>
  <si>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</si>
  <si>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</si>
  <si>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</si>
  <si>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</si>
  <si>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</si>
  <si>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</si>
  <si>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</si>
  <si>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</si>
  <si>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</si>
  <si>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</si>
  <si>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</si>
  <si>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</si>
  <si>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</si>
  <si>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</si>
  <si>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</si>
  <si>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</si>
  <si>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</si>
  <si>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</si>
  <si>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</si>
  <si>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</si>
  <si>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</si>
  <si>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</si>
  <si>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</si>
  <si>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</si>
  <si>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</si>
  <si>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</si>
  <si>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</si>
  <si>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</si>
  <si>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</si>
  <si>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</si>
  <si>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</si>
  <si>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</si>
  <si>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</si>
  <si>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</si>
  <si>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</si>
  <si>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</si>
  <si>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</si>
  <si>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</si>
  <si>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</si>
  <si>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</si>
  <si>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</si>
  <si>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</si>
  <si>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</si>
  <si>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</si>
  <si>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</si>
  <si>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</si>
  <si>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</si>
  <si>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</si>
  <si>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</si>
  <si>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</si>
  <si>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</si>
  <si>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</si>
  <si>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</si>
  <si>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</si>
  <si>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</si>
  <si>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</si>
  <si>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</si>
  <si>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</si>
  <si>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</si>
  <si>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</si>
  <si>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</si>
  <si>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</si>
  <si>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</si>
  <si>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</si>
  <si>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</si>
  <si>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</si>
  <si>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</si>
  <si>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</si>
  <si>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</si>
  <si>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</si>
  <si>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</si>
  <si>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</si>
  <si>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</si>
  <si>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</si>
  <si>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</si>
  <si>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</si>
  <si>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</si>
  <si>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</si>
  <si>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</si>
  <si>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</si>
  <si>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</si>
  <si>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</si>
  <si>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</si>
  <si>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</si>
  <si>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</si>
  <si>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</si>
  <si>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</si>
  <si>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</si>
  <si>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</si>
  <si>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</si>
  <si>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</si>
  <si>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</si>
  <si>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</si>
  <si>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</si>
  <si>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</si>
  <si>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</si>
  <si>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</si>
  <si>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</si>
  <si>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</si>
  <si>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</si>
  <si>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</si>
  <si>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</si>
  <si>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</si>
  <si>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</si>
  <si>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</si>
  <si>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</si>
  <si>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</si>
  <si>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</si>
  <si>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</si>
  <si>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</si>
  <si>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</si>
  <si>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</si>
  <si>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</si>
  <si>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</si>
  <si>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</si>
  <si>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</si>
  <si>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</si>
  <si>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</si>
  <si>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</si>
  <si>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</si>
  <si>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</si>
  <si>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</si>
  <si>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</si>
  <si>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</si>
  <si>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</si>
  <si>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</si>
  <si>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</si>
  <si>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</si>
  <si>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</si>
  <si>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</si>
  <si>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</si>
  <si>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</si>
  <si>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</si>
  <si>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</si>
  <si>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</si>
  <si>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</si>
  <si>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</si>
  <si>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</si>
  <si>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</si>
  <si>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</si>
  <si>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</si>
  <si>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</si>
  <si>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</si>
  <si>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</si>
  <si>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</si>
  <si>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</si>
  <si>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</si>
  <si>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</si>
  <si>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</si>
  <si>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</si>
  <si>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</si>
  <si>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</si>
  <si>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</si>
  <si>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</si>
  <si>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</si>
  <si>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</si>
  <si>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</si>
  <si>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</si>
  <si>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</si>
  <si>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</si>
  <si>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</si>
  <si>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</si>
  <si>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</si>
  <si>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</si>
  <si>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</si>
  <si>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</si>
  <si>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</si>
  <si>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</si>
  <si>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</si>
  <si>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</si>
  <si>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</si>
  <si>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</si>
  <si>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</si>
  <si>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</si>
  <si>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</si>
  <si>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</si>
  <si>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</si>
  <si>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</si>
  <si>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</si>
  <si>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</si>
  <si>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</si>
  <si>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</si>
  <si>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</si>
  <si>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</si>
  <si>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</si>
  <si>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</si>
  <si>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</si>
  <si>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</si>
  <si>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</si>
  <si>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</si>
  <si>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</si>
  <si>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</si>
  <si>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</si>
  <si>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</si>
  <si>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</si>
  <si>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</si>
  <si>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</si>
  <si>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</si>
  <si>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</si>
  <si>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</si>
  <si>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</si>
  <si>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</si>
  <si>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</si>
  <si>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</si>
  <si>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</si>
  <si>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</si>
  <si>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</si>
  <si>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</si>
  <si>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</si>
  <si>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</si>
  <si>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</si>
  <si>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</si>
  <si>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</si>
  <si>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</si>
  <si>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</si>
  <si>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</si>
  <si>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</si>
  <si>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</si>
  <si>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</si>
  <si>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</si>
  <si>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</si>
  <si>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</si>
  <si>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</si>
  <si>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</si>
  <si>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</si>
  <si>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</si>
  <si>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</si>
  <si>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</si>
  <si>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</si>
  <si>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</si>
  <si>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</si>
  <si>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</si>
  <si>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</si>
  <si>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</si>
  <si>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</si>
  <si>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</si>
  <si>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</si>
  <si>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</si>
  <si>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</si>
  <si>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</si>
  <si>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</si>
  <si>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</si>
  <si>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</si>
  <si>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</si>
  <si>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</si>
  <si>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</si>
  <si>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</si>
  <si>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</si>
  <si>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</si>
  <si>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</si>
  <si>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</si>
  <si>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</si>
  <si>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</si>
  <si>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</si>
  <si>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</si>
  <si>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</si>
  <si>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</si>
  <si>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</si>
  <si>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</si>
  <si>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</si>
  <si>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</si>
  <si>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</si>
  <si>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</si>
  <si>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</si>
  <si>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</si>
  <si>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</si>
  <si>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</si>
  <si>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</si>
  <si>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</si>
  <si>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</si>
  <si>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</si>
  <si>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</si>
  <si>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</si>
  <si>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</si>
  <si>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</si>
  <si>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</si>
  <si>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</si>
  <si>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</si>
  <si>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</si>
  <si>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</si>
  <si>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</si>
  <si>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</si>
  <si>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</si>
  <si>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</si>
  <si>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</si>
  <si>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</si>
  <si>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</si>
  <si>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</si>
  <si>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</si>
  <si>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</si>
  <si>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</si>
  <si>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</si>
  <si>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</si>
  <si>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</si>
  <si>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</si>
  <si>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</si>
  <si>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</si>
  <si>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</si>
  <si>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</si>
  <si>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</si>
  <si>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</si>
  <si>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</si>
  <si>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</si>
  <si>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</si>
  <si>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</si>
  <si>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</si>
  <si>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</si>
  <si>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</si>
  <si>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</si>
  <si>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</si>
  <si>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</si>
  <si>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</si>
  <si>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</si>
  <si>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</si>
  <si>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</si>
  <si>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</si>
  <si>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</si>
  <si>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</si>
  <si>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</si>
  <si>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</si>
  <si>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</si>
  <si>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</si>
  <si>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</si>
  <si>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</si>
  <si>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</si>
  <si>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</si>
  <si>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</si>
  <si>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</si>
  <si>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</si>
  <si>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</si>
  <si>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</si>
  <si>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</si>
  <si>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</si>
  <si>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</si>
  <si>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</si>
  <si>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</si>
  <si>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</si>
  <si>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</si>
  <si>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</si>
  <si>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</si>
  <si>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</si>
  <si>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</si>
  <si>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</si>
  <si>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</si>
  <si>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</si>
  <si>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</si>
  <si>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</si>
  <si>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</si>
  <si>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</si>
  <si>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</si>
  <si>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</si>
  <si>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</si>
  <si>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</si>
  <si>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</si>
  <si>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</si>
  <si>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</si>
  <si>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</si>
  <si>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</si>
  <si>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</si>
  <si>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</si>
  <si>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</si>
  <si>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</si>
  <si>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</si>
  <si>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</si>
  <si>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</si>
  <si>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</si>
  <si>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</si>
  <si>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</si>
  <si>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</si>
  <si>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</si>
  <si>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</si>
  <si>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</si>
  <si>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</si>
  <si>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</si>
  <si>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</si>
  <si>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</si>
  <si>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</si>
  <si>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</si>
  <si>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</si>
  <si>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</si>
  <si>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</si>
  <si>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</si>
  <si>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</si>
  <si>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</si>
  <si>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</si>
  <si>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</si>
  <si>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</si>
  <si>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</si>
  <si>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</si>
  <si>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</si>
  <si>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</si>
  <si>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</si>
  <si>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</si>
  <si>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</si>
  <si>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</si>
  <si>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</si>
  <si>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</si>
  <si>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</si>
  <si>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</si>
  <si>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</si>
  <si>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</si>
  <si>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</si>
  <si>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</si>
  <si>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</si>
  <si>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</si>
  <si>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</si>
  <si>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</si>
  <si>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</si>
  <si>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</si>
  <si>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</si>
  <si>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</si>
  <si>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</si>
  <si>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</si>
  <si>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</si>
  <si>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</si>
  <si>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</si>
  <si>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</si>
  <si>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</si>
  <si>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</si>
  <si>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</si>
  <si>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</si>
  <si>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</si>
  <si>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</si>
  <si>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</si>
  <si>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</si>
  <si>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</si>
  <si>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</si>
  <si>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</si>
  <si>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</si>
  <si>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</si>
  <si>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</si>
  <si>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</si>
  <si>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</si>
  <si>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</si>
  <si>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</si>
  <si>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</si>
  <si>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</si>
  <si>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</si>
  <si>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</si>
  <si>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</si>
  <si>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</si>
  <si>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</si>
  <si>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</si>
  <si>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</si>
  <si>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</si>
  <si>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</si>
  <si>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</si>
  <si>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</si>
  <si>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</si>
  <si>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</si>
  <si>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</si>
  <si>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</si>
  <si>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</si>
  <si>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</si>
  <si>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</si>
  <si>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</si>
  <si>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</si>
  <si>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</si>
  <si>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</si>
  <si>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</si>
  <si>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</si>
  <si>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</si>
  <si>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</si>
  <si>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</si>
  <si>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</si>
  <si>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</si>
  <si>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</si>
  <si>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</si>
  <si>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</si>
  <si>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</si>
  <si>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</si>
  <si>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</si>
  <si>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</si>
  <si>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</si>
  <si>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</si>
  <si>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</si>
  <si>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</si>
  <si>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</si>
  <si>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</si>
  <si>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</si>
  <si>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</si>
  <si>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</si>
  <si>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</si>
  <si>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</si>
  <si>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</si>
  <si>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</si>
  <si>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</si>
  <si>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</si>
  <si>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</si>
  <si>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</si>
  <si>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</si>
  <si>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</si>
  <si>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</si>
  <si>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</si>
  <si>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</si>
  <si>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</si>
  <si>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</si>
  <si>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</si>
  <si>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</si>
  <si>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</si>
  <si>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</si>
  <si>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</si>
  <si>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</si>
  <si>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</si>
  <si>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</si>
  <si>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</si>
  <si>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</si>
  <si>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</si>
  <si>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</si>
  <si>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</si>
  <si>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</si>
  <si>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</si>
  <si>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</si>
  <si>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</si>
  <si>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</si>
  <si>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</si>
  <si>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</si>
  <si>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</si>
  <si>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</si>
  <si>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</si>
  <si>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</si>
  <si>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</si>
  <si>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</si>
  <si>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</si>
  <si>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</si>
  <si>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</si>
  <si>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</si>
  <si>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</si>
  <si>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</si>
  <si>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</si>
  <si>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</si>
  <si>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</si>
  <si>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</si>
  <si>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</si>
  <si>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</si>
  <si>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</si>
  <si>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</si>
  <si>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</si>
  <si>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</si>
  <si>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</si>
  <si>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</si>
  <si>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</si>
  <si>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</si>
  <si>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</si>
  <si>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</si>
  <si>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</si>
  <si>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</si>
  <si>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</si>
  <si>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</si>
  <si>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</si>
  <si>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</si>
  <si>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</si>
  <si>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</si>
  <si>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</si>
  <si>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</si>
  <si>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</si>
  <si>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</si>
  <si>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</si>
  <si>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</si>
  <si>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</si>
  <si>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</si>
  <si>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</si>
  <si>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</si>
  <si>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</si>
  <si>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</si>
  <si>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</si>
  <si>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</si>
  <si>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</si>
  <si>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</si>
  <si>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</si>
  <si>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</si>
  <si>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</si>
  <si>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</si>
  <si>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</si>
  <si>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</si>
  <si>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</si>
  <si>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</si>
  <si>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</si>
  <si>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</si>
  <si>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</si>
  <si>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</si>
  <si>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</si>
  <si>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</si>
  <si>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</si>
  <si>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</si>
  <si>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</si>
  <si>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</si>
  <si>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</si>
  <si>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</si>
  <si>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</si>
  <si>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</si>
  <si>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</si>
  <si>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</si>
  <si>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</si>
  <si>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</si>
  <si>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</si>
  <si>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</si>
  <si>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</si>
  <si>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</si>
  <si>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</si>
  <si>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</si>
  <si>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</si>
  <si>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</si>
  <si>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</si>
  <si>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</si>
  <si>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</si>
  <si>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</si>
  <si>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</si>
  <si>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</si>
  <si>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</si>
  <si>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</si>
  <si>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</si>
  <si>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</si>
  <si>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</si>
  <si>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</si>
  <si>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</si>
  <si>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</si>
  <si>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</si>
  <si>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</si>
  <si>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</si>
  <si>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</si>
  <si>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</si>
  <si>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</si>
  <si>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</si>
  <si>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</si>
  <si>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</si>
  <si>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</si>
  <si>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</si>
  <si>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</si>
  <si>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</si>
  <si>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</si>
  <si>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</si>
  <si>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</si>
  <si>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</si>
  <si>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</si>
  <si>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</si>
  <si>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</si>
  <si>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</si>
  <si>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</si>
  <si>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</si>
  <si>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</si>
  <si>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</si>
  <si>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</si>
  <si>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</si>
  <si>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</si>
  <si>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</si>
  <si>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</si>
  <si>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</si>
  <si>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</si>
  <si>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</si>
  <si>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</si>
  <si>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</si>
  <si>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</si>
  <si>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</si>
  <si>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</si>
  <si>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</si>
  <si>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</si>
  <si>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</si>
  <si>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</si>
  <si>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</si>
  <si>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</si>
  <si>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</si>
  <si>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</si>
  <si>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</si>
  <si>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</si>
  <si>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</si>
  <si>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</si>
  <si>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</si>
  <si>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</si>
  <si>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</si>
  <si>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</si>
  <si>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</si>
  <si>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</si>
  <si>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</si>
  <si>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</si>
  <si>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</si>
  <si>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</si>
  <si>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</si>
  <si>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</si>
  <si>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</si>
  <si>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</si>
  <si>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</si>
  <si>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</si>
  <si>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</si>
  <si>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</si>
  <si>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</si>
  <si>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</si>
  <si>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</si>
  <si>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</si>
  <si>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</si>
  <si>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</si>
  <si>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</si>
  <si>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</si>
  <si>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</si>
  <si>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</si>
  <si>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</si>
  <si>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</si>
  <si>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</si>
  <si>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</si>
  <si>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</si>
  <si>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</si>
  <si>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</si>
  <si>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</si>
  <si>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</si>
  <si>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</si>
  <si>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</si>
  <si>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</si>
  <si>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</si>
  <si>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</si>
  <si>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</si>
  <si>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</si>
  <si>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</si>
  <si>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</si>
  <si>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</si>
  <si>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</si>
  <si>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</si>
  <si>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</si>
  <si>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</si>
  <si>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</si>
  <si>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</si>
  <si>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</si>
  <si>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</si>
  <si>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</si>
  <si>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</si>
  <si>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</si>
  <si>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</si>
  <si>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</si>
  <si>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</si>
  <si>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</si>
  <si>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</si>
  <si>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</si>
  <si>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</si>
  <si>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</si>
  <si>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</si>
  <si>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</si>
  <si>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</si>
  <si>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</si>
  <si>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</si>
  <si>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</si>
  <si>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</si>
  <si>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</si>
  <si>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</si>
  <si>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</si>
  <si>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</si>
  <si>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</si>
  <si>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</si>
  <si>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</si>
  <si>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</si>
  <si>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</si>
  <si>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</si>
  <si>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</si>
  <si>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</si>
  <si>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</si>
  <si>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</si>
  <si>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</si>
  <si>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</si>
  <si>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</si>
  <si>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</si>
  <si>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</si>
  <si>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</si>
  <si>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</si>
  <si>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</si>
  <si>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</si>
  <si>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</si>
  <si>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</si>
  <si>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</si>
  <si>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</si>
  <si>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</si>
  <si>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</si>
  <si>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</si>
  <si>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</si>
  <si>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</si>
  <si>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</si>
  <si>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</si>
  <si>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</si>
  <si>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</si>
  <si>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</si>
  <si>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</si>
  <si>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</si>
  <si>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</si>
  <si>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</si>
  <si>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</si>
  <si>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</si>
  <si>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</si>
  <si>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</si>
  <si>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</si>
  <si>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</si>
  <si>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</si>
  <si>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</si>
  <si>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</si>
  <si>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</si>
  <si>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</si>
  <si>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</si>
  <si>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</si>
  <si>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</si>
  <si>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</si>
  <si>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</si>
  <si>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</si>
  <si>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</si>
  <si>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</si>
  <si>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</si>
  <si>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</si>
  <si>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</si>
  <si>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</si>
  <si>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</si>
  <si>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</si>
  <si>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</si>
  <si>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</si>
  <si>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</si>
  <si>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</si>
  <si>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</si>
  <si>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</si>
  <si>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</si>
  <si>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</si>
  <si>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</si>
  <si>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</si>
  <si>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</si>
  <si>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</si>
  <si>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</si>
  <si>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</si>
  <si>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</si>
  <si>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</si>
  <si>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</si>
  <si>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</si>
  <si>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</si>
  <si>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</si>
  <si>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</si>
  <si>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</si>
  <si>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</si>
  <si>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</si>
  <si>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</si>
  <si>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</si>
  <si>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</si>
  <si>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</si>
  <si>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</si>
  <si>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</si>
  <si>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</si>
  <si>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</si>
  <si>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</si>
  <si>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</si>
  <si>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</si>
  <si>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</si>
  <si>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</si>
  <si>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</si>
  <si>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</si>
  <si>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</si>
  <si>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</si>
  <si>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</si>
  <si>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</si>
  <si>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</si>
  <si>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</si>
  <si>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</si>
  <si>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</si>
  <si>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</si>
  <si>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</si>
  <si>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</si>
  <si>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</si>
  <si>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</si>
  <si>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</si>
  <si>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</si>
  <si>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</si>
  <si>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El Paso-Gridley CUSD 11</t>
  </si>
  <si>
    <t>Woodford</t>
  </si>
  <si>
    <t>x</t>
  </si>
  <si>
    <t>Phillips &amp; Associates, CPAs, P.C.</t>
  </si>
  <si>
    <t>Richard W. Phillips</t>
  </si>
  <si>
    <t>1600 Hunt Dr., Ste B</t>
  </si>
  <si>
    <t>Normal</t>
  </si>
  <si>
    <t>Illinois</t>
  </si>
  <si>
    <t>97 West Fifth Street</t>
  </si>
  <si>
    <t>El Paso</t>
  </si>
  <si>
    <t>Brian.Kurz@unit11.org</t>
  </si>
  <si>
    <t>309-452-2417</t>
  </si>
  <si>
    <t>309-888-9261</t>
  </si>
  <si>
    <t>066-004933</t>
  </si>
  <si>
    <t>rwp6505@aol.com</t>
  </si>
  <si>
    <t>Brian Kurz</t>
  </si>
  <si>
    <t>309-527-4410</t>
  </si>
  <si>
    <t>309-527-4040</t>
  </si>
  <si>
    <r>
      <t xml:space="preserve">INSTRUCTIONS: </t>
    </r>
    <r>
      <rPr>
        <sz val="8"/>
        <rFont val="Calibri"/>
        <family val="2"/>
      </rPr>
      <t xml:space="preserve"> If your review and testing of State, Local, and Federal Programs revealed any of the following statements to be true, then check the box on the left and </t>
    </r>
  </si>
  <si>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</si>
  <si>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</si>
  <si>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</si>
  <si>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</si>
  <si>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</si>
  <si>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</si>
  <si>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</si>
  <si>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</si>
  <si>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</si>
  <si>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</si>
  <si>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</si>
  <si>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</si>
  <si>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</si>
  <si>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</si>
  <si>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t>PHILLIPS &amp; ASSOCIATES, CPAS PC</t>
  </si>
  <si>
    <t>General Obligation School Bond Series 2015</t>
  </si>
  <si>
    <t>3,4</t>
  </si>
  <si>
    <t>General Obligation School Bond Series 2016A</t>
  </si>
  <si>
    <t>General Obligation School Bond Series 2016B</t>
  </si>
  <si>
    <t>1,4</t>
  </si>
  <si>
    <t>Heartland Community College</t>
  </si>
  <si>
    <t xml:space="preserve">Homefield Energy, Centerpoint Energy </t>
  </si>
  <si>
    <t>Arbor Management</t>
  </si>
  <si>
    <t>Prairie State Ins Co-op</t>
  </si>
  <si>
    <t>PMA</t>
  </si>
  <si>
    <t>Regional Office of Superintendent</t>
  </si>
  <si>
    <t>Tri-County SPEA</t>
  </si>
  <si>
    <t>U.S. Communities/TCPN/Tips Taps</t>
  </si>
  <si>
    <t>Bloomington CUSD #87</t>
  </si>
  <si>
    <t>90/20/2019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</si>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</sst>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i/>
      <sz val="8"/>
      <name val="Calibri"/>
      <family val="2"/>
    </font>
    <font>
      <i/>
      <u/>
      <sz val="10"/>
      <name val="Calibri"/>
      <family val="2"/>
    </font>
    <font>
      <b/>
      <u/>
      <sz val="10"/>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6"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3"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7"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8"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0" fillId="0" borderId="0" xfId="0" applyFont="1" applyBorder="1" applyAlignment="1" applyProtection="1">
      <alignment horizontal="left" vertical="center"/>
    </xf>
    <xf numFmtId="0" fontId="53" fillId="0" borderId="0" xfId="0" applyFont="1" applyBorder="1" applyAlignment="1" applyProtection="1">
      <alignment vertical="center"/>
    </xf>
    <xf numFmtId="0" fontId="81"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79"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7"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8"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6"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4"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79"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79"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79"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79"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2"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4"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5"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7"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6"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09"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1"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3" fillId="0" borderId="2" xfId="0" applyFont="1" applyBorder="1" applyAlignment="1">
      <alignment vertical="top" wrapText="1"/>
    </xf>
    <xf numFmtId="0" fontId="54"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1"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1"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4" fillId="0" borderId="0" xfId="0" applyFont="1" applyAlignment="1">
      <alignment horizontal="left" vertical="top"/>
    </xf>
    <xf numFmtId="0" fontId="54" fillId="0" borderId="21" xfId="0" applyFont="1" applyBorder="1" applyAlignment="1"/>
    <xf numFmtId="164" fontId="111"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1"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4" fillId="0" borderId="125" xfId="0" applyFont="1" applyBorder="1" applyAlignment="1"/>
    <xf numFmtId="164" fontId="111"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1"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5"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7" fillId="0" borderId="22" xfId="3" applyFont="1" applyBorder="1" applyAlignment="1" applyProtection="1">
      <alignment horizontal="center"/>
      <protection locked="0"/>
    </xf>
    <xf numFmtId="0" fontId="96"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6"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3"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7" fillId="0" borderId="0" xfId="3" applyFont="1" applyAlignment="1" applyProtection="1">
      <alignment vertical="top"/>
    </xf>
    <xf numFmtId="0" fontId="61" fillId="0" borderId="0" xfId="3" applyFont="1" applyProtection="1"/>
    <xf numFmtId="0" fontId="117"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1"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7"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6"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0"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65" fillId="0" borderId="0" xfId="0" applyFont="1" applyBorder="1" applyAlignment="1" applyProtection="1">
      <alignment horizontal="left" vertical="center"/>
    </xf>
    <xf numFmtId="0" fontId="73" fillId="0" borderId="0" xfId="0" applyFont="1" applyAlignment="1">
      <alignment horizontal="left" vertical="center"/>
    </xf>
    <xf numFmtId="0" fontId="56" fillId="0" borderId="0" xfId="0" applyFont="1" applyAlignment="1">
      <alignment horizontal="left" vertical="center"/>
    </xf>
    <xf numFmtId="0" fontId="61" fillId="0" borderId="0" xfId="0" applyFont="1" applyAlignment="1">
      <alignment horizontal="left" vertical="center"/>
    </xf>
    <xf numFmtId="0" fontId="72" fillId="0" borderId="144" xfId="3" applyFont="1" applyBorder="1" applyAlignment="1">
      <alignment horizontal="center"/>
    </xf>
    <xf numFmtId="14" fontId="72" fillId="0" borderId="0" xfId="3" applyNumberFormat="1" applyFont="1" applyBorder="1" applyAlignment="1" applyProtection="1">
      <alignment horizontal="center" vertical="top"/>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vertical="center"/>
      <protection locked="0"/>
    </xf>
    <xf numFmtId="3" fontId="15" fillId="0" borderId="2" xfId="9" applyNumberFormat="1" applyFont="1" applyFill="1" applyBorder="1" applyAlignment="1" applyProtection="1">
      <alignment horizontal="right" vertical="center"/>
      <protection locked="0"/>
    </xf>
    <xf numFmtId="38" fontId="15" fillId="0" borderId="2" xfId="9" applyNumberFormat="1" applyFont="1" applyFill="1" applyBorder="1" applyAlignment="1" applyProtection="1">
      <alignment horizontal="right"/>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5" fillId="0" borderId="0" xfId="0" applyFont="1" applyBorder="1" applyAlignment="1" applyProtection="1">
      <alignment horizontal="center" vertical="center"/>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3" fillId="0" borderId="0" xfId="0" applyFont="1" applyAlignment="1">
      <alignment horizontal="left" vertical="center"/>
    </xf>
    <xf numFmtId="0" fontId="56" fillId="0" borderId="0" xfId="0" applyFont="1" applyAlignment="1">
      <alignment horizontal="left"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8" fillId="0" borderId="74" xfId="10" applyFont="1" applyBorder="1" applyAlignment="1">
      <alignment horizontal="center"/>
    </xf>
    <xf numFmtId="0" fontId="56"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5"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1"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133350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8"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1976</v>
      </c>
      <c r="B1" s="45"/>
      <c r="C1" s="45"/>
      <c r="D1" s="46"/>
      <c r="I1" s="2020" t="s">
        <v>405</v>
      </c>
      <c r="J1" s="2021"/>
      <c r="K1" s="2021"/>
      <c r="L1" s="2021"/>
      <c r="M1" s="2021"/>
      <c r="N1" s="2021"/>
      <c r="O1" s="2021"/>
      <c r="P1" s="2021"/>
      <c r="Q1" s="2021"/>
      <c r="R1" s="2021"/>
      <c r="S1" s="2021"/>
    </row>
    <row r="2" spans="1:28" ht="12" customHeight="1" x14ac:dyDescent="0.2">
      <c r="A2" s="47" t="s">
        <v>1977</v>
      </c>
      <c r="D2" s="48"/>
      <c r="I2" s="2022" t="s">
        <v>979</v>
      </c>
      <c r="J2" s="2021"/>
      <c r="K2" s="2021"/>
      <c r="L2" s="2021"/>
      <c r="M2" s="2021"/>
      <c r="N2" s="2021"/>
      <c r="O2" s="2021"/>
      <c r="P2" s="2021"/>
      <c r="Q2" s="2021"/>
      <c r="R2" s="2021"/>
      <c r="S2" s="2021"/>
    </row>
    <row r="3" spans="1:28" ht="12" customHeight="1" x14ac:dyDescent="0.2">
      <c r="A3" s="155" t="s">
        <v>1929</v>
      </c>
      <c r="B3" s="156"/>
      <c r="C3" s="156"/>
      <c r="D3" s="157"/>
      <c r="I3" s="2022" t="s">
        <v>52</v>
      </c>
      <c r="J3" s="2021"/>
      <c r="K3" s="2021"/>
      <c r="L3" s="2021"/>
      <c r="M3" s="2021"/>
      <c r="N3" s="2021"/>
      <c r="O3" s="2021"/>
      <c r="P3" s="2021"/>
      <c r="Q3" s="2021"/>
      <c r="R3" s="2021"/>
      <c r="S3" s="2021"/>
    </row>
    <row r="4" spans="1:28" ht="12" customHeight="1" x14ac:dyDescent="0.2">
      <c r="A4" s="37"/>
      <c r="I4" s="2022" t="s">
        <v>524</v>
      </c>
      <c r="J4" s="2021"/>
      <c r="K4" s="2021"/>
      <c r="L4" s="2021"/>
      <c r="M4" s="2021"/>
      <c r="N4" s="2021"/>
      <c r="O4" s="2021"/>
      <c r="P4" s="2021"/>
      <c r="Q4" s="2021"/>
      <c r="R4" s="2021"/>
      <c r="S4" s="2021"/>
    </row>
    <row r="5" spans="1:28" ht="14.1" customHeight="1" x14ac:dyDescent="0.2">
      <c r="B5" s="104" t="s">
        <v>2050</v>
      </c>
      <c r="C5" s="26" t="s">
        <v>910</v>
      </c>
      <c r="D5" s="84"/>
      <c r="E5" s="84"/>
      <c r="H5" s="38"/>
      <c r="I5" s="2029" t="s">
        <v>680</v>
      </c>
      <c r="J5" s="1974"/>
      <c r="K5" s="1974"/>
      <c r="L5" s="1974"/>
      <c r="M5" s="1974"/>
      <c r="N5" s="1974"/>
      <c r="O5" s="1974"/>
      <c r="P5" s="1974"/>
      <c r="Q5" s="1974"/>
      <c r="R5" s="1974"/>
      <c r="S5" s="1974"/>
    </row>
    <row r="6" spans="1:28" ht="14.1" customHeight="1" x14ac:dyDescent="0.2">
      <c r="B6" s="104"/>
      <c r="C6" s="26" t="s">
        <v>911</v>
      </c>
      <c r="D6" s="84"/>
      <c r="E6" s="84"/>
      <c r="I6" s="2028" t="s">
        <v>883</v>
      </c>
      <c r="J6" s="1974"/>
      <c r="K6" s="1974"/>
      <c r="L6" s="1974"/>
      <c r="M6" s="1974"/>
      <c r="N6" s="1974"/>
      <c r="O6" s="1974"/>
      <c r="P6" s="1974"/>
      <c r="Q6" s="1974"/>
      <c r="R6" s="1974"/>
      <c r="S6" s="1974"/>
    </row>
    <row r="7" spans="1:28" ht="12.2" customHeight="1" x14ac:dyDescent="0.2">
      <c r="I7" s="2023">
        <v>43646</v>
      </c>
      <c r="J7" s="2024"/>
      <c r="K7" s="2024"/>
      <c r="L7" s="2024"/>
      <c r="M7" s="2024"/>
      <c r="N7" s="2024"/>
      <c r="O7" s="2024"/>
      <c r="P7" s="2024"/>
      <c r="Q7" s="2024"/>
      <c r="R7" s="2024"/>
      <c r="S7" s="202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5" t="s">
        <v>674</v>
      </c>
      <c r="J9" s="2026"/>
      <c r="K9" s="2026"/>
      <c r="L9" s="2026"/>
      <c r="M9" s="2026"/>
      <c r="N9" s="2026"/>
      <c r="O9" s="2026"/>
      <c r="P9" s="2026"/>
      <c r="Q9" s="2026"/>
      <c r="R9" s="2026"/>
      <c r="S9" s="2027"/>
      <c r="T9" s="1970" t="s">
        <v>533</v>
      </c>
      <c r="U9" s="1971"/>
      <c r="V9" s="1971"/>
      <c r="W9" s="1971"/>
      <c r="X9" s="1971"/>
      <c r="Y9" s="1971"/>
      <c r="Z9" s="1971"/>
      <c r="AA9" s="1972"/>
    </row>
    <row r="10" spans="1:28" ht="13.5" customHeight="1" x14ac:dyDescent="0.2">
      <c r="A10" s="1979" t="s">
        <v>675</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955</v>
      </c>
      <c r="B11" s="1983"/>
      <c r="C11" s="1983"/>
      <c r="D11" s="1983"/>
      <c r="E11" s="1983"/>
      <c r="F11" s="1983"/>
      <c r="G11" s="1983"/>
      <c r="H11" s="1984"/>
      <c r="I11" s="27"/>
      <c r="J11" s="74"/>
      <c r="K11" s="27"/>
      <c r="O11" s="148" t="s">
        <v>2050</v>
      </c>
      <c r="P11" s="100" t="s">
        <v>201</v>
      </c>
      <c r="Q11" s="30"/>
      <c r="R11" s="28"/>
      <c r="S11" s="27"/>
      <c r="T11" s="1976"/>
      <c r="U11" s="1977"/>
      <c r="V11" s="1977"/>
      <c r="W11" s="1977"/>
      <c r="X11" s="1977"/>
      <c r="Y11" s="1977"/>
      <c r="Z11" s="1977"/>
      <c r="AA11" s="197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0">
        <v>53102011026</v>
      </c>
      <c r="B13" s="1991"/>
      <c r="C13" s="1991"/>
      <c r="D13" s="1991"/>
      <c r="E13" s="1991"/>
      <c r="F13" s="1991"/>
      <c r="G13" s="1991"/>
      <c r="H13" s="1992"/>
      <c r="I13" s="31"/>
      <c r="J13" s="30"/>
      <c r="K13" s="28"/>
      <c r="L13" s="30"/>
      <c r="M13" s="30"/>
      <c r="N13" s="30"/>
      <c r="O13" s="30"/>
      <c r="P13" s="30"/>
      <c r="Q13" s="30"/>
      <c r="R13" s="30"/>
      <c r="S13" s="30"/>
      <c r="T13" s="1995" t="s">
        <v>2051</v>
      </c>
      <c r="U13" s="1996"/>
      <c r="V13" s="1996"/>
      <c r="W13" s="1996"/>
      <c r="X13" s="1996"/>
      <c r="Y13" s="1997"/>
      <c r="Z13" s="1997"/>
      <c r="AA13" s="199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8" t="s">
        <v>2049</v>
      </c>
      <c r="B15" s="1993"/>
      <c r="C15" s="1993"/>
      <c r="D15" s="1993"/>
      <c r="E15" s="1993"/>
      <c r="F15" s="1993"/>
      <c r="G15" s="1993"/>
      <c r="H15" s="1994"/>
      <c r="T15" s="1956" t="s">
        <v>2052</v>
      </c>
      <c r="U15" s="1957"/>
      <c r="V15" s="1957"/>
      <c r="W15" s="1957"/>
      <c r="X15" s="1957"/>
      <c r="Y15" s="1999"/>
      <c r="Z15" s="1999"/>
      <c r="AA15" s="20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2048</v>
      </c>
      <c r="B17" s="2018"/>
      <c r="C17" s="2018"/>
      <c r="D17" s="2018"/>
      <c r="E17" s="2018"/>
      <c r="F17" s="2018"/>
      <c r="G17" s="2018"/>
      <c r="H17" s="2019"/>
      <c r="T17" s="2005" t="s">
        <v>2053</v>
      </c>
      <c r="U17" s="2006"/>
      <c r="V17" s="2006"/>
      <c r="W17" s="2006"/>
      <c r="X17" s="2006"/>
      <c r="Y17" s="2006"/>
      <c r="Z17" s="2006"/>
      <c r="AA17" s="2007"/>
    </row>
    <row r="18" spans="1:27" ht="13.5" customHeight="1" x14ac:dyDescent="0.2">
      <c r="A18" s="85" t="s">
        <v>530</v>
      </c>
      <c r="B18" s="76"/>
      <c r="C18" s="72"/>
      <c r="D18" s="76"/>
      <c r="E18" s="76"/>
      <c r="F18" s="76"/>
      <c r="G18" s="76"/>
      <c r="H18" s="56"/>
      <c r="I18" s="2015" t="s">
        <v>676</v>
      </c>
      <c r="J18" s="2016"/>
      <c r="K18" s="2016"/>
      <c r="L18" s="2016"/>
      <c r="M18" s="2016"/>
      <c r="N18" s="2016"/>
      <c r="O18" s="2016"/>
      <c r="P18" s="2016"/>
      <c r="Q18" s="2016"/>
      <c r="R18" s="2016"/>
      <c r="S18" s="2017"/>
      <c r="T18" s="85" t="s">
        <v>711</v>
      </c>
      <c r="U18" s="51"/>
      <c r="V18" s="72"/>
      <c r="W18" s="50"/>
      <c r="X18" s="85" t="s">
        <v>266</v>
      </c>
      <c r="Y18" s="81"/>
      <c r="Z18" s="159" t="s">
        <v>677</v>
      </c>
      <c r="AA18" s="46"/>
    </row>
    <row r="19" spans="1:27" ht="13.5" customHeight="1" x14ac:dyDescent="0.2">
      <c r="A19" s="1988" t="s">
        <v>2056</v>
      </c>
      <c r="B19" s="1989"/>
      <c r="C19" s="1989"/>
      <c r="D19" s="1989"/>
      <c r="E19" s="1989"/>
      <c r="F19" s="1989"/>
      <c r="G19" s="1989"/>
      <c r="H19" s="1987"/>
      <c r="I19" s="30"/>
      <c r="J19" s="99"/>
      <c r="K19" s="40"/>
      <c r="L19" s="38"/>
      <c r="M19" s="112" t="s">
        <v>315</v>
      </c>
      <c r="P19" s="27"/>
      <c r="Q19" s="27"/>
      <c r="R19" s="27"/>
      <c r="S19" s="31"/>
      <c r="T19" s="1988" t="s">
        <v>2054</v>
      </c>
      <c r="U19" s="1986"/>
      <c r="V19" s="1986"/>
      <c r="W19" s="1987"/>
      <c r="X19" s="2003" t="s">
        <v>2055</v>
      </c>
      <c r="Y19" s="2004"/>
      <c r="Z19" s="2001">
        <v>61761</v>
      </c>
      <c r="AA19" s="20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5" t="s">
        <v>2057</v>
      </c>
      <c r="B21" s="1986"/>
      <c r="C21" s="1986"/>
      <c r="D21" s="1986"/>
      <c r="E21" s="1986"/>
      <c r="F21" s="1986"/>
      <c r="G21" s="1986"/>
      <c r="H21" s="1987"/>
      <c r="I21" s="2011" t="s">
        <v>678</v>
      </c>
      <c r="J21" s="1974"/>
      <c r="K21" s="1974"/>
      <c r="L21" s="1974"/>
      <c r="M21" s="1974"/>
      <c r="N21" s="1974"/>
      <c r="O21" s="1974"/>
      <c r="P21" s="1974"/>
      <c r="Q21" s="1974"/>
      <c r="R21" s="1974"/>
      <c r="S21" s="1975"/>
      <c r="T21" s="1953" t="s">
        <v>2059</v>
      </c>
      <c r="U21" s="1954"/>
      <c r="V21" s="1954"/>
      <c r="W21" s="1954"/>
      <c r="X21" s="1967" t="s">
        <v>2060</v>
      </c>
      <c r="Y21" s="1968"/>
      <c r="Z21" s="1968"/>
      <c r="AA21" s="1969"/>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8" t="s">
        <v>2058</v>
      </c>
      <c r="B23" s="2009"/>
      <c r="C23" s="2009"/>
      <c r="D23" s="2009"/>
      <c r="E23" s="2009"/>
      <c r="F23" s="2009"/>
      <c r="G23" s="2009"/>
      <c r="H23" s="2010"/>
      <c r="T23" s="1948" t="s">
        <v>2061</v>
      </c>
      <c r="U23" s="1949"/>
      <c r="V23" s="1949"/>
      <c r="W23" s="1949"/>
      <c r="X23" s="1964">
        <v>44530</v>
      </c>
      <c r="Y23" s="1965"/>
      <c r="Z23" s="1965"/>
      <c r="AA23" s="1966"/>
    </row>
    <row r="24" spans="1:27" ht="14.1" customHeight="1" x14ac:dyDescent="0.2">
      <c r="A24" s="88" t="s">
        <v>677</v>
      </c>
      <c r="B24" s="49"/>
      <c r="C24" s="49"/>
      <c r="D24" s="49"/>
      <c r="E24" s="49"/>
      <c r="F24" s="49"/>
      <c r="G24" s="49"/>
      <c r="H24" s="61"/>
      <c r="J24" s="2050">
        <f>IF(B5="x",IF(AUDITCHECK!D29="AFR form Incomplete.","",IF(AUDITCHECK!D29="Deficit reduction plan is required.","School District must complete a deficit reduction plan in the 2019-2020 Budget",)),"")</f>
        <v>0</v>
      </c>
      <c r="K24" s="2050"/>
      <c r="L24" s="2050"/>
      <c r="M24" s="2050"/>
      <c r="N24" s="2050"/>
      <c r="O24" s="2050"/>
      <c r="P24" s="2050"/>
      <c r="Q24" s="2050"/>
      <c r="R24" s="2050"/>
      <c r="S24" s="2051"/>
      <c r="T24" s="105" t="s">
        <v>531</v>
      </c>
      <c r="U24" s="106"/>
      <c r="V24" s="106"/>
      <c r="W24" s="106"/>
      <c r="X24" s="107"/>
      <c r="Y24" s="107"/>
      <c r="Z24" s="107"/>
      <c r="AA24" s="108"/>
    </row>
    <row r="25" spans="1:27" ht="14.1" customHeight="1" x14ac:dyDescent="0.2">
      <c r="A25" s="1985">
        <v>61738</v>
      </c>
      <c r="B25" s="1986"/>
      <c r="C25" s="1986"/>
      <c r="D25" s="1986"/>
      <c r="E25" s="1986"/>
      <c r="F25" s="1986"/>
      <c r="G25" s="1986"/>
      <c r="H25" s="1987"/>
      <c r="I25" s="113"/>
      <c r="J25" s="2052"/>
      <c r="K25" s="2052"/>
      <c r="L25" s="2052"/>
      <c r="M25" s="2052"/>
      <c r="N25" s="2052"/>
      <c r="O25" s="2052"/>
      <c r="P25" s="2052"/>
      <c r="Q25" s="2052"/>
      <c r="R25" s="2052"/>
      <c r="S25" s="2053"/>
      <c r="T25" s="1945" t="s">
        <v>2062</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3" t="s">
        <v>1511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2050</v>
      </c>
      <c r="M29" s="40" t="s">
        <v>99</v>
      </c>
      <c r="N29" s="32" t="s">
        <v>1523</v>
      </c>
      <c r="O29" s="32"/>
      <c r="P29" s="32"/>
      <c r="Q29" s="32"/>
      <c r="R29" s="32"/>
      <c r="S29" s="123"/>
      <c r="T29" s="6"/>
      <c r="U29" s="6"/>
      <c r="V29" s="6"/>
      <c r="W29" s="6"/>
      <c r="X29" s="6"/>
      <c r="Y29" s="6"/>
      <c r="Z29" s="6"/>
      <c r="AA29" s="132"/>
    </row>
    <row r="30" spans="1:27" ht="13.5" customHeight="1" x14ac:dyDescent="0.2">
      <c r="A30" s="153"/>
      <c r="B30" s="136" t="s">
        <v>2050</v>
      </c>
      <c r="C30" s="124" t="s">
        <v>1164</v>
      </c>
      <c r="D30" s="28"/>
      <c r="E30" s="28"/>
      <c r="F30" s="140"/>
      <c r="G30" s="114"/>
      <c r="H30" s="114"/>
      <c r="I30" s="54"/>
      <c r="J30" s="102"/>
      <c r="K30" s="28" t="s">
        <v>576</v>
      </c>
      <c r="L30" s="102" t="s">
        <v>2050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2050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2063</v>
      </c>
      <c r="B38" s="2018"/>
      <c r="C38" s="2018"/>
      <c r="D38" s="2018"/>
      <c r="E38" s="2018"/>
      <c r="F38" s="1986"/>
      <c r="G38" s="1986"/>
      <c r="H38" s="1987"/>
      <c r="I38" s="2037"/>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1" t="s">
        <v>531</v>
      </c>
      <c r="B39" s="2042"/>
      <c r="C39" s="72"/>
      <c r="D39" s="69"/>
      <c r="E39" s="69"/>
      <c r="F39" s="79"/>
      <c r="G39" s="69"/>
      <c r="H39" s="56"/>
      <c r="I39" s="2041" t="s">
        <v>531</v>
      </c>
      <c r="J39" s="2042"/>
      <c r="K39" s="2042"/>
      <c r="L39" s="2042"/>
      <c r="M39" s="2042"/>
      <c r="N39" s="67"/>
      <c r="O39" s="72"/>
      <c r="P39" s="72"/>
      <c r="Q39" s="78"/>
      <c r="R39" s="72"/>
      <c r="S39" s="56"/>
      <c r="T39" s="72" t="s">
        <v>531</v>
      </c>
      <c r="U39" s="51"/>
      <c r="V39" s="72"/>
      <c r="W39" s="50"/>
      <c r="X39" s="78"/>
      <c r="Y39" s="45"/>
      <c r="Z39" s="45"/>
      <c r="AA39" s="46"/>
    </row>
    <row r="40" spans="1:27" ht="13.5" customHeight="1" x14ac:dyDescent="0.2">
      <c r="A40" s="2044" t="s">
        <v>2058</v>
      </c>
      <c r="B40" s="2045"/>
      <c r="C40" s="2046"/>
      <c r="D40" s="2046"/>
      <c r="E40" s="2046"/>
      <c r="F40" s="2047"/>
      <c r="G40" s="2047"/>
      <c r="H40" s="2048"/>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4" t="s">
        <v>2064</v>
      </c>
      <c r="B42" s="2035"/>
      <c r="C42" s="2036"/>
      <c r="D42" s="2049" t="s">
        <v>2065</v>
      </c>
      <c r="E42" s="2035"/>
      <c r="F42" s="2035"/>
      <c r="G42" s="2035"/>
      <c r="H42" s="2036"/>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8"/>
      <c r="B44" s="2039"/>
      <c r="C44" s="2039"/>
      <c r="D44" s="2039"/>
      <c r="E44" s="2039"/>
      <c r="F44" s="2039"/>
      <c r="G44" s="2039"/>
      <c r="H44" s="2040"/>
      <c r="I44" s="2030"/>
      <c r="J44" s="2032"/>
      <c r="K44" s="2032"/>
      <c r="L44" s="2032"/>
      <c r="M44" s="2032"/>
      <c r="N44" s="2032"/>
      <c r="O44" s="2032"/>
      <c r="P44" s="2032"/>
      <c r="Q44" s="2032"/>
      <c r="R44" s="2032"/>
      <c r="S44" s="2033"/>
      <c r="T44" s="2030"/>
      <c r="U44" s="2031"/>
      <c r="V44" s="2031"/>
      <c r="W44" s="2031"/>
      <c r="X44" s="2031"/>
      <c r="Y44" s="2031"/>
      <c r="Z44" s="2032"/>
      <c r="AA44" s="203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1928</v>
      </c>
      <c r="D46" s="41"/>
      <c r="E46" s="41"/>
      <c r="F46" s="41"/>
      <c r="G46" s="41"/>
      <c r="Q46" s="29" t="s">
        <v>1420</v>
      </c>
      <c r="R46" s="41"/>
      <c r="S46" s="41"/>
      <c r="T46" s="41"/>
      <c r="U46" s="41"/>
      <c r="V46" s="41"/>
      <c r="W46" s="41"/>
      <c r="X46" s="41"/>
      <c r="Y46" s="41"/>
      <c r="Z46" s="41"/>
      <c r="AA46" s="41"/>
    </row>
    <row r="47" spans="1:27" x14ac:dyDescent="0.2">
      <c r="A47" s="137"/>
      <c r="Q47" s="41" t="s">
        <v>1910</v>
      </c>
      <c r="R47" s="41"/>
      <c r="S47" s="41"/>
      <c r="T47" s="41"/>
      <c r="U47" s="41"/>
      <c r="V47" s="41"/>
      <c r="W47" s="41"/>
      <c r="X47" s="41"/>
      <c r="Y47" s="41"/>
      <c r="Z47" s="41"/>
      <c r="AA47" s="41"/>
    </row>
    <row r="48" spans="1:27" x14ac:dyDescent="0.2">
      <c r="Q48" s="41" t="s">
        <v>1911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3" sqref="B13"/>
    </sheetView>
  </sheetViews>
  <sheetFormatPr defaultRowHeight="12.75" x14ac:dyDescent="0.2"/>
  <cols>
    <col min="1" max="1" width="41.42578125" style="250" customWidth="1"/>
    <col min="2" max="3" width="17.7109375" style="709" customWidth="1"/>
    <col min="4" max="5" width="17.7109375" style="710" customWidth="1"/>
    <col min="6" max="6" width="17.7109375" style="326" customWidth="1"/>
    <col min="7" max="7" width="4.28515625" style="326" customWidth="1"/>
    <col min="8" max="8" width="33.28515625" style="326" customWidth="1"/>
    <col min="9" max="16384" width="9.140625" style="326"/>
  </cols>
  <sheetData>
    <row r="1" spans="1:6" ht="33.75" customHeight="1" x14ac:dyDescent="0.2">
      <c r="A1" s="1880" t="s">
        <v>104</v>
      </c>
    </row>
    <row r="2" spans="1:6" ht="39.75" customHeight="1" x14ac:dyDescent="0.2">
      <c r="A2" s="2187" t="s">
        <v>1787</v>
      </c>
      <c r="B2" s="1525" t="s">
        <v>1935</v>
      </c>
      <c r="C2" s="711" t="s">
        <v>1936</v>
      </c>
      <c r="D2" s="711" t="s">
        <v>1937</v>
      </c>
      <c r="E2" s="711" t="s">
        <v>1938</v>
      </c>
      <c r="F2" s="711" t="s">
        <v>1939</v>
      </c>
    </row>
    <row r="3" spans="1:6" ht="12" customHeight="1" x14ac:dyDescent="0.2">
      <c r="A3" s="2188"/>
      <c r="B3" s="1522"/>
      <c r="C3" s="1523"/>
      <c r="D3" s="1524" t="s">
        <v>256</v>
      </c>
      <c r="E3" s="1523"/>
      <c r="F3" s="1524" t="s">
        <v>257</v>
      </c>
    </row>
    <row r="4" spans="1:6" ht="13.7" customHeight="1" x14ac:dyDescent="0.2">
      <c r="A4" s="712" t="s">
        <v>1155</v>
      </c>
      <c r="B4" s="1746">
        <f>'Revenues 9-14'!C5</f>
        <v>5799419</v>
      </c>
      <c r="C4" s="1521">
        <f>914293-1203</f>
        <v>913090</v>
      </c>
      <c r="D4" s="1749">
        <f>B4-C4</f>
        <v>4886329</v>
      </c>
      <c r="E4" s="1521">
        <f>5954788-1997</f>
        <v>5952791</v>
      </c>
      <c r="F4" s="1749">
        <f>E4-C4</f>
        <v>5039701</v>
      </c>
    </row>
    <row r="5" spans="1:6" ht="13.7" customHeight="1" x14ac:dyDescent="0.2">
      <c r="A5" s="712" t="s">
        <v>870</v>
      </c>
      <c r="B5" s="1747">
        <f>'Revenues 9-14'!D5</f>
        <v>939745</v>
      </c>
      <c r="C5" s="582">
        <v>147900</v>
      </c>
      <c r="D5" s="1750">
        <f t="shared" ref="D5:D18" si="0">B5-C5</f>
        <v>791845</v>
      </c>
      <c r="E5" s="582">
        <v>963275</v>
      </c>
      <c r="F5" s="1750">
        <f>E5-C5</f>
        <v>815375</v>
      </c>
    </row>
    <row r="6" spans="1:6" ht="13.7" customHeight="1" x14ac:dyDescent="0.2">
      <c r="A6" s="712" t="s">
        <v>411</v>
      </c>
      <c r="B6" s="1747">
        <f>'Revenues 9-14'!E5</f>
        <v>1056030</v>
      </c>
      <c r="C6" s="582">
        <v>161836</v>
      </c>
      <c r="D6" s="1750">
        <f t="shared" si="0"/>
        <v>894194</v>
      </c>
      <c r="E6" s="582">
        <v>1054132</v>
      </c>
      <c r="F6" s="1750">
        <f t="shared" ref="F6:F18" si="1">E6-C6</f>
        <v>892296</v>
      </c>
    </row>
    <row r="7" spans="1:6" ht="13.7" customHeight="1" x14ac:dyDescent="0.2">
      <c r="A7" s="712" t="s">
        <v>155</v>
      </c>
      <c r="B7" s="1747">
        <f>'Revenues 9-14'!F5</f>
        <v>341724</v>
      </c>
      <c r="C7" s="582">
        <v>53782</v>
      </c>
      <c r="D7" s="1750">
        <f t="shared" si="0"/>
        <v>287942</v>
      </c>
      <c r="E7" s="582">
        <v>350282</v>
      </c>
      <c r="F7" s="1750">
        <f t="shared" si="1"/>
        <v>296500</v>
      </c>
    </row>
    <row r="8" spans="1:6" ht="13.7" customHeight="1" x14ac:dyDescent="0.2">
      <c r="A8" s="712" t="s">
        <v>1179</v>
      </c>
      <c r="B8" s="1747">
        <f>'Revenues 9-14'!G5</f>
        <v>221062</v>
      </c>
      <c r="C8" s="582">
        <v>38384</v>
      </c>
      <c r="D8" s="1750">
        <f t="shared" si="0"/>
        <v>182678</v>
      </c>
      <c r="E8" s="582">
        <v>250069</v>
      </c>
      <c r="F8" s="1750">
        <f t="shared" si="1"/>
        <v>211685</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85432</v>
      </c>
      <c r="C10" s="582">
        <v>13446</v>
      </c>
      <c r="D10" s="1750">
        <f t="shared" si="0"/>
        <v>71986</v>
      </c>
      <c r="E10" s="582">
        <v>87570</v>
      </c>
      <c r="F10" s="1750">
        <f t="shared" si="1"/>
        <v>74124</v>
      </c>
    </row>
    <row r="11" spans="1:6" x14ac:dyDescent="0.2">
      <c r="A11" s="712" t="s">
        <v>409</v>
      </c>
      <c r="B11" s="1747">
        <f>'Revenues 9-14'!J5</f>
        <v>630624</v>
      </c>
      <c r="C11" s="582">
        <v>99801</v>
      </c>
      <c r="D11" s="1750">
        <f t="shared" si="0"/>
        <v>530823</v>
      </c>
      <c r="E11" s="582">
        <v>650086</v>
      </c>
      <c r="F11" s="1750">
        <f t="shared" si="1"/>
        <v>550285</v>
      </c>
    </row>
    <row r="12" spans="1:6" ht="13.7" customHeight="1" x14ac:dyDescent="0.2">
      <c r="A12" s="712" t="s">
        <v>157</v>
      </c>
      <c r="B12" s="1747">
        <f>'Revenues 9-14'!K5</f>
        <v>85432</v>
      </c>
      <c r="C12" s="582">
        <v>13446</v>
      </c>
      <c r="D12" s="1750">
        <f t="shared" si="0"/>
        <v>71986</v>
      </c>
      <c r="E12" s="582">
        <v>87570</v>
      </c>
      <c r="F12" s="1750">
        <f t="shared" si="1"/>
        <v>74124</v>
      </c>
    </row>
    <row r="13" spans="1:6" ht="13.7" customHeight="1" x14ac:dyDescent="0.2">
      <c r="A13" s="712" t="s">
        <v>936</v>
      </c>
      <c r="B13" s="1747">
        <f>SUM('Revenues 9-14'!C6:D6)</f>
        <v>85432</v>
      </c>
      <c r="C13" s="582">
        <v>13446</v>
      </c>
      <c r="D13" s="1750">
        <f t="shared" si="0"/>
        <v>71986</v>
      </c>
      <c r="E13" s="582">
        <v>87570</v>
      </c>
      <c r="F13" s="1750">
        <f t="shared" si="1"/>
        <v>74124</v>
      </c>
    </row>
    <row r="14" spans="1:6" ht="13.7" customHeight="1" x14ac:dyDescent="0.2">
      <c r="A14" s="712" t="s">
        <v>410</v>
      </c>
      <c r="B14" s="1747">
        <f>SUM('Revenues 9-14'!C7:D7,'Revenues 9-14'!F7:H7)</f>
        <v>68346</v>
      </c>
      <c r="C14" s="582">
        <v>10756</v>
      </c>
      <c r="D14" s="1750">
        <f t="shared" si="0"/>
        <v>57590</v>
      </c>
      <c r="E14" s="582">
        <v>70056</v>
      </c>
      <c r="F14" s="1750">
        <f t="shared" si="1"/>
        <v>59300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213384</v>
      </c>
      <c r="C16" s="582">
        <v>30706</v>
      </c>
      <c r="D16" s="1750">
        <f t="shared" si="0"/>
        <v>182678</v>
      </c>
      <c r="E16" s="582">
        <v>200006</v>
      </c>
      <c r="F16" s="1750">
        <f t="shared" si="1"/>
        <v>169300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9526630</v>
      </c>
      <c r="C19" s="1748">
        <f>SUM(C4:C18)</f>
        <v>1496593</v>
      </c>
      <c r="D19" s="1748">
        <f>SUM(D4:D18)</f>
        <v>8030037</v>
      </c>
      <c r="E19" s="1748">
        <f>SUM(E4:E18)</f>
        <v>9753407</v>
      </c>
      <c r="F19" s="1748">
        <f>SUM(F4:F18)</f>
        <v>8256814</v>
      </c>
    </row>
    <row r="20" spans="1:6" ht="13.5" thickTop="1" x14ac:dyDescent="0.2">
      <c r="B20" s="710"/>
      <c r="F20" s="713"/>
    </row>
    <row r="21" spans="1:6" x14ac:dyDescent="0.2">
      <c r="A21" s="714" t="s">
        <v>1793</v>
      </c>
      <c r="B21" s="715"/>
      <c r="F21" s="713"/>
    </row>
    <row r="22" spans="1:6" x14ac:dyDescent="0.2">
      <c r="A22" s="716" t="s">
        <v>628</v>
      </c>
      <c r="B22" s="717"/>
    </row>
    <row r="23" spans="1:6" ht="9.6" customHeight="1" x14ac:dyDescent="0.2">
      <c r="A23" s="326"/>
      <c r="B23" s="326"/>
      <c r="C23" s="326"/>
      <c r="D23" s="326"/>
      <c r="E23" s="326"/>
    </row>
    <row r="24" spans="1:6" x14ac:dyDescent="0.2">
      <c r="A24" s="348"/>
      <c r="D24" s="326"/>
      <c r="E24" s="326"/>
    </row>
    <row r="25" spans="1:6" x14ac:dyDescent="0.2">
      <c r="A25" s="348"/>
      <c r="D25" s="326"/>
      <c r="E25" s="326"/>
    </row>
    <row r="26" spans="1:6" x14ac:dyDescent="0.2">
      <c r="A26" s="326"/>
      <c r="B26" s="326"/>
      <c r="C26" s="326"/>
      <c r="D26" s="326"/>
      <c r="E26" s="326"/>
    </row>
    <row r="27" spans="1:6" x14ac:dyDescent="0.2">
      <c r="A27" s="326"/>
      <c r="B27" s="326"/>
      <c r="C27" s="326"/>
      <c r="D27" s="326"/>
      <c r="E27" s="326"/>
    </row>
    <row r="28" spans="1:6" x14ac:dyDescent="0.2">
      <c r="A28" s="326"/>
      <c r="B28" s="326"/>
      <c r="C28" s="326"/>
      <c r="D28" s="326"/>
      <c r="E28" s="326"/>
    </row>
    <row r="29" spans="1:6" x14ac:dyDescent="0.2">
      <c r="A29" s="326"/>
      <c r="B29" s="326"/>
      <c r="C29" s="326"/>
      <c r="D29" s="326"/>
      <c r="E29" s="326"/>
    </row>
    <row r="30" spans="1:6" x14ac:dyDescent="0.2">
      <c r="A30" s="326"/>
      <c r="B30" s="326"/>
      <c r="C30" s="326"/>
      <c r="D30" s="326"/>
      <c r="E30" s="326"/>
    </row>
    <row r="31" spans="1:6" x14ac:dyDescent="0.2">
      <c r="A31" s="326"/>
      <c r="B31" s="326"/>
      <c r="C31" s="326"/>
      <c r="D31" s="326"/>
      <c r="E31" s="326"/>
    </row>
    <row r="32" spans="1:6" x14ac:dyDescent="0.2">
      <c r="A32" s="326"/>
      <c r="B32" s="326"/>
      <c r="C32" s="326"/>
      <c r="D32" s="326"/>
      <c r="E32" s="326"/>
    </row>
    <row r="33" spans="1:5" ht="9.6" customHeight="1" x14ac:dyDescent="0.2">
      <c r="A33" s="326"/>
      <c r="B33" s="326"/>
      <c r="C33" s="326"/>
      <c r="D33" s="326"/>
      <c r="E33" s="326"/>
    </row>
    <row r="34" spans="1:5" ht="9.6" customHeight="1" x14ac:dyDescent="0.2">
      <c r="A34" s="326"/>
      <c r="B34" s="326"/>
      <c r="C34" s="326"/>
      <c r="D34" s="326"/>
      <c r="E34" s="326"/>
    </row>
    <row r="35" spans="1:5" ht="9.6" customHeight="1" x14ac:dyDescent="0.2">
      <c r="A35" s="326"/>
      <c r="B35" s="326"/>
      <c r="C35" s="326"/>
      <c r="D35" s="326"/>
      <c r="E35" s="326"/>
    </row>
    <row r="36" spans="1:5" x14ac:dyDescent="0.2">
      <c r="A36" s="326"/>
      <c r="B36" s="326"/>
      <c r="C36" s="326"/>
      <c r="D36" s="326"/>
      <c r="E36" s="326"/>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6" colorId="8" zoomScale="110" zoomScaleNormal="110" workbookViewId="0">
      <selection activeCell="A5" sqref="A5:F5"/>
    </sheetView>
  </sheetViews>
  <sheetFormatPr defaultColWidth="9.140625" defaultRowHeight="12.75" x14ac:dyDescent="0.2"/>
  <cols>
    <col min="1" max="1" width="44" style="398" customWidth="1"/>
    <col min="2" max="2" width="12.140625" style="719" customWidth="1"/>
    <col min="3" max="5" width="16.7109375" style="719" customWidth="1"/>
    <col min="6" max="6" width="13.42578125" style="381" customWidth="1"/>
    <col min="7" max="7" width="14.7109375" style="381" customWidth="1"/>
    <col min="8" max="10" width="16.7109375" style="381" customWidth="1"/>
    <col min="11" max="16384" width="9.140625" style="381"/>
  </cols>
  <sheetData>
    <row r="1" spans="1:7" ht="27" customHeight="1" x14ac:dyDescent="0.2">
      <c r="A1" s="2193" t="s">
        <v>629</v>
      </c>
      <c r="B1" s="2194"/>
      <c r="C1" s="718"/>
    </row>
    <row r="2" spans="1:7" ht="33.75" x14ac:dyDescent="0.2">
      <c r="A2" s="2202" t="s">
        <v>1787</v>
      </c>
      <c r="B2" s="2203"/>
      <c r="C2" s="1881" t="s">
        <v>1940</v>
      </c>
      <c r="D2" s="720" t="s">
        <v>1941</v>
      </c>
      <c r="E2" s="720" t="s">
        <v>1942</v>
      </c>
      <c r="F2" s="1881" t="s">
        <v>1943</v>
      </c>
    </row>
    <row r="3" spans="1:7" ht="15.75" customHeight="1" x14ac:dyDescent="0.2">
      <c r="A3" s="2206" t="s">
        <v>1114</v>
      </c>
      <c r="B3" s="2207"/>
      <c r="C3" s="2195"/>
      <c r="D3" s="2196"/>
      <c r="E3" s="2196"/>
      <c r="F3" s="2197"/>
    </row>
    <row r="4" spans="1:7" ht="12.75" customHeight="1" thickBot="1" x14ac:dyDescent="0.25">
      <c r="A4" s="2204" t="s">
        <v>630</v>
      </c>
      <c r="B4" s="2205"/>
      <c r="C4" s="578"/>
      <c r="D4" s="578"/>
      <c r="E4" s="578"/>
      <c r="F4" s="1752">
        <f>SUM(C4+D4)-E4</f>
        <v>0</v>
      </c>
    </row>
    <row r="5" spans="1:7" ht="15.75" customHeight="1" thickTop="1" x14ac:dyDescent="0.2">
      <c r="A5" s="2189" t="s">
        <v>1110</v>
      </c>
      <c r="B5" s="2190"/>
      <c r="C5" s="2198"/>
      <c r="D5" s="2199"/>
      <c r="E5" s="2199"/>
      <c r="F5" s="2200"/>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1" t="s">
        <v>631</v>
      </c>
      <c r="B15" s="2192"/>
      <c r="C15" s="1752">
        <f>SUM(C6:C14)</f>
        <v>0</v>
      </c>
      <c r="D15" s="1752">
        <f>SUM(D6:D14)</f>
        <v>0</v>
      </c>
      <c r="E15" s="1752">
        <f>SUM(E6:E14)</f>
        <v>0</v>
      </c>
      <c r="F15" s="1752">
        <f>SUM(F6:F14)</f>
        <v>0</v>
      </c>
      <c r="G15" s="549"/>
    </row>
    <row r="16" spans="1:7" s="202" customFormat="1" ht="15.75" customHeight="1" thickTop="1" x14ac:dyDescent="0.2">
      <c r="A16" s="2201" t="s">
        <v>1111</v>
      </c>
      <c r="B16" s="2190"/>
      <c r="C16" s="2198"/>
      <c r="D16" s="2199"/>
      <c r="E16" s="2199"/>
      <c r="F16" s="2200"/>
    </row>
    <row r="17" spans="1:11" ht="12.75" customHeight="1" thickBot="1" x14ac:dyDescent="0.25">
      <c r="A17" s="2214" t="s">
        <v>64</v>
      </c>
      <c r="B17" s="2215"/>
      <c r="C17" s="723"/>
      <c r="D17" s="582"/>
      <c r="E17" s="723"/>
      <c r="F17" s="1752">
        <f>SUM(C17+D17)-E17</f>
        <v>0</v>
      </c>
    </row>
    <row r="18" spans="1:11" ht="12.75" customHeight="1" thickTop="1" thickBot="1" x14ac:dyDescent="0.25">
      <c r="A18" s="2214" t="s">
        <v>6</v>
      </c>
      <c r="B18" s="2215"/>
      <c r="C18" s="723"/>
      <c r="D18" s="582"/>
      <c r="E18" s="723"/>
      <c r="F18" s="1752">
        <f>SUM(C18+D18)-E18</f>
        <v>0</v>
      </c>
    </row>
    <row r="19" spans="1:11" ht="12.75" customHeight="1" thickTop="1" thickBot="1" x14ac:dyDescent="0.25">
      <c r="A19" s="2214" t="s">
        <v>388</v>
      </c>
      <c r="B19" s="2215"/>
      <c r="C19" s="723"/>
      <c r="D19" s="582"/>
      <c r="E19" s="723"/>
      <c r="F19" s="1752">
        <f>SUM(C19+D19)-E19</f>
        <v>0</v>
      </c>
    </row>
    <row r="20" spans="1:11" ht="12.75" customHeight="1" thickTop="1" thickBot="1" x14ac:dyDescent="0.25">
      <c r="A20" s="2214" t="s">
        <v>448</v>
      </c>
      <c r="B20" s="2215"/>
      <c r="C20" s="723"/>
      <c r="D20" s="582"/>
      <c r="E20" s="723"/>
      <c r="F20" s="1752">
        <f>SUM(C20+D20)-E20</f>
        <v>0</v>
      </c>
    </row>
    <row r="21" spans="1:11" ht="14.25" thickTop="1" thickBot="1" x14ac:dyDescent="0.25">
      <c r="A21" s="2191" t="s">
        <v>632</v>
      </c>
      <c r="B21" s="2192"/>
      <c r="C21" s="1752">
        <f>SUM(C17:C20)</f>
        <v>0</v>
      </c>
      <c r="D21" s="1752">
        <f>SUM(D17:D20)</f>
        <v>0</v>
      </c>
      <c r="E21" s="1752">
        <f>SUM(E17:E20)</f>
        <v>0</v>
      </c>
      <c r="F21" s="1752">
        <f>SUM(F17:F20)</f>
        <v>0</v>
      </c>
      <c r="G21" s="549"/>
    </row>
    <row r="22" spans="1:11" ht="15.75" customHeight="1" thickTop="1" x14ac:dyDescent="0.2">
      <c r="A22" s="2216" t="s">
        <v>1112</v>
      </c>
      <c r="B22" s="2190"/>
      <c r="C22" s="2198"/>
      <c r="D22" s="2199"/>
      <c r="E22" s="2199"/>
      <c r="F22" s="2200"/>
    </row>
    <row r="23" spans="1:11" ht="13.5" thickBot="1" x14ac:dyDescent="0.25">
      <c r="A23" s="2204" t="s">
        <v>633</v>
      </c>
      <c r="B23" s="2205"/>
      <c r="C23" s="578"/>
      <c r="D23" s="578"/>
      <c r="E23" s="578"/>
      <c r="F23" s="1752">
        <f>SUM(C23+D23)-E23</f>
        <v>0</v>
      </c>
      <c r="G23" s="549"/>
    </row>
    <row r="24" spans="1:11" ht="15.75" customHeight="1" thickTop="1" x14ac:dyDescent="0.2">
      <c r="A24" s="2216" t="s">
        <v>1113</v>
      </c>
      <c r="B24" s="2190"/>
      <c r="C24" s="2198"/>
      <c r="D24" s="2199"/>
      <c r="E24" s="2199"/>
      <c r="F24" s="2200"/>
    </row>
    <row r="25" spans="1:11" ht="13.5" thickBot="1" x14ac:dyDescent="0.25">
      <c r="A25" s="2204" t="s">
        <v>634</v>
      </c>
      <c r="B25" s="2205"/>
      <c r="C25" s="578"/>
      <c r="D25" s="578"/>
      <c r="E25" s="578"/>
      <c r="F25" s="1752">
        <f>SUM(C25+D25)-E25</f>
        <v>0</v>
      </c>
      <c r="G25" s="549"/>
    </row>
    <row r="26" spans="1:11" ht="15.75" customHeight="1" thickTop="1" x14ac:dyDescent="0.2">
      <c r="A26" s="2189" t="s">
        <v>657</v>
      </c>
      <c r="B26" s="2190"/>
      <c r="C26" s="724"/>
      <c r="D26" s="724"/>
      <c r="E26" s="724"/>
      <c r="F26" s="725"/>
    </row>
    <row r="27" spans="1:11" ht="13.5" thickBot="1" x14ac:dyDescent="0.25">
      <c r="A27" s="2191" t="s">
        <v>1070</v>
      </c>
      <c r="B27" s="2192"/>
      <c r="C27" s="582"/>
      <c r="D27" s="582"/>
      <c r="E27" s="582"/>
      <c r="F27" s="1752">
        <f>SUM(C27+D27)-E27</f>
        <v>0</v>
      </c>
      <c r="G27" s="549"/>
    </row>
    <row r="28" spans="1:11" ht="7.5" customHeight="1" thickTop="1" x14ac:dyDescent="0.2">
      <c r="A28" s="590"/>
    </row>
    <row r="29" spans="1:11" ht="23.25" customHeight="1" x14ac:dyDescent="0.2">
      <c r="A29" s="2217" t="s">
        <v>582</v>
      </c>
      <c r="B29" s="2194"/>
      <c r="C29" s="726"/>
      <c r="D29" s="726"/>
      <c r="E29" s="726"/>
      <c r="F29" s="726"/>
      <c r="G29" s="726"/>
      <c r="H29" s="726"/>
      <c r="I29" s="726"/>
      <c r="J29" s="726"/>
    </row>
    <row r="30" spans="1:11" ht="33.75" x14ac:dyDescent="0.2">
      <c r="A30" s="1526" t="s">
        <v>1071</v>
      </c>
      <c r="B30" s="727" t="s">
        <v>1124</v>
      </c>
      <c r="C30" s="1882" t="s">
        <v>583</v>
      </c>
      <c r="D30" s="1882" t="s">
        <v>1659</v>
      </c>
      <c r="E30" s="1882" t="s">
        <v>1944</v>
      </c>
      <c r="F30" s="1882" t="s">
        <v>1945</v>
      </c>
      <c r="G30" s="1882" t="s">
        <v>1895</v>
      </c>
      <c r="H30" s="1882" t="s">
        <v>1946</v>
      </c>
      <c r="I30" s="1882" t="s">
        <v>1947</v>
      </c>
      <c r="J30" s="1883" t="s">
        <v>2</v>
      </c>
      <c r="K30" s="728"/>
    </row>
    <row r="31" spans="1:11" ht="12" customHeight="1" x14ac:dyDescent="0.2">
      <c r="A31" s="1940" t="s">
        <v>2082</v>
      </c>
      <c r="B31" s="1941">
        <v>42186</v>
      </c>
      <c r="C31" s="1942">
        <v>3550000</v>
      </c>
      <c r="D31" s="1943" t="s">
        <v>2083</v>
      </c>
      <c r="E31" s="731">
        <v>1850000</v>
      </c>
      <c r="F31" s="731"/>
      <c r="G31" s="731"/>
      <c r="H31" s="731">
        <v>925000</v>
      </c>
      <c r="I31" s="1753">
        <f>((E31+F31)-H31)+G31</f>
        <v>925000</v>
      </c>
      <c r="J31" s="731">
        <v>527783</v>
      </c>
      <c r="K31" s="733"/>
    </row>
    <row r="32" spans="1:11" ht="12" customHeight="1" x14ac:dyDescent="0.2">
      <c r="A32" s="1940"/>
      <c r="B32" s="1941"/>
      <c r="C32" s="1944"/>
      <c r="D32" s="1943"/>
      <c r="E32" s="731"/>
      <c r="F32" s="731"/>
      <c r="G32" s="731"/>
      <c r="H32" s="731"/>
      <c r="I32" s="1753">
        <f>((E32+F32)-H32)+G32</f>
        <v>0</v>
      </c>
      <c r="J32" s="731"/>
      <c r="K32" s="733"/>
    </row>
    <row r="33" spans="1:11" ht="12" customHeight="1" x14ac:dyDescent="0.2">
      <c r="A33" s="1940" t="s">
        <v>2084</v>
      </c>
      <c r="B33" s="1941">
        <v>42558</v>
      </c>
      <c r="C33" s="1944">
        <v>400000</v>
      </c>
      <c r="D33" s="1943">
        <v>1</v>
      </c>
      <c r="E33" s="731">
        <v>400000</v>
      </c>
      <c r="F33" s="731"/>
      <c r="G33" s="731"/>
      <c r="H33" s="731">
        <v>20000</v>
      </c>
      <c r="I33" s="1753">
        <f t="shared" ref="I33:I48" si="1">((E33+F33)-H33)+G33</f>
        <v>380000</v>
      </c>
      <c r="J33" s="731">
        <v>380000</v>
      </c>
      <c r="K33" s="733"/>
    </row>
    <row r="34" spans="1:11" ht="12" customHeight="1" x14ac:dyDescent="0.2">
      <c r="A34" s="1940"/>
      <c r="B34" s="1941"/>
      <c r="C34" s="1944"/>
      <c r="D34" s="1943"/>
      <c r="E34" s="731"/>
      <c r="F34" s="731"/>
      <c r="G34" s="731"/>
      <c r="H34" s="731"/>
      <c r="I34" s="1753">
        <f t="shared" si="1"/>
        <v>0</v>
      </c>
      <c r="J34" s="731"/>
      <c r="K34" s="734"/>
    </row>
    <row r="35" spans="1:11" ht="12" customHeight="1" x14ac:dyDescent="0.2">
      <c r="A35" s="1940" t="s">
        <v>2085</v>
      </c>
      <c r="B35" s="1941">
        <v>42558</v>
      </c>
      <c r="C35" s="1942">
        <v>2550000</v>
      </c>
      <c r="D35" s="1943" t="s">
        <v>2086</v>
      </c>
      <c r="E35" s="735">
        <v>2550000</v>
      </c>
      <c r="F35" s="735"/>
      <c r="G35" s="735"/>
      <c r="H35" s="735"/>
      <c r="I35" s="1753">
        <f t="shared" si="1"/>
        <v>2550000</v>
      </c>
      <c r="J35" s="735">
        <v>2550000</v>
      </c>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4"/>
      <c r="D37" s="737"/>
      <c r="E37" s="464"/>
      <c r="F37" s="464"/>
      <c r="G37" s="464"/>
      <c r="H37" s="464"/>
      <c r="I37" s="1753">
        <f t="shared" si="1"/>
        <v>0</v>
      </c>
      <c r="J37" s="464"/>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6500000</v>
      </c>
      <c r="D49" s="742"/>
      <c r="E49" s="1753">
        <f t="shared" ref="E49:J49" si="2">SUM(E31:E48)</f>
        <v>4800000</v>
      </c>
      <c r="F49" s="1753">
        <f t="shared" si="2"/>
        <v>0</v>
      </c>
      <c r="G49" s="1753">
        <f t="shared" si="2"/>
        <v>0</v>
      </c>
      <c r="H49" s="1753">
        <f t="shared" si="2"/>
        <v>945000</v>
      </c>
      <c r="I49" s="1753">
        <f t="shared" si="2"/>
        <v>3855000</v>
      </c>
      <c r="J49" s="1753">
        <f t="shared" si="2"/>
        <v>3457783</v>
      </c>
      <c r="K49" s="734"/>
    </row>
    <row r="50" spans="1:11" ht="6" customHeight="1" x14ac:dyDescent="0.2">
      <c r="A50" s="743"/>
      <c r="B50" s="733"/>
      <c r="C50" s="733"/>
      <c r="D50" s="733"/>
      <c r="E50" s="733"/>
      <c r="F50" s="733"/>
      <c r="G50" s="733"/>
      <c r="H50" s="733"/>
      <c r="I50" s="733"/>
      <c r="J50" s="743"/>
    </row>
    <row r="51" spans="1:11" x14ac:dyDescent="0.2">
      <c r="A51" s="744" t="s">
        <v>1792</v>
      </c>
      <c r="B51" s="743"/>
      <c r="C51" s="734"/>
      <c r="D51" s="734"/>
      <c r="E51" s="734"/>
      <c r="F51" s="734"/>
      <c r="G51" s="734"/>
      <c r="H51" s="733"/>
      <c r="I51" s="733"/>
      <c r="J51" s="743"/>
    </row>
    <row r="52" spans="1:11" ht="11.25" customHeight="1" x14ac:dyDescent="0.2">
      <c r="A52" s="745" t="s">
        <v>912</v>
      </c>
      <c r="B52" s="2208" t="s">
        <v>584</v>
      </c>
      <c r="C52" s="2209"/>
      <c r="D52" s="2209"/>
      <c r="E52" s="746" t="s">
        <v>845</v>
      </c>
      <c r="F52" s="2210"/>
      <c r="G52" s="2211"/>
      <c r="H52" s="733"/>
      <c r="I52" s="733"/>
      <c r="J52" s="743"/>
    </row>
    <row r="53" spans="1:11" ht="11.25" customHeight="1" x14ac:dyDescent="0.2">
      <c r="A53" s="747" t="s">
        <v>913</v>
      </c>
      <c r="B53" s="748" t="s">
        <v>951</v>
      </c>
      <c r="C53" s="743"/>
      <c r="D53" s="734"/>
      <c r="E53" s="746" t="s">
        <v>497</v>
      </c>
      <c r="F53" s="2212"/>
      <c r="G53" s="2213"/>
      <c r="H53" s="733"/>
      <c r="I53" s="733"/>
      <c r="J53" s="743"/>
    </row>
    <row r="54" spans="1:11" ht="11.25" customHeight="1" x14ac:dyDescent="0.2">
      <c r="A54" s="749" t="s">
        <v>914</v>
      </c>
      <c r="B54" s="744" t="s">
        <v>952</v>
      </c>
      <c r="C54" s="743"/>
      <c r="D54" s="734"/>
      <c r="E54" s="746" t="s">
        <v>498</v>
      </c>
      <c r="F54" s="2212"/>
      <c r="G54" s="221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8" colorId="8" zoomScale="110" zoomScaleNormal="110" workbookViewId="0">
      <selection activeCell="A5" sqref="A5:F5"/>
    </sheetView>
  </sheetViews>
  <sheetFormatPr defaultColWidth="9.140625" defaultRowHeight="12.75" x14ac:dyDescent="0.2"/>
  <cols>
    <col min="1" max="1" width="4.7109375" style="381" customWidth="1"/>
    <col min="2" max="2" width="3.28515625" style="381" customWidth="1"/>
    <col min="3" max="3" width="4.7109375" style="381" customWidth="1"/>
    <col min="4" max="4" width="3.28515625" style="381" customWidth="1"/>
    <col min="5" max="5" width="44.5703125" style="405" customWidth="1"/>
    <col min="6" max="6" width="18.140625" style="381" customWidth="1"/>
    <col min="7" max="9" width="15.7109375" style="381" customWidth="1"/>
    <col min="10" max="10" width="16.7109375" style="381" customWidth="1"/>
    <col min="11" max="11" width="15.7109375" style="202" customWidth="1"/>
    <col min="12" max="12" width="4.7109375" style="381" customWidth="1"/>
    <col min="13" max="13" width="7.7109375" style="381" customWidth="1"/>
    <col min="14" max="16384" width="9.140625" style="381"/>
  </cols>
  <sheetData>
    <row r="1" spans="1:11" ht="28.5" customHeight="1" x14ac:dyDescent="0.2">
      <c r="A1" s="2242" t="s">
        <v>856</v>
      </c>
      <c r="B1" s="2243"/>
      <c r="C1" s="2243"/>
      <c r="D1" s="2243"/>
      <c r="E1" s="2243"/>
      <c r="F1" s="2243"/>
      <c r="G1" s="2244"/>
      <c r="H1" s="1527"/>
      <c r="I1" s="757"/>
      <c r="J1" s="430"/>
    </row>
    <row r="2" spans="1:11" ht="26.25" x14ac:dyDescent="0.2">
      <c r="A2" s="2221" t="s">
        <v>1663</v>
      </c>
      <c r="B2" s="2222"/>
      <c r="C2" s="2222"/>
      <c r="D2" s="2222"/>
      <c r="E2" s="2223"/>
      <c r="F2" s="758" t="s">
        <v>904</v>
      </c>
      <c r="G2" s="759" t="s">
        <v>1660</v>
      </c>
      <c r="H2" s="759" t="s">
        <v>410</v>
      </c>
      <c r="I2" s="759" t="s">
        <v>1158</v>
      </c>
      <c r="J2" s="759" t="s">
        <v>1797</v>
      </c>
      <c r="K2" s="759" t="s">
        <v>138</v>
      </c>
    </row>
    <row r="3" spans="1:11" x14ac:dyDescent="0.2">
      <c r="A3" s="2224" t="s">
        <v>1948</v>
      </c>
      <c r="B3" s="2225"/>
      <c r="C3" s="2225"/>
      <c r="D3" s="2225"/>
      <c r="E3" s="2226"/>
      <c r="F3" s="760"/>
      <c r="G3" s="761"/>
      <c r="H3" s="761"/>
      <c r="I3" s="761"/>
      <c r="J3" s="762"/>
      <c r="K3" s="762"/>
    </row>
    <row r="4" spans="1:11" x14ac:dyDescent="0.2">
      <c r="A4" s="2227" t="s">
        <v>369</v>
      </c>
      <c r="B4" s="2228"/>
      <c r="C4" s="2228"/>
      <c r="D4" s="2228"/>
      <c r="E4" s="2209"/>
      <c r="F4" s="763"/>
      <c r="G4" s="764"/>
      <c r="H4" s="765"/>
      <c r="I4" s="764"/>
      <c r="J4" s="766"/>
      <c r="K4" s="766"/>
    </row>
    <row r="5" spans="1:11" x14ac:dyDescent="0.2">
      <c r="A5" s="2245" t="s">
        <v>1069</v>
      </c>
      <c r="B5" s="2218"/>
      <c r="C5" s="2218"/>
      <c r="D5" s="2218"/>
      <c r="E5" s="2246"/>
      <c r="F5" s="767" t="s">
        <v>848</v>
      </c>
      <c r="G5" s="768"/>
      <c r="H5" s="761">
        <v>68346</v>
      </c>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v>14785</v>
      </c>
    </row>
    <row r="8" spans="1:11" x14ac:dyDescent="0.2">
      <c r="A8" s="775" t="s">
        <v>345</v>
      </c>
      <c r="B8" s="776"/>
      <c r="C8" s="776"/>
      <c r="D8" s="776"/>
      <c r="E8" s="777"/>
      <c r="F8" s="767" t="s">
        <v>851</v>
      </c>
      <c r="G8" s="779"/>
      <c r="H8" s="779"/>
      <c r="I8" s="779"/>
      <c r="J8" s="762">
        <v>199238</v>
      </c>
      <c r="K8" s="766"/>
    </row>
    <row r="9" spans="1:11" x14ac:dyDescent="0.2">
      <c r="A9" s="775" t="s">
        <v>138</v>
      </c>
      <c r="B9" s="776"/>
      <c r="C9" s="776"/>
      <c r="D9" s="776"/>
      <c r="E9" s="777"/>
      <c r="F9" s="774" t="s">
        <v>853</v>
      </c>
      <c r="G9" s="779"/>
      <c r="H9" s="768"/>
      <c r="I9" s="768"/>
      <c r="J9" s="778"/>
      <c r="K9" s="762">
        <v>16894</v>
      </c>
    </row>
    <row r="10" spans="1:11" x14ac:dyDescent="0.2">
      <c r="A10" s="2245" t="s">
        <v>1798</v>
      </c>
      <c r="B10" s="2218"/>
      <c r="C10" s="2218"/>
      <c r="D10" s="2218"/>
      <c r="E10" s="2247"/>
      <c r="F10" s="780" t="s">
        <v>862</v>
      </c>
      <c r="G10" s="779"/>
      <c r="H10" s="781"/>
      <c r="I10" s="761"/>
      <c r="J10" s="762"/>
      <c r="K10" s="762"/>
    </row>
    <row r="11" spans="1:11" x14ac:dyDescent="0.2">
      <c r="A11" s="2245" t="s">
        <v>160</v>
      </c>
      <c r="B11" s="2218"/>
      <c r="C11" s="2218"/>
      <c r="D11" s="2218"/>
      <c r="E11" s="2246"/>
      <c r="F11" s="767" t="s">
        <v>852</v>
      </c>
      <c r="G11" s="768"/>
      <c r="H11" s="761"/>
      <c r="I11" s="761"/>
      <c r="J11" s="762"/>
      <c r="K11" s="770"/>
    </row>
    <row r="12" spans="1:11" ht="13.5" thickBot="1" x14ac:dyDescent="0.25">
      <c r="A12" s="2235" t="s">
        <v>905</v>
      </c>
      <c r="B12" s="2236"/>
      <c r="C12" s="2236"/>
      <c r="D12" s="2236"/>
      <c r="E12" s="2237"/>
      <c r="F12" s="1754"/>
      <c r="G12" s="1755">
        <f>SUM(G5:G11)</f>
        <v>0</v>
      </c>
      <c r="H12" s="1755">
        <f>SUM(H5:H11)</f>
        <v>68346</v>
      </c>
      <c r="I12" s="1755">
        <f>SUM(I5:I11)</f>
        <v>0</v>
      </c>
      <c r="J12" s="1755">
        <f>SUM(J5:J11)</f>
        <v>199238</v>
      </c>
      <c r="K12" s="1755">
        <f>SUM(K5:K11)</f>
        <v>31679</v>
      </c>
    </row>
    <row r="13" spans="1:11" ht="13.5" thickTop="1" x14ac:dyDescent="0.2">
      <c r="A13" s="2229" t="s">
        <v>370</v>
      </c>
      <c r="B13" s="2230"/>
      <c r="C13" s="2230"/>
      <c r="D13" s="2230"/>
      <c r="E13" s="2231"/>
      <c r="F13" s="782"/>
      <c r="G13" s="783"/>
      <c r="H13" s="784"/>
      <c r="I13" s="785"/>
      <c r="J13" s="785"/>
      <c r="K13" s="785"/>
    </row>
    <row r="14" spans="1:11" x14ac:dyDescent="0.2">
      <c r="A14" s="2251" t="s">
        <v>456</v>
      </c>
      <c r="B14" s="2251"/>
      <c r="C14" s="2251"/>
      <c r="D14" s="2251"/>
      <c r="E14" s="2252"/>
      <c r="F14" s="786" t="s">
        <v>854</v>
      </c>
      <c r="G14" s="779"/>
      <c r="H14" s="761">
        <v>68346</v>
      </c>
      <c r="I14" s="768"/>
      <c r="J14" s="770"/>
      <c r="K14" s="762">
        <v>31679</v>
      </c>
    </row>
    <row r="15" spans="1:11" x14ac:dyDescent="0.2">
      <c r="A15" s="2218" t="s">
        <v>4</v>
      </c>
      <c r="B15" s="2218"/>
      <c r="C15" s="2218"/>
      <c r="D15" s="2218"/>
      <c r="E15" s="2246"/>
      <c r="F15" s="786" t="s">
        <v>855</v>
      </c>
      <c r="G15" s="768"/>
      <c r="H15" s="761"/>
      <c r="I15" s="761"/>
      <c r="J15" s="762"/>
      <c r="K15" s="762"/>
    </row>
    <row r="16" spans="1:11" x14ac:dyDescent="0.2">
      <c r="A16" s="2218" t="s">
        <v>298</v>
      </c>
      <c r="B16" s="2218"/>
      <c r="C16" s="2218"/>
      <c r="D16" s="2218"/>
      <c r="E16" s="2246"/>
      <c r="F16" s="786" t="s">
        <v>923</v>
      </c>
      <c r="G16" s="769"/>
      <c r="H16" s="764"/>
      <c r="I16" s="764"/>
      <c r="J16" s="766"/>
      <c r="K16" s="766"/>
    </row>
    <row r="17" spans="1:11" x14ac:dyDescent="0.2">
      <c r="A17" s="2240" t="s">
        <v>935</v>
      </c>
      <c r="B17" s="2240"/>
      <c r="C17" s="2240"/>
      <c r="D17" s="2240"/>
      <c r="E17" s="2241"/>
      <c r="F17" s="787"/>
      <c r="G17" s="788"/>
      <c r="H17" s="789"/>
      <c r="I17" s="789"/>
      <c r="J17" s="790"/>
      <c r="K17" s="791"/>
    </row>
    <row r="18" spans="1:11" x14ac:dyDescent="0.2">
      <c r="A18" s="2232" t="s">
        <v>368</v>
      </c>
      <c r="B18" s="2233"/>
      <c r="C18" s="2233"/>
      <c r="D18" s="2233"/>
      <c r="E18" s="2234"/>
      <c r="F18" s="786" t="s">
        <v>932</v>
      </c>
      <c r="G18" s="779"/>
      <c r="H18" s="779"/>
      <c r="I18" s="779"/>
      <c r="J18" s="762"/>
      <c r="K18" s="792"/>
    </row>
    <row r="19" spans="1:11" ht="21.75" customHeight="1" x14ac:dyDescent="0.2">
      <c r="A19" s="2253" t="s">
        <v>1794</v>
      </c>
      <c r="B19" s="2253"/>
      <c r="C19" s="2253"/>
      <c r="D19" s="2253"/>
      <c r="E19" s="2254"/>
      <c r="F19" s="786" t="s">
        <v>933</v>
      </c>
      <c r="G19" s="779"/>
      <c r="H19" s="779"/>
      <c r="I19" s="779"/>
      <c r="J19" s="762"/>
      <c r="K19" s="792"/>
    </row>
    <row r="20" spans="1:11" x14ac:dyDescent="0.2">
      <c r="A20" s="2232" t="s">
        <v>1799</v>
      </c>
      <c r="B20" s="2233"/>
      <c r="C20" s="2233"/>
      <c r="D20" s="2233"/>
      <c r="E20" s="2234"/>
      <c r="F20" s="786" t="s">
        <v>934</v>
      </c>
      <c r="G20" s="779"/>
      <c r="H20" s="779"/>
      <c r="I20" s="779"/>
      <c r="J20" s="762"/>
      <c r="K20" s="792"/>
    </row>
    <row r="21" spans="1:11" ht="13.5" thickBot="1" x14ac:dyDescent="0.25">
      <c r="A21" s="2238" t="s">
        <v>638</v>
      </c>
      <c r="B21" s="2238"/>
      <c r="C21" s="2238"/>
      <c r="D21" s="2238"/>
      <c r="E21" s="2238"/>
      <c r="F21" s="1756"/>
      <c r="G21" s="789"/>
      <c r="H21" s="793"/>
      <c r="I21" s="793"/>
      <c r="J21" s="1757">
        <f>SUM(J18:J20)</f>
        <v>0</v>
      </c>
      <c r="K21" s="790"/>
    </row>
    <row r="22" spans="1:11" ht="13.5" thickTop="1" x14ac:dyDescent="0.2">
      <c r="A22" s="2218" t="s">
        <v>1800</v>
      </c>
      <c r="B22" s="2218"/>
      <c r="C22" s="2218"/>
      <c r="D22" s="2218"/>
      <c r="E22" s="2246"/>
      <c r="F22" s="786" t="s">
        <v>862</v>
      </c>
      <c r="G22" s="779"/>
      <c r="H22" s="761"/>
      <c r="I22" s="761"/>
      <c r="J22" s="794"/>
      <c r="K22" s="762"/>
    </row>
    <row r="23" spans="1:11" ht="13.5" thickBot="1" x14ac:dyDescent="0.25">
      <c r="A23" s="2239" t="s">
        <v>906</v>
      </c>
      <c r="B23" s="2238"/>
      <c r="C23" s="2238"/>
      <c r="D23" s="2238"/>
      <c r="E23" s="2238"/>
      <c r="F23" s="1758"/>
      <c r="G23" s="1755">
        <f>SUM(G14:G16,G21,G22)</f>
        <v>0</v>
      </c>
      <c r="H23" s="1755">
        <f>SUM(H14:H16,H21,H22)</f>
        <v>68346</v>
      </c>
      <c r="I23" s="1755">
        <f>SUM(I14:I16,I21,I22)</f>
        <v>0</v>
      </c>
      <c r="J23" s="1755">
        <f>SUM(J14:J16,J21,J22)</f>
        <v>0</v>
      </c>
      <c r="K23" s="1755">
        <f>SUM(K14:K16,K21,K22)</f>
        <v>31679</v>
      </c>
    </row>
    <row r="24" spans="1:11" ht="14.25" thickTop="1" thickBot="1" x14ac:dyDescent="0.25">
      <c r="A24" s="2239" t="s">
        <v>1949</v>
      </c>
      <c r="B24" s="2238"/>
      <c r="C24" s="2238"/>
      <c r="D24" s="2238"/>
      <c r="E24" s="2238"/>
      <c r="F24" s="1759"/>
      <c r="G24" s="1760">
        <f>SUM(G3,G12)-G23</f>
        <v>0</v>
      </c>
      <c r="H24" s="1760">
        <f>SUM(H3,H12)-H23</f>
        <v>0</v>
      </c>
      <c r="I24" s="1760">
        <f>SUM(I3,I12)-I23</f>
        <v>0</v>
      </c>
      <c r="J24" s="1760">
        <f>SUM(J3,J12)-J23</f>
        <v>199238</v>
      </c>
      <c r="K24" s="1760">
        <f>SUM(K3,K12)-K23</f>
        <v>0</v>
      </c>
    </row>
    <row r="25" spans="1:11" ht="13.5" thickTop="1" x14ac:dyDescent="0.2">
      <c r="A25" s="795" t="s">
        <v>420</v>
      </c>
      <c r="B25" s="796"/>
      <c r="C25" s="796"/>
      <c r="D25" s="796"/>
      <c r="E25" s="797"/>
      <c r="F25" s="798">
        <v>714</v>
      </c>
      <c r="G25" s="799"/>
      <c r="H25" s="799"/>
      <c r="I25" s="799"/>
      <c r="J25" s="794">
        <v>19686</v>
      </c>
      <c r="K25" s="794"/>
    </row>
    <row r="26" spans="1:11" ht="13.5" thickBot="1" x14ac:dyDescent="0.25">
      <c r="A26" s="795" t="s">
        <v>342</v>
      </c>
      <c r="B26" s="796"/>
      <c r="C26" s="796"/>
      <c r="D26" s="796"/>
      <c r="E26" s="797"/>
      <c r="F26" s="798">
        <v>730</v>
      </c>
      <c r="G26" s="1755">
        <f>G24-G25</f>
        <v>0</v>
      </c>
      <c r="H26" s="1755">
        <f>H24-H25</f>
        <v>0</v>
      </c>
      <c r="I26" s="1755">
        <f>I24-I25</f>
        <v>0</v>
      </c>
      <c r="J26" s="1755">
        <f>J24-J25</f>
        <v>179552</v>
      </c>
      <c r="K26" s="1755">
        <f>K24-K25</f>
        <v>0</v>
      </c>
    </row>
    <row r="27" spans="1:11" ht="5.25" customHeight="1" thickTop="1" x14ac:dyDescent="0.2">
      <c r="I27" s="202"/>
      <c r="J27" s="202"/>
    </row>
    <row r="28" spans="1:11" ht="29.25" customHeight="1" x14ac:dyDescent="0.2">
      <c r="A28" s="1877" t="s">
        <v>1894</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6"/>
      <c r="E31" s="807" t="s">
        <v>769</v>
      </c>
      <c r="F31" s="808" t="s">
        <v>539</v>
      </c>
      <c r="G31" s="761"/>
      <c r="H31" s="2248"/>
      <c r="I31" s="2249"/>
      <c r="J31" s="2249"/>
      <c r="K31" s="2249"/>
    </row>
    <row r="32" spans="1:11" x14ac:dyDescent="0.2">
      <c r="A32" s="806"/>
      <c r="B32" s="236"/>
      <c r="C32" s="236"/>
      <c r="D32" s="236"/>
      <c r="E32" s="802"/>
      <c r="F32" s="808" t="s">
        <v>540</v>
      </c>
      <c r="G32" s="761"/>
      <c r="H32" s="2250"/>
      <c r="I32" s="2249"/>
      <c r="J32" s="2249"/>
      <c r="K32" s="2249"/>
    </row>
    <row r="33" spans="1:11" ht="1.5" customHeight="1" x14ac:dyDescent="0.2">
      <c r="A33" s="809" t="s">
        <v>1169</v>
      </c>
      <c r="B33" s="361"/>
      <c r="C33" s="361"/>
      <c r="D33" s="361"/>
      <c r="E33" s="361"/>
      <c r="F33" s="361"/>
      <c r="G33" s="810"/>
      <c r="H33" s="2250"/>
      <c r="I33" s="2249"/>
      <c r="J33" s="2249"/>
      <c r="K33" s="2249"/>
    </row>
    <row r="34" spans="1:11" x14ac:dyDescent="0.2">
      <c r="A34" s="811" t="s">
        <v>1801</v>
      </c>
      <c r="B34" s="361"/>
      <c r="C34" s="361"/>
      <c r="D34" s="361"/>
      <c r="E34" s="361"/>
      <c r="F34" s="361"/>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8" t="s">
        <v>541</v>
      </c>
      <c r="B41" s="2219"/>
      <c r="C41" s="2219"/>
      <c r="D41" s="2219"/>
      <c r="E41" s="2219"/>
      <c r="F41" s="222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1795</v>
      </c>
      <c r="B46" s="405" t="s">
        <v>1661</v>
      </c>
    </row>
    <row r="47" spans="1:11" s="820" customFormat="1" ht="12.75" customHeight="1" x14ac:dyDescent="0.2">
      <c r="A47" s="818"/>
      <c r="B47" s="819" t="s">
        <v>1662</v>
      </c>
      <c r="E47" s="819"/>
      <c r="K47" s="821"/>
    </row>
    <row r="48" spans="1:11" ht="12.75" customHeight="1" x14ac:dyDescent="0.2">
      <c r="A48" s="1529" t="s">
        <v>1796</v>
      </c>
      <c r="B48" s="405"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5" customWidth="1"/>
    <col min="2" max="2" width="5.7109375" style="454" customWidth="1"/>
    <col min="3" max="6" width="12.85546875" style="454" customWidth="1"/>
    <col min="7" max="7" width="6.42578125" style="454" customWidth="1"/>
    <col min="8" max="8" width="14.140625" style="454" customWidth="1"/>
    <col min="9" max="9" width="12.85546875" style="454" customWidth="1"/>
    <col min="10" max="10" width="16.85546875" style="454" customWidth="1"/>
    <col min="11" max="11" width="15.5703125" style="454" customWidth="1"/>
    <col min="12" max="12" width="13.85546875" style="454" customWidth="1"/>
    <col min="13" max="16384" width="9.140625" style="454"/>
  </cols>
  <sheetData>
    <row r="1" spans="1:14" ht="33" customHeight="1" x14ac:dyDescent="0.2">
      <c r="A1" s="2257" t="s">
        <v>1893</v>
      </c>
      <c r="B1" s="2258"/>
      <c r="C1" s="2259"/>
      <c r="D1" s="823"/>
      <c r="E1" s="824"/>
      <c r="F1" s="824"/>
      <c r="G1" s="825"/>
      <c r="H1" s="826"/>
      <c r="I1" s="827"/>
      <c r="J1" s="2255"/>
      <c r="K1" s="2256"/>
      <c r="L1" s="2256"/>
    </row>
    <row r="2" spans="1:14" ht="69.75" customHeight="1" x14ac:dyDescent="0.2">
      <c r="A2" s="828" t="s">
        <v>1664</v>
      </c>
      <c r="B2" s="829" t="s">
        <v>378</v>
      </c>
      <c r="C2" s="830" t="s">
        <v>1950</v>
      </c>
      <c r="D2" s="830" t="s">
        <v>1951</v>
      </c>
      <c r="E2" s="830" t="s">
        <v>1952</v>
      </c>
      <c r="F2" s="830" t="s">
        <v>1953</v>
      </c>
      <c r="G2" s="830" t="s">
        <v>605</v>
      </c>
      <c r="H2" s="830" t="s">
        <v>1954</v>
      </c>
      <c r="I2" s="830" t="s">
        <v>1955</v>
      </c>
      <c r="J2" s="830" t="s">
        <v>1956</v>
      </c>
      <c r="K2" s="830" t="s">
        <v>1957</v>
      </c>
      <c r="L2" s="830" t="s">
        <v>1958</v>
      </c>
      <c r="M2" s="831"/>
      <c r="N2" s="831"/>
    </row>
    <row r="3" spans="1:14" ht="13.5" thickBot="1" x14ac:dyDescent="0.25">
      <c r="A3" s="1626" t="s">
        <v>892</v>
      </c>
      <c r="B3" s="1627">
        <v>210</v>
      </c>
      <c r="C3" s="832"/>
      <c r="D3" s="832"/>
      <c r="E3" s="832"/>
      <c r="F3" s="1757">
        <f>(C3+D3)-E3</f>
        <v>0</v>
      </c>
      <c r="G3" s="833"/>
      <c r="H3" s="832"/>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c r="D5" s="838"/>
      <c r="E5" s="838"/>
      <c r="F5" s="1757">
        <f>(C5+D5)-E5</f>
        <v>0</v>
      </c>
      <c r="G5" s="834"/>
      <c r="H5" s="839"/>
      <c r="I5" s="839"/>
      <c r="J5" s="839"/>
      <c r="K5" s="790"/>
      <c r="L5" s="1766">
        <f>F5-K5</f>
        <v>0</v>
      </c>
    </row>
    <row r="6" spans="1:14" ht="14.25" thickTop="1" thickBot="1" x14ac:dyDescent="0.25">
      <c r="A6" s="775" t="s">
        <v>1117</v>
      </c>
      <c r="B6" s="837">
        <v>222</v>
      </c>
      <c r="C6" s="762"/>
      <c r="D6" s="762"/>
      <c r="E6" s="762"/>
      <c r="F6" s="1757">
        <f>(C6+D6)-E6</f>
        <v>0</v>
      </c>
      <c r="G6" s="834">
        <v>50</v>
      </c>
      <c r="H6" s="762"/>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26017911</v>
      </c>
      <c r="D8" s="841"/>
      <c r="E8" s="841"/>
      <c r="F8" s="1757">
        <f>(C8+D8)-E8</f>
        <v>26017911</v>
      </c>
      <c r="G8" s="840">
        <v>50</v>
      </c>
      <c r="H8" s="762">
        <v>17121714</v>
      </c>
      <c r="I8" s="762">
        <v>272569</v>
      </c>
      <c r="J8" s="762"/>
      <c r="K8" s="1766">
        <f>(H8+I8)-J8</f>
        <v>17394283</v>
      </c>
      <c r="L8" s="1766">
        <f>F8-K8</f>
        <v>8623628</v>
      </c>
    </row>
    <row r="9" spans="1:14" ht="14.25" thickTop="1" thickBot="1" x14ac:dyDescent="0.25">
      <c r="A9" s="775" t="s">
        <v>1119</v>
      </c>
      <c r="B9" s="837">
        <v>232</v>
      </c>
      <c r="C9" s="762"/>
      <c r="D9" s="762"/>
      <c r="E9" s="762"/>
      <c r="F9" s="1757">
        <f>(C9+D9)-E9</f>
        <v>0</v>
      </c>
      <c r="G9" s="840">
        <v>20</v>
      </c>
      <c r="H9" s="762"/>
      <c r="I9" s="762"/>
      <c r="J9" s="762"/>
      <c r="K9" s="1766">
        <f>(H9+I9)-J9</f>
        <v>0</v>
      </c>
      <c r="L9" s="1766">
        <f>F9-K9</f>
        <v>0</v>
      </c>
    </row>
    <row r="10" spans="1:14" ht="24" thickTop="1" thickBot="1" x14ac:dyDescent="0.25">
      <c r="A10" s="842" t="s">
        <v>1120</v>
      </c>
      <c r="B10" s="837">
        <v>240</v>
      </c>
      <c r="C10" s="843">
        <v>1320192</v>
      </c>
      <c r="D10" s="843">
        <v>6405</v>
      </c>
      <c r="E10" s="843"/>
      <c r="F10" s="1761">
        <f>(C10+D10)-E10</f>
        <v>1326597</v>
      </c>
      <c r="G10" s="840">
        <v>20</v>
      </c>
      <c r="H10" s="844">
        <v>529937</v>
      </c>
      <c r="I10" s="844">
        <v>63018</v>
      </c>
      <c r="J10" s="844"/>
      <c r="K10" s="1766">
        <f>(H10+I10)-J10</f>
        <v>592955</v>
      </c>
      <c r="L10" s="1766">
        <f>F10-K10</f>
        <v>733642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5030668</v>
      </c>
      <c r="D12" s="841">
        <f>97403+12947</f>
        <v>110350</v>
      </c>
      <c r="E12" s="841"/>
      <c r="F12" s="1757">
        <f>(C12+D12)-E12</f>
        <v>5141018</v>
      </c>
      <c r="G12" s="840">
        <v>10</v>
      </c>
      <c r="H12" s="762">
        <v>4693815</v>
      </c>
      <c r="I12" s="762">
        <f>103849+4492</f>
        <v>108341</v>
      </c>
      <c r="J12" s="762"/>
      <c r="K12" s="1766">
        <f>(H12+I12)-J12</f>
        <v>4802156</v>
      </c>
      <c r="L12" s="1766">
        <f>F12-K12</f>
        <v>338862</v>
      </c>
    </row>
    <row r="13" spans="1:14" ht="14.25" thickTop="1" thickBot="1" x14ac:dyDescent="0.25">
      <c r="A13" s="845" t="s">
        <v>1122</v>
      </c>
      <c r="B13" s="837">
        <v>252</v>
      </c>
      <c r="C13" s="841">
        <v>1699159</v>
      </c>
      <c r="D13" s="841"/>
      <c r="E13" s="841"/>
      <c r="F13" s="1757">
        <f>(C13+D13)-E13</f>
        <v>1699159</v>
      </c>
      <c r="G13" s="840">
        <v>5</v>
      </c>
      <c r="H13" s="762">
        <v>1668806</v>
      </c>
      <c r="I13" s="762">
        <v>15309</v>
      </c>
      <c r="J13" s="762"/>
      <c r="K13" s="1766">
        <f>(H13+I13)-J13</f>
        <v>1684115</v>
      </c>
      <c r="L13" s="1766">
        <f>F13-K13</f>
        <v>15044</v>
      </c>
    </row>
    <row r="14" spans="1:14" ht="14.25" thickTop="1" thickBot="1" x14ac:dyDescent="0.25">
      <c r="A14" s="845" t="s">
        <v>1123</v>
      </c>
      <c r="B14" s="837">
        <v>253</v>
      </c>
      <c r="C14" s="762"/>
      <c r="D14" s="762"/>
      <c r="E14" s="762"/>
      <c r="F14" s="1757">
        <f>(C14+D14)-E14</f>
        <v>0</v>
      </c>
      <c r="G14" s="840">
        <v>3</v>
      </c>
      <c r="H14" s="762"/>
      <c r="I14" s="762"/>
      <c r="J14" s="762"/>
      <c r="K14" s="1766">
        <f>(H14+I14)-J14</f>
        <v>0</v>
      </c>
      <c r="L14" s="1766">
        <f>F14-K14</f>
        <v>0</v>
      </c>
    </row>
    <row r="15" spans="1:14" ht="15" customHeight="1" thickTop="1" thickBot="1" x14ac:dyDescent="0.25">
      <c r="A15" s="1628" t="s">
        <v>528</v>
      </c>
      <c r="B15" s="1627">
        <v>260</v>
      </c>
      <c r="C15" s="841"/>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34067930</v>
      </c>
      <c r="D16" s="1757">
        <f>SUM(D3,D5:D6,D8:D10,D12:D15)</f>
        <v>116755</v>
      </c>
      <c r="E16" s="1757">
        <f>SUM(E3,E5:E6,E8:E10,E12:E15)</f>
        <v>0</v>
      </c>
      <c r="F16" s="1757">
        <f>SUM(F3,F5:F6,F8:F10,F12:F15)</f>
        <v>34184685</v>
      </c>
      <c r="G16" s="840"/>
      <c r="H16" s="1757">
        <f>SUM(H3,H6,H8:H10,H12:H14,)</f>
        <v>24014272</v>
      </c>
      <c r="I16" s="1757">
        <f>SUM(I3,I6,I8:I10,I12:I14,)</f>
        <v>459237</v>
      </c>
      <c r="J16" s="1757">
        <f>SUM(J3,J6,J8:J10,J12:J14,)</f>
        <v>0</v>
      </c>
      <c r="K16" s="1757">
        <f>(H16+I16)-J16</f>
        <v>24473509</v>
      </c>
      <c r="L16" s="1757">
        <f>F16-K16</f>
        <v>9711176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459237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6"/>
      <c r="D26" s="344"/>
    </row>
    <row r="27" spans="1:12" x14ac:dyDescent="0.2">
      <c r="A27" s="851"/>
      <c r="B27" s="246"/>
      <c r="D27" s="344"/>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9" activePane="bottomLeft" state="frozen"/>
      <selection activeCell="E5" sqref="E5"/>
      <selection pane="bottomLeft" activeCell="F79" sqref="F79"/>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63" t="s">
        <v>1959</v>
      </c>
      <c r="B1" s="2264"/>
      <c r="C1" s="2264"/>
      <c r="D1" s="2264"/>
      <c r="E1" s="2264"/>
      <c r="F1" s="2265"/>
      <c r="G1" s="852"/>
    </row>
    <row r="2" spans="1:7" ht="15" customHeight="1" thickBot="1" x14ac:dyDescent="0.25">
      <c r="A2" s="2266" t="s">
        <v>477</v>
      </c>
      <c r="B2" s="2267"/>
      <c r="C2" s="2267"/>
      <c r="D2" s="2267"/>
      <c r="E2" s="2267"/>
      <c r="F2" s="226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10168353</v>
      </c>
      <c r="G8" s="862"/>
    </row>
    <row r="9" spans="1:7" x14ac:dyDescent="0.2">
      <c r="A9" s="866" t="s">
        <v>460</v>
      </c>
      <c r="B9" s="867" t="s">
        <v>1862</v>
      </c>
      <c r="C9" s="868"/>
      <c r="D9" s="866" t="s">
        <v>501</v>
      </c>
      <c r="E9" s="865"/>
      <c r="F9" s="1906">
        <f>'Expenditures 15-22'!K151</f>
        <v>745936</v>
      </c>
      <c r="G9" s="869"/>
    </row>
    <row r="10" spans="1:7" x14ac:dyDescent="0.2">
      <c r="A10" s="866" t="s">
        <v>499</v>
      </c>
      <c r="B10" s="867" t="s">
        <v>1863</v>
      </c>
      <c r="C10" s="868"/>
      <c r="D10" s="866" t="s">
        <v>501</v>
      </c>
      <c r="E10" s="865"/>
      <c r="F10" s="1906">
        <f>'Expenditures 15-22'!K174</f>
        <v>1054122</v>
      </c>
      <c r="G10" s="869"/>
    </row>
    <row r="11" spans="1:7" x14ac:dyDescent="0.2">
      <c r="A11" s="866" t="s">
        <v>461</v>
      </c>
      <c r="B11" s="867" t="s">
        <v>1864</v>
      </c>
      <c r="C11" s="868"/>
      <c r="D11" s="866" t="s">
        <v>501</v>
      </c>
      <c r="E11" s="865"/>
      <c r="F11" s="1906">
        <f>'Expenditures 15-22'!K210</f>
        <v>619245</v>
      </c>
      <c r="G11" s="869"/>
    </row>
    <row r="12" spans="1:7" x14ac:dyDescent="0.2">
      <c r="A12" s="866" t="s">
        <v>462</v>
      </c>
      <c r="B12" s="867" t="s">
        <v>1865</v>
      </c>
      <c r="C12" s="868"/>
      <c r="D12" s="866" t="s">
        <v>501</v>
      </c>
      <c r="E12" s="865"/>
      <c r="F12" s="1906">
        <f>'Expenditures 15-22'!K295</f>
        <v>317672</v>
      </c>
      <c r="G12" s="869"/>
    </row>
    <row r="13" spans="1:7" x14ac:dyDescent="0.2">
      <c r="A13" s="866" t="s">
        <v>106</v>
      </c>
      <c r="B13" s="867" t="s">
        <v>1866</v>
      </c>
      <c r="C13" s="868"/>
      <c r="D13" s="866" t="s">
        <v>501</v>
      </c>
      <c r="E13" s="865"/>
      <c r="F13" s="1906">
        <f>'Expenditures 15-22'!K342</f>
        <v>629224</v>
      </c>
      <c r="G13" s="870"/>
    </row>
    <row r="14" spans="1:7" ht="12" customHeight="1" thickBot="1" x14ac:dyDescent="0.25">
      <c r="A14" s="1767"/>
      <c r="B14" s="1768"/>
      <c r="C14" s="1769"/>
      <c r="D14" s="1770" t="s">
        <v>501</v>
      </c>
      <c r="E14" s="1771" t="s">
        <v>958</v>
      </c>
      <c r="F14" s="1772">
        <f>SUM(F8:F13)</f>
        <v>13534552</v>
      </c>
      <c r="G14" s="862"/>
    </row>
    <row r="15" spans="1:7" ht="3.75" customHeight="1" thickTop="1" x14ac:dyDescent="0.2">
      <c r="A15" s="862"/>
      <c r="B15" s="862"/>
      <c r="C15" s="868"/>
      <c r="D15" s="862"/>
      <c r="E15" s="865"/>
      <c r="F15" s="862"/>
      <c r="G15" s="862"/>
    </row>
    <row r="16" spans="1:7" ht="12" customHeight="1" x14ac:dyDescent="0.2">
      <c r="A16" s="871" t="s">
        <v>512</v>
      </c>
      <c r="B16" s="230"/>
      <c r="C16" s="230"/>
      <c r="D16" s="864"/>
      <c r="E16" s="865"/>
      <c r="F16" s="864"/>
      <c r="G16" s="862"/>
    </row>
    <row r="17" spans="1:7" ht="4.5" customHeight="1" x14ac:dyDescent="0.2">
      <c r="A17" s="871"/>
      <c r="B17" s="230"/>
      <c r="C17" s="230"/>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1983</v>
      </c>
      <c r="C30" s="877">
        <f>'Revenues 9-14'!B150</f>
        <v>3499</v>
      </c>
      <c r="D30" s="878" t="str">
        <f>'Revenues 9-14'!A150</f>
        <v>Adult Ed - Other (Describe &amp; Itemize)</v>
      </c>
      <c r="E30" s="865"/>
      <c r="F30" s="1911">
        <f>('Revenues 9-14'!D150+'Revenues 9-14'!F150)</f>
        <v>0</v>
      </c>
      <c r="G30" s="862"/>
    </row>
    <row r="31" spans="1:7" x14ac:dyDescent="0.2">
      <c r="A31" s="866" t="s">
        <v>1097</v>
      </c>
      <c r="B31" s="867" t="s">
        <v>1984</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1985</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1986</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128710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17423</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5111</v>
      </c>
      <c r="G52" s="862"/>
    </row>
    <row r="53" spans="1:7" x14ac:dyDescent="0.2">
      <c r="A53" s="866" t="s">
        <v>459</v>
      </c>
      <c r="B53" s="866" t="s">
        <v>1475</v>
      </c>
      <c r="C53" s="886">
        <f>'Expenditures 15-22'!B102</f>
        <v>4000</v>
      </c>
      <c r="D53" s="885" t="str">
        <f>'Expenditures 15-22'!A102</f>
        <v>Total Payments to Other Govt Units</v>
      </c>
      <c r="E53" s="865"/>
      <c r="F53" s="1910">
        <f>'Expenditures 15-22'!K102</f>
        <v>344529</v>
      </c>
      <c r="G53" s="862"/>
    </row>
    <row r="54" spans="1:7" x14ac:dyDescent="0.2">
      <c r="A54" s="866" t="s">
        <v>459</v>
      </c>
      <c r="B54" s="866" t="s">
        <v>1476</v>
      </c>
      <c r="C54" s="886" t="s">
        <v>982</v>
      </c>
      <c r="D54" s="882" t="s">
        <v>1095</v>
      </c>
      <c r="E54" s="865"/>
      <c r="F54" s="1910">
        <f>'Expenditures 15-22'!G114</f>
        <v>67460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1867</v>
      </c>
      <c r="C57" s="886">
        <f>'Expenditures 15-22'!B139</f>
        <v>4000</v>
      </c>
      <c r="D57" s="884" t="str">
        <f>'Expenditures 15-22'!A139</f>
        <v>Total Payments to Other Govt Units</v>
      </c>
      <c r="E57" s="865"/>
      <c r="F57" s="1910">
        <f>'Expenditures 15-22'!K139</f>
        <v>0</v>
      </c>
      <c r="G57" s="862"/>
    </row>
    <row r="58" spans="1:7" x14ac:dyDescent="0.2">
      <c r="A58" s="866" t="s">
        <v>460</v>
      </c>
      <c r="B58" s="866" t="s">
        <v>1868</v>
      </c>
      <c r="C58" s="883" t="s">
        <v>982</v>
      </c>
      <c r="D58" s="882" t="s">
        <v>1095</v>
      </c>
      <c r="E58" s="865"/>
      <c r="F58" s="1912">
        <f>'Expenditures 15-22'!G151</f>
        <v>29983</v>
      </c>
      <c r="G58" s="862"/>
    </row>
    <row r="59" spans="1:7" x14ac:dyDescent="0.2">
      <c r="A59" s="890" t="s">
        <v>460</v>
      </c>
      <c r="B59" s="853" t="s">
        <v>1869</v>
      </c>
      <c r="C59" s="891" t="s">
        <v>982</v>
      </c>
      <c r="D59" s="853" t="s">
        <v>291</v>
      </c>
      <c r="F59" s="1913">
        <f>'Expenditures 15-22'!I151</f>
        <v>0</v>
      </c>
      <c r="G59" s="862"/>
    </row>
    <row r="60" spans="1:7" x14ac:dyDescent="0.2">
      <c r="A60" s="890" t="s">
        <v>499</v>
      </c>
      <c r="B60" s="853" t="s">
        <v>1870</v>
      </c>
      <c r="C60" s="891">
        <v>4000</v>
      </c>
      <c r="D60" s="853" t="s">
        <v>312</v>
      </c>
      <c r="F60" s="1911">
        <f>'Expenditures 15-22'!K160</f>
        <v>0</v>
      </c>
      <c r="G60" s="862"/>
    </row>
    <row r="61" spans="1:7" x14ac:dyDescent="0.2">
      <c r="A61" s="892" t="s">
        <v>499</v>
      </c>
      <c r="B61" s="892" t="s">
        <v>1871</v>
      </c>
      <c r="C61" s="893" t="str">
        <f>'Expenditures 15-22'!B170</f>
        <v>5300</v>
      </c>
      <c r="D61" s="894" t="s">
        <v>311</v>
      </c>
      <c r="E61" s="876"/>
      <c r="F61" s="1910">
        <f>'Expenditures 15-22'!K170</f>
        <v>945000</v>
      </c>
      <c r="G61" s="862"/>
    </row>
    <row r="62" spans="1:7" x14ac:dyDescent="0.2">
      <c r="A62" s="866" t="s">
        <v>461</v>
      </c>
      <c r="B62" s="866" t="s">
        <v>1872</v>
      </c>
      <c r="C62" s="883">
        <f>'Expenditures 15-22'!B185</f>
        <v>3000</v>
      </c>
      <c r="D62" s="873" t="s">
        <v>449</v>
      </c>
      <c r="E62" s="865"/>
      <c r="F62" s="1910">
        <f>'Expenditures 15-22'!K185-SUM('Expenditures 15-22'!G185,'Expenditures 15-22'!I185)</f>
        <v>0</v>
      </c>
      <c r="G62" s="862"/>
    </row>
    <row r="63" spans="1:7" x14ac:dyDescent="0.2">
      <c r="A63" s="866" t="s">
        <v>461</v>
      </c>
      <c r="B63" s="866" t="s">
        <v>1873</v>
      </c>
      <c r="C63" s="883" t="str">
        <f>'Expenditures 15-22'!B196</f>
        <v>4000</v>
      </c>
      <c r="D63" s="884" t="str">
        <f>'Expenditures 15-22'!A196</f>
        <v>Total Payments to Other Govt Units</v>
      </c>
      <c r="E63" s="865"/>
      <c r="F63" s="1910">
        <f>'Expenditures 15-22'!K196</f>
        <v>0</v>
      </c>
      <c r="G63" s="862"/>
    </row>
    <row r="64" spans="1:7" x14ac:dyDescent="0.2">
      <c r="A64" s="892" t="s">
        <v>461</v>
      </c>
      <c r="B64" s="892" t="s">
        <v>1874</v>
      </c>
      <c r="C64" s="893" t="str">
        <f>'Expenditures 15-22'!B206</f>
        <v>5300</v>
      </c>
      <c r="D64" s="889" t="s">
        <v>311</v>
      </c>
      <c r="E64" s="865"/>
      <c r="F64" s="1910">
        <f>'Expenditures 15-22'!K206</f>
        <v>0</v>
      </c>
      <c r="G64" s="862"/>
    </row>
    <row r="65" spans="1:8" x14ac:dyDescent="0.2">
      <c r="A65" s="866" t="s">
        <v>461</v>
      </c>
      <c r="B65" s="866" t="s">
        <v>1875</v>
      </c>
      <c r="C65" s="883" t="s">
        <v>982</v>
      </c>
      <c r="D65" s="882" t="s">
        <v>1095</v>
      </c>
      <c r="E65" s="865"/>
      <c r="F65" s="1910">
        <f>'Expenditures 15-22'!G210</f>
        <v>0</v>
      </c>
      <c r="G65" s="862"/>
    </row>
    <row r="66" spans="1:8" x14ac:dyDescent="0.2">
      <c r="A66" s="866" t="s">
        <v>461</v>
      </c>
      <c r="B66" s="866" t="s">
        <v>1876</v>
      </c>
      <c r="C66" s="883" t="s">
        <v>982</v>
      </c>
      <c r="D66" s="882" t="s">
        <v>291</v>
      </c>
      <c r="E66" s="865"/>
      <c r="F66" s="1910">
        <f>'Expenditures 15-22'!I210</f>
        <v>0</v>
      </c>
      <c r="G66" s="862"/>
    </row>
    <row r="67" spans="1:8" x14ac:dyDescent="0.2">
      <c r="A67" s="866" t="s">
        <v>462</v>
      </c>
      <c r="B67" s="866" t="s">
        <v>1877</v>
      </c>
      <c r="C67" s="883" t="str">
        <f>'Expenditures 15-22'!B216</f>
        <v>1125</v>
      </c>
      <c r="D67" s="889" t="str">
        <f>'Expenditures 15-22'!A216</f>
        <v>Pre-K Programs</v>
      </c>
      <c r="E67" s="865"/>
      <c r="F67" s="1910">
        <f>'Expenditures 15-22'!K216</f>
        <v>3389</v>
      </c>
      <c r="G67" s="862"/>
    </row>
    <row r="68" spans="1:8" x14ac:dyDescent="0.2">
      <c r="A68" s="866" t="s">
        <v>462</v>
      </c>
      <c r="B68" s="866" t="s">
        <v>1479</v>
      </c>
      <c r="C68" s="883" t="str">
        <f>'Expenditures 15-22'!B218</f>
        <v>1225</v>
      </c>
      <c r="D68" s="889" t="str">
        <f>'Expenditures 15-22'!A218</f>
        <v>Special Education Programs - Pre-K</v>
      </c>
      <c r="E68" s="865"/>
      <c r="F68" s="1910">
        <f>'Expenditures 15-22'!K218</f>
        <v>1834</v>
      </c>
      <c r="G68" s="862"/>
    </row>
    <row r="69" spans="1:8" x14ac:dyDescent="0.2">
      <c r="A69" s="866" t="s">
        <v>462</v>
      </c>
      <c r="B69" s="866" t="s">
        <v>1878</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1879</v>
      </c>
      <c r="C70" s="883">
        <f>'Expenditures 15-22'!B221</f>
        <v>1300</v>
      </c>
      <c r="D70" s="884" t="str">
        <f>'Expenditures 15-22'!A221</f>
        <v>Adult/Continuing Education Programs</v>
      </c>
      <c r="E70" s="865"/>
      <c r="F70" s="1910">
        <f>'Expenditures 15-22'!K221</f>
        <v>0</v>
      </c>
      <c r="G70" s="862"/>
    </row>
    <row r="71" spans="1:8" x14ac:dyDescent="0.2">
      <c r="A71" s="866" t="s">
        <v>462</v>
      </c>
      <c r="B71" s="866" t="s">
        <v>1880</v>
      </c>
      <c r="C71" s="883">
        <f>'Expenditures 15-22'!B224</f>
        <v>1600</v>
      </c>
      <c r="D71" s="884" t="str">
        <f>'Expenditures 15-22'!A224</f>
        <v>Summer School Programs</v>
      </c>
      <c r="E71" s="865"/>
      <c r="F71" s="1910">
        <f>'Expenditures 15-22'!K224</f>
        <v>0</v>
      </c>
      <c r="G71" s="862"/>
    </row>
    <row r="72" spans="1:8" x14ac:dyDescent="0.2">
      <c r="A72" s="866" t="s">
        <v>462</v>
      </c>
      <c r="B72" s="866" t="s">
        <v>1881</v>
      </c>
      <c r="C72" s="883">
        <f>'Expenditures 15-22'!B280</f>
        <v>3000</v>
      </c>
      <c r="D72" s="873" t="s">
        <v>449</v>
      </c>
      <c r="E72" s="865"/>
      <c r="F72" s="1910">
        <f>'Expenditures 15-22'!K280</f>
        <v>0</v>
      </c>
      <c r="G72" s="862"/>
    </row>
    <row r="73" spans="1:8" x14ac:dyDescent="0.2">
      <c r="A73" s="866" t="s">
        <v>462</v>
      </c>
      <c r="B73" s="866" t="s">
        <v>1882</v>
      </c>
      <c r="C73" s="883" t="str">
        <f>'Expenditures 15-22'!B285</f>
        <v>4000</v>
      </c>
      <c r="D73" s="884" t="str">
        <f>'Expenditures 15-22'!A285</f>
        <v>Total Payments to Other Govt Units</v>
      </c>
      <c r="E73" s="865"/>
      <c r="F73" s="1910">
        <f>'Expenditures 15-22'!K285</f>
        <v>0</v>
      </c>
      <c r="G73" s="862"/>
    </row>
    <row r="74" spans="1:8" x14ac:dyDescent="0.2">
      <c r="A74" s="866" t="s">
        <v>436</v>
      </c>
      <c r="B74" s="866" t="s">
        <v>1883</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1884</v>
      </c>
      <c r="E76" s="1771" t="s">
        <v>958</v>
      </c>
      <c r="F76" s="1775">
        <f>SUM(F18:F74)</f>
        <v>1543439</v>
      </c>
      <c r="G76" s="862"/>
    </row>
    <row r="77" spans="1:8" s="890" customFormat="1" ht="12" customHeight="1" thickTop="1" thickBot="1" x14ac:dyDescent="0.25">
      <c r="A77" s="1776"/>
      <c r="B77" s="1773"/>
      <c r="C77" s="1769"/>
      <c r="D77" s="1774" t="s">
        <v>1885</v>
      </c>
      <c r="E77" s="1771"/>
      <c r="F77" s="1777">
        <f>(F14-F76)</f>
        <v>11991113</v>
      </c>
      <c r="G77" s="866"/>
    </row>
    <row r="78" spans="1:8" s="890" customFormat="1" ht="12" customHeight="1" thickTop="1" x14ac:dyDescent="0.2">
      <c r="A78" s="1778"/>
      <c r="B78" s="1773"/>
      <c r="C78" s="1769"/>
      <c r="D78" s="1774" t="s">
        <v>2046</v>
      </c>
      <c r="E78" s="1771"/>
      <c r="F78" s="895">
        <v>1079.8</v>
      </c>
      <c r="G78" s="896"/>
      <c r="H78" s="866"/>
    </row>
    <row r="79" spans="1:8" s="890" customFormat="1" ht="12" customHeight="1" thickBot="1" x14ac:dyDescent="0.25">
      <c r="A79" s="1779"/>
      <c r="B79" s="1773"/>
      <c r="C79" s="1769"/>
      <c r="D79" s="1774" t="s">
        <v>1886</v>
      </c>
      <c r="E79" s="1771" t="s">
        <v>958</v>
      </c>
      <c r="F79" s="1780">
        <f>IF(F78&gt;0,F77/F78," Complete Line 78")</f>
        <v>11104.938877569921</v>
      </c>
      <c r="G79" s="866"/>
    </row>
    <row r="80" spans="1:8" s="890" customFormat="1" ht="8.25" customHeight="1" thickTop="1" x14ac:dyDescent="0.2">
      <c r="A80" s="897"/>
      <c r="B80" s="866"/>
      <c r="C80" s="868"/>
      <c r="D80" s="898"/>
      <c r="E80" s="865"/>
      <c r="F80" s="899"/>
      <c r="G80" s="866"/>
    </row>
    <row r="81" spans="1:7" s="890" customFormat="1" ht="12" thickBot="1" x14ac:dyDescent="0.25">
      <c r="A81" s="2260" t="s">
        <v>1105</v>
      </c>
      <c r="B81" s="2261"/>
      <c r="C81" s="2261"/>
      <c r="D81" s="2261"/>
      <c r="E81" s="2261"/>
      <c r="F81" s="226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165684</v>
      </c>
      <c r="G94" s="909"/>
    </row>
    <row r="95" spans="1:7" x14ac:dyDescent="0.2">
      <c r="A95" s="905" t="s">
        <v>140</v>
      </c>
      <c r="B95" s="905" t="s">
        <v>175</v>
      </c>
      <c r="C95" s="907">
        <v>1700</v>
      </c>
      <c r="D95" s="915" t="str">
        <f>'Revenues 9-14'!A82</f>
        <v>Total District/School Activity Income</v>
      </c>
      <c r="E95" s="903"/>
      <c r="F95" s="1786">
        <f>SUM('Revenues 9-14'!C82,'Revenues 9-14'!D82)</f>
        <v>19701</v>
      </c>
      <c r="G95" s="909"/>
    </row>
    <row r="96" spans="1:7" x14ac:dyDescent="0.2">
      <c r="A96" s="905" t="s">
        <v>459</v>
      </c>
      <c r="B96" s="905" t="s">
        <v>176</v>
      </c>
      <c r="C96" s="907">
        <f>'Revenues 9-14'!B84</f>
        <v>1811</v>
      </c>
      <c r="D96" s="908" t="str">
        <f>'Revenues 9-14'!A84</f>
        <v>Rentals - Regular Textbooks</v>
      </c>
      <c r="E96" s="903"/>
      <c r="F96" s="1786">
        <f>'Revenues 9-14'!C84</f>
        <v>78131</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27898</v>
      </c>
      <c r="G104" s="909"/>
    </row>
    <row r="105" spans="1:7" x14ac:dyDescent="0.2">
      <c r="A105" s="905" t="s">
        <v>503</v>
      </c>
      <c r="B105" s="905" t="s">
        <v>1987</v>
      </c>
      <c r="C105" s="910">
        <v>3100</v>
      </c>
      <c r="D105" s="916" t="str">
        <f>'Revenues 9-14'!A132</f>
        <v>Total Special Education</v>
      </c>
      <c r="E105" s="903"/>
      <c r="F105" s="1786">
        <f>SUM('Revenues 9-14'!C132:D132,'Revenues 9-14'!F132)</f>
        <v>249216</v>
      </c>
      <c r="G105" s="909"/>
    </row>
    <row r="106" spans="1:7" x14ac:dyDescent="0.2">
      <c r="A106" s="905" t="s">
        <v>673</v>
      </c>
      <c r="B106" s="905" t="s">
        <v>1988</v>
      </c>
      <c r="C106" s="917">
        <v>3200</v>
      </c>
      <c r="D106" s="908" t="str">
        <f>'Revenues 9-14'!A141</f>
        <v>Total Career and Technical Education</v>
      </c>
      <c r="E106" s="903"/>
      <c r="F106" s="1786">
        <f>SUM('Revenues 9-14'!C141,'Revenues 9-14'!D141,'Revenues 9-14'!G141)</f>
        <v>21319</v>
      </c>
      <c r="G106" s="909"/>
    </row>
    <row r="107" spans="1:7" x14ac:dyDescent="0.2">
      <c r="A107" s="918" t="s">
        <v>664</v>
      </c>
      <c r="B107" s="905" t="s">
        <v>1989</v>
      </c>
      <c r="C107" s="917">
        <v>3300</v>
      </c>
      <c r="D107" s="908" t="str">
        <f>'Revenues 9-14'!A145</f>
        <v>Total Bilingual Ed</v>
      </c>
      <c r="E107" s="903"/>
      <c r="F107" s="1786">
        <f>SUM('Revenues 9-14'!C145,'Revenues 9-14'!G145)</f>
        <v>0</v>
      </c>
      <c r="G107" s="909"/>
    </row>
    <row r="108" spans="1:7" x14ac:dyDescent="0.2">
      <c r="A108" s="905" t="s">
        <v>459</v>
      </c>
      <c r="B108" s="905" t="s">
        <v>1990</v>
      </c>
      <c r="C108" s="917">
        <f>'Revenues 9-14'!B146</f>
        <v>3360</v>
      </c>
      <c r="D108" s="908" t="str">
        <f>'Revenues 9-14'!A146</f>
        <v>State Free Lunch &amp; Breakfast</v>
      </c>
      <c r="E108" s="903"/>
      <c r="F108" s="1786">
        <f>'Revenues 9-14'!C146</f>
        <v>3380</v>
      </c>
      <c r="G108" s="909"/>
    </row>
    <row r="109" spans="1:7" x14ac:dyDescent="0.2">
      <c r="A109" s="905" t="s">
        <v>673</v>
      </c>
      <c r="B109" s="905" t="s">
        <v>1991</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1992</v>
      </c>
      <c r="C110" s="917">
        <f>'Revenues 9-14'!B148</f>
        <v>3370</v>
      </c>
      <c r="D110" s="908" t="str">
        <f>'Revenues 9-14'!A148</f>
        <v>Driver Education</v>
      </c>
      <c r="E110" s="903"/>
      <c r="F110" s="1786">
        <f>SUM('Revenues 9-14'!C148,'Revenues 9-14'!D148)</f>
        <v>16894</v>
      </c>
      <c r="G110" s="909"/>
    </row>
    <row r="111" spans="1:7" x14ac:dyDescent="0.2">
      <c r="A111" s="905" t="s">
        <v>668</v>
      </c>
      <c r="B111" s="905" t="s">
        <v>1993</v>
      </c>
      <c r="C111" s="919">
        <v>3500</v>
      </c>
      <c r="D111" s="908" t="str">
        <f>'Revenues 9-14'!A155</f>
        <v>Total Transportation</v>
      </c>
      <c r="E111" s="903"/>
      <c r="F111" s="1786">
        <f>SUM('Revenues 9-14'!C155,'Revenues 9-14'!D155,'Revenues 9-14'!F155,'Revenues 9-14'!G155)</f>
        <v>277645</v>
      </c>
      <c r="G111" s="909"/>
    </row>
    <row r="112" spans="1:7" x14ac:dyDescent="0.2">
      <c r="A112" s="905" t="s">
        <v>459</v>
      </c>
      <c r="B112" s="905" t="s">
        <v>1994</v>
      </c>
      <c r="C112" s="917">
        <f>'Revenues 9-14'!B156</f>
        <v>3610</v>
      </c>
      <c r="D112" s="908" t="str">
        <f>'Revenues 9-14'!A156</f>
        <v>Learning Improvement - Change Grants</v>
      </c>
      <c r="E112" s="903"/>
      <c r="F112" s="1786">
        <f>'Revenues 9-14'!C156</f>
        <v>0</v>
      </c>
      <c r="G112" s="909"/>
    </row>
    <row r="113" spans="1:7" x14ac:dyDescent="0.2">
      <c r="A113" s="905" t="s">
        <v>668</v>
      </c>
      <c r="B113" s="905" t="s">
        <v>1995</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1996</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1997</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1998</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1999</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2000</v>
      </c>
      <c r="C118" s="921">
        <f>'Revenues 9-14'!B163</f>
        <v>3780</v>
      </c>
      <c r="D118" s="922" t="str">
        <f>'Revenues 9-14'!A163</f>
        <v>Technology - Technology for Success</v>
      </c>
      <c r="E118" s="903"/>
      <c r="F118" s="1904">
        <f>SUM('Revenues 9-14'!C163:G163)</f>
        <v>0</v>
      </c>
      <c r="G118" s="909"/>
    </row>
    <row r="119" spans="1:7" x14ac:dyDescent="0.2">
      <c r="A119" s="920" t="s">
        <v>504</v>
      </c>
      <c r="B119" s="920" t="s">
        <v>2001</v>
      </c>
      <c r="C119" s="921">
        <f>'Revenues 9-14'!B164</f>
        <v>3815</v>
      </c>
      <c r="D119" s="922" t="str">
        <f>'Revenues 9-14'!A164</f>
        <v>State Charter Schools</v>
      </c>
      <c r="E119" s="903"/>
      <c r="F119" s="1904">
        <f>SUM('Revenues 9-14'!C164,'Revenues 9-14'!F164)</f>
        <v>0</v>
      </c>
      <c r="G119" s="909"/>
    </row>
    <row r="120" spans="1:7" x14ac:dyDescent="0.2">
      <c r="A120" s="924" t="s">
        <v>460</v>
      </c>
      <c r="B120" s="924" t="s">
        <v>2002</v>
      </c>
      <c r="C120" s="925">
        <f>'Revenues 9-14'!B167</f>
        <v>3925</v>
      </c>
      <c r="D120" s="926" t="str">
        <f>'Revenues 9-14'!A167</f>
        <v>School Infrastructure - Maintenance Projects</v>
      </c>
      <c r="E120" s="903"/>
      <c r="F120" s="1786">
        <f>'Revenues 9-14'!D167</f>
        <v>0</v>
      </c>
      <c r="G120" s="927"/>
    </row>
    <row r="121" spans="1:7" x14ac:dyDescent="0.2">
      <c r="A121" s="924" t="s">
        <v>500</v>
      </c>
      <c r="B121" s="924" t="s">
        <v>2003</v>
      </c>
      <c r="C121" s="925">
        <f>'Revenues 9-14'!B168</f>
        <v>3999</v>
      </c>
      <c r="D121" s="926" t="s">
        <v>543</v>
      </c>
      <c r="E121" s="928"/>
      <c r="F121" s="1786">
        <f>SUM('Revenues 9-14'!C168:G168,'Revenues 9-14'!J168)</f>
        <v>1934</v>
      </c>
      <c r="G121" s="927"/>
    </row>
    <row r="122" spans="1:7" x14ac:dyDescent="0.2">
      <c r="A122" s="924" t="s">
        <v>459</v>
      </c>
      <c r="B122" s="924" t="s">
        <v>2004</v>
      </c>
      <c r="C122" s="929">
        <f>'Revenues 9-14'!B177</f>
        <v>4045</v>
      </c>
      <c r="D122" s="926" t="str">
        <f>'Revenues 9-14'!A177 &amp; " (Subtract)"</f>
        <v>Head Start (Subtract)</v>
      </c>
      <c r="E122" s="903"/>
      <c r="F122" s="1786">
        <f>SUM(-'Revenues 9-14'!C177)</f>
        <v>0</v>
      </c>
      <c r="G122" s="927"/>
    </row>
    <row r="123" spans="1:7" x14ac:dyDescent="0.2">
      <c r="A123" s="924" t="s">
        <v>668</v>
      </c>
      <c r="B123" s="924" t="s">
        <v>2005</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2006</v>
      </c>
      <c r="C124" s="929">
        <v>4100</v>
      </c>
      <c r="D124" s="930" t="str">
        <f>'Revenues 9-14'!A188</f>
        <v>Total Title V</v>
      </c>
      <c r="E124" s="903"/>
      <c r="F124" s="1786">
        <f>SUM('Revenues 9-14'!C188,'Revenues 9-14'!D188,'Revenues 9-14'!F188,'Revenues 9-14'!G188)</f>
        <v>0</v>
      </c>
      <c r="G124" s="927"/>
    </row>
    <row r="125" spans="1:7" x14ac:dyDescent="0.2">
      <c r="A125" s="924" t="s">
        <v>664</v>
      </c>
      <c r="B125" s="924" t="s">
        <v>2007</v>
      </c>
      <c r="C125" s="929">
        <v>4200</v>
      </c>
      <c r="D125" s="926" t="str">
        <f>'Revenues 9-14'!A198</f>
        <v>Total Food Service</v>
      </c>
      <c r="E125" s="903"/>
      <c r="F125" s="1786">
        <f>SUM('Revenues 9-14'!C198,'Revenues 9-14'!G198)</f>
        <v>218974</v>
      </c>
      <c r="G125" s="927"/>
    </row>
    <row r="126" spans="1:7" x14ac:dyDescent="0.2">
      <c r="A126" s="924" t="s">
        <v>668</v>
      </c>
      <c r="B126" s="924" t="s">
        <v>2008</v>
      </c>
      <c r="C126" s="929">
        <v>4300</v>
      </c>
      <c r="D126" s="930" t="str">
        <f>'Revenues 9-14'!A204</f>
        <v>Total Title I</v>
      </c>
      <c r="E126" s="903"/>
      <c r="F126" s="1786">
        <f>SUM('Revenues 9-14'!C204,'Revenues 9-14'!D204,'Revenues 9-14'!F204,'Revenues 9-14'!G204)</f>
        <v>86450</v>
      </c>
      <c r="G126" s="927"/>
    </row>
    <row r="127" spans="1:7" x14ac:dyDescent="0.2">
      <c r="A127" s="924" t="s">
        <v>668</v>
      </c>
      <c r="B127" s="924" t="s">
        <v>2009</v>
      </c>
      <c r="C127" s="929">
        <v>4400</v>
      </c>
      <c r="D127" s="930" t="str">
        <f>'Revenues 9-14'!A209</f>
        <v>Total Title IV</v>
      </c>
      <c r="E127" s="903"/>
      <c r="F127" s="1786">
        <f>SUM('Revenues 9-14'!C209,'Revenues 9-14'!D209,'Revenues 9-14'!F209,'Revenues 9-14'!G209)</f>
        <v>0</v>
      </c>
      <c r="G127" s="927"/>
    </row>
    <row r="128" spans="1:7" x14ac:dyDescent="0.2">
      <c r="A128" s="924" t="s">
        <v>668</v>
      </c>
      <c r="B128" s="924" t="s">
        <v>2010</v>
      </c>
      <c r="C128" s="929">
        <f>'Revenues 9-14'!B213</f>
        <v>4620</v>
      </c>
      <c r="D128" s="930" t="str">
        <f>'Revenues 9-14'!A213</f>
        <v>Fed - Spec Education - IDEA - Flow Through</v>
      </c>
      <c r="E128" s="903"/>
      <c r="F128" s="1786">
        <f>SUM('Revenues 9-14'!C213:D213,'Revenues 9-14'!F213:G213)</f>
        <v>77769</v>
      </c>
      <c r="G128" s="927"/>
    </row>
    <row r="129" spans="1:7" x14ac:dyDescent="0.2">
      <c r="A129" s="924" t="s">
        <v>668</v>
      </c>
      <c r="B129" s="924" t="s">
        <v>2011</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2012</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2013</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2014</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2015</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2016</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2017</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2018</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2019</v>
      </c>
      <c r="C138" s="932" t="s">
        <v>212</v>
      </c>
      <c r="D138" s="933" t="str">
        <f>'Revenues 9-14'!A229</f>
        <v>ARRA - IDEA - Part B - Preschool</v>
      </c>
      <c r="E138" s="934"/>
      <c r="F138" s="1786">
        <v>0</v>
      </c>
      <c r="G138" s="902"/>
    </row>
    <row r="139" spans="1:7" s="864" customFormat="1" hidden="1" x14ac:dyDescent="0.2">
      <c r="A139" s="931" t="s">
        <v>206</v>
      </c>
      <c r="B139" s="931" t="s">
        <v>2020</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2021</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2022</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2023</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2024</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2025</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2026</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2027</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2028</v>
      </c>
      <c r="C157" s="937" t="s">
        <v>841</v>
      </c>
      <c r="D157" s="938" t="s">
        <v>777</v>
      </c>
      <c r="E157" s="939"/>
      <c r="F157" s="1786">
        <f>SUM(F133:F156)</f>
        <v>0</v>
      </c>
      <c r="G157" s="902"/>
    </row>
    <row r="158" spans="1:7" s="864" customFormat="1" x14ac:dyDescent="0.2">
      <c r="A158" s="935" t="s">
        <v>459</v>
      </c>
      <c r="B158" s="936" t="s">
        <v>2029</v>
      </c>
      <c r="C158" s="937" t="s">
        <v>1427</v>
      </c>
      <c r="D158" s="938" t="s">
        <v>1428</v>
      </c>
      <c r="E158" s="939"/>
      <c r="F158" s="1786">
        <f>SUM('Revenues 9-14'!C253)</f>
        <v>0</v>
      </c>
      <c r="G158" s="902"/>
    </row>
    <row r="159" spans="1:7" s="864" customFormat="1" x14ac:dyDescent="0.2">
      <c r="A159" s="935" t="s">
        <v>500</v>
      </c>
      <c r="B159" s="936" t="s">
        <v>2030</v>
      </c>
      <c r="C159" s="937" t="s">
        <v>1466</v>
      </c>
      <c r="D159" s="938" t="s">
        <v>1467</v>
      </c>
      <c r="E159" s="939"/>
      <c r="F159" s="1786">
        <f>SUM('Revenues 9-14'!C254:H254,'Revenues 9-14'!J254:K254)</f>
        <v>0</v>
      </c>
      <c r="G159" s="902"/>
    </row>
    <row r="160" spans="1:7" x14ac:dyDescent="0.2">
      <c r="A160" s="924" t="s">
        <v>5</v>
      </c>
      <c r="B160" s="924" t="s">
        <v>2031</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2032</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2033</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2034</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2035</v>
      </c>
      <c r="C164" s="929">
        <f>'Revenues 9-14'!B259</f>
        <v>4932</v>
      </c>
      <c r="D164" s="930" t="str">
        <f>'Revenues 9-14'!A259</f>
        <v>Title II - Teacher Quality</v>
      </c>
      <c r="E164" s="903"/>
      <c r="F164" s="1904">
        <f>SUM('Revenues 9-14'!C259,'Revenues 9-14'!D259,'Revenues 9-14'!F259,'Revenues 9-14'!G259)</f>
        <v>12476</v>
      </c>
      <c r="G164" s="927"/>
    </row>
    <row r="165" spans="1:7" x14ac:dyDescent="0.2">
      <c r="A165" s="924" t="s">
        <v>668</v>
      </c>
      <c r="B165" s="924" t="s">
        <v>2036</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1981</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1982</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2037</v>
      </c>
      <c r="C168" s="929">
        <f>'Revenues 9-14'!B263</f>
        <v>4991</v>
      </c>
      <c r="D168" s="930" t="str">
        <f>'Revenues 9-14'!A263</f>
        <v>Medicaid Matching Funds - Administrative Outreach</v>
      </c>
      <c r="E168" s="903"/>
      <c r="F168" s="1786">
        <f>SUM('Revenues 9-14'!C263:D263,'Revenues 9-14'!F263:G263)</f>
        <v>1089</v>
      </c>
      <c r="G168" s="944">
        <v>6320</v>
      </c>
    </row>
    <row r="169" spans="1:7" x14ac:dyDescent="0.2">
      <c r="A169" s="924" t="s">
        <v>668</v>
      </c>
      <c r="B169" s="924" t="s">
        <v>2038</v>
      </c>
      <c r="C169" s="929">
        <f>'Revenues 9-14'!B264</f>
        <v>4992</v>
      </c>
      <c r="D169" s="930" t="str">
        <f>'Revenues 9-14'!A264</f>
        <v>Medicaid Matching Funds - Fee-for-Service Program</v>
      </c>
      <c r="E169" s="903"/>
      <c r="F169" s="1786">
        <f>SUM('Revenues 9-14'!C264:D264,'Revenues 9-14'!F264:G264)</f>
        <v>11869</v>
      </c>
      <c r="G169" s="944"/>
    </row>
    <row r="170" spans="1:7" x14ac:dyDescent="0.2">
      <c r="A170" s="945" t="s">
        <v>668</v>
      </c>
      <c r="B170" s="941" t="s">
        <v>2039</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1904</v>
      </c>
      <c r="C171" s="1917">
        <v>3100</v>
      </c>
      <c r="D171" s="1918" t="s">
        <v>1906</v>
      </c>
      <c r="E171" s="903"/>
      <c r="F171" s="1903"/>
      <c r="G171" s="924"/>
    </row>
    <row r="172" spans="1:7" x14ac:dyDescent="0.2">
      <c r="A172" s="1915" t="s">
        <v>664</v>
      </c>
      <c r="B172" s="1916" t="s">
        <v>1904</v>
      </c>
      <c r="C172" s="1917">
        <v>3300</v>
      </c>
      <c r="D172" s="1918" t="s">
        <v>1907</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2040</v>
      </c>
      <c r="E174" s="1784" t="s">
        <v>958</v>
      </c>
      <c r="F174" s="1785">
        <f>SUM(F84:F132,F157:F172)</f>
        <v>1270429</v>
      </c>
    </row>
    <row r="175" spans="1:7" ht="12" customHeight="1" x14ac:dyDescent="0.2">
      <c r="A175" s="1767"/>
      <c r="B175" s="1781"/>
      <c r="C175" s="1782"/>
      <c r="D175" s="1783" t="s">
        <v>2041</v>
      </c>
      <c r="E175" s="1784"/>
      <c r="F175" s="1786">
        <f>'PCTC-OEPP 27-28'!F77-F174</f>
        <v>10720684</v>
      </c>
    </row>
    <row r="176" spans="1:7" ht="12" customHeight="1" x14ac:dyDescent="0.2">
      <c r="A176" s="1767"/>
      <c r="B176" s="1781"/>
      <c r="C176" s="1782"/>
      <c r="D176" s="1783" t="s">
        <v>1802</v>
      </c>
      <c r="E176" s="1784"/>
      <c r="F176" s="1786">
        <f>'Cap Outlay Deprec 26'!I18</f>
        <v>459237</v>
      </c>
    </row>
    <row r="177" spans="1:7" ht="12" customHeight="1" x14ac:dyDescent="0.2">
      <c r="A177" s="1767"/>
      <c r="B177" s="1781"/>
      <c r="C177" s="1782"/>
      <c r="D177" s="1783" t="s">
        <v>2042</v>
      </c>
      <c r="E177" s="1784"/>
      <c r="F177" s="1786">
        <f>F175+F176</f>
        <v>11179921</v>
      </c>
    </row>
    <row r="178" spans="1:7" ht="12" customHeight="1" x14ac:dyDescent="0.2">
      <c r="A178" s="1767"/>
      <c r="B178" s="1787"/>
      <c r="C178" s="1782"/>
      <c r="D178" s="1783" t="str">
        <f>D78</f>
        <v>9 Month ADA from District Average Daily Attendance/Prior General State Aid Inquiry 2018-2019</v>
      </c>
      <c r="E178" s="1784"/>
      <c r="F178" s="1788">
        <f>'PCTC-OEPP 27-28'!F78</f>
        <v>1079.8</v>
      </c>
      <c r="G178" s="927"/>
    </row>
    <row r="179" spans="1:7" ht="12" customHeight="1" thickBot="1" x14ac:dyDescent="0.25">
      <c r="A179" s="1767"/>
      <c r="B179" s="1787"/>
      <c r="C179" s="1782"/>
      <c r="D179" s="1783" t="s">
        <v>2043</v>
      </c>
      <c r="E179" s="1784" t="s">
        <v>1545</v>
      </c>
      <c r="F179" s="1789">
        <f>F177/F178</f>
        <v>10353.696054824968</v>
      </c>
      <c r="G179" s="853">
        <v>6323</v>
      </c>
    </row>
    <row r="180" spans="1:7" ht="12" thickTop="1" x14ac:dyDescent="0.2">
      <c r="B180" s="927"/>
      <c r="C180" s="946"/>
      <c r="D180" s="927"/>
      <c r="E180" s="946"/>
      <c r="F180" s="927"/>
      <c r="G180" s="948">
        <v>6326</v>
      </c>
    </row>
    <row r="181" spans="1:7" ht="12.2" customHeight="1" x14ac:dyDescent="0.2">
      <c r="A181" s="927" t="s">
        <v>1905</v>
      </c>
      <c r="B181" s="927"/>
      <c r="C181" s="946"/>
      <c r="D181" s="927"/>
      <c r="E181" s="946"/>
      <c r="F181" s="927"/>
      <c r="G181" s="927"/>
    </row>
    <row r="182" spans="1:7" s="1919" customFormat="1" ht="12.2" customHeight="1" x14ac:dyDescent="0.2">
      <c r="A182" s="1919" t="s">
        <v>1978</v>
      </c>
      <c r="B182" s="1920"/>
      <c r="C182" s="1921"/>
      <c r="D182" s="1920"/>
      <c r="E182" s="1921"/>
      <c r="F182" s="1920"/>
      <c r="G182" s="1920"/>
    </row>
    <row r="183" spans="1:7" s="1919" customFormat="1" ht="12.2" customHeight="1" x14ac:dyDescent="0.2">
      <c r="A183" s="1922" t="s">
        <v>1980</v>
      </c>
      <c r="C183" s="1921"/>
      <c r="D183" s="1920"/>
      <c r="E183" s="1921"/>
      <c r="F183" s="1920"/>
      <c r="G183" s="1920"/>
    </row>
    <row r="184" spans="1:7" ht="12" customHeight="1" x14ac:dyDescent="0.2">
      <c r="C184" s="946"/>
      <c r="D184" s="927"/>
      <c r="E184" s="946"/>
      <c r="F184" s="927"/>
      <c r="G184" s="927"/>
    </row>
    <row r="185" spans="1:7" x14ac:dyDescent="0.2">
      <c r="A185" s="1923" t="s">
        <v>1909</v>
      </c>
      <c r="B185" s="1924" t="s">
        <v>1908</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7" sqref="A1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1817</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74" t="s">
        <v>1803</v>
      </c>
      <c r="B4" s="2275"/>
      <c r="C4" s="2275"/>
      <c r="D4" s="2275"/>
      <c r="E4" s="2275"/>
      <c r="F4" s="2275"/>
      <c r="G4" s="2276"/>
    </row>
    <row r="5" spans="1:7" x14ac:dyDescent="0.25">
      <c r="A5" s="2277"/>
      <c r="B5" s="2278"/>
      <c r="C5" s="2278"/>
      <c r="D5" s="2278"/>
      <c r="E5" s="2278"/>
      <c r="F5" s="2278"/>
      <c r="G5" s="2279"/>
    </row>
    <row r="6" spans="1:7" ht="18.75" x14ac:dyDescent="0.25">
      <c r="A6" s="1531" t="s">
        <v>1804</v>
      </c>
      <c r="B6" s="1532"/>
      <c r="C6" s="1532"/>
      <c r="D6" s="1532"/>
      <c r="E6" s="1532"/>
      <c r="F6" s="1532"/>
      <c r="G6" s="1533"/>
    </row>
    <row r="7" spans="1:7" ht="30.75" customHeight="1" x14ac:dyDescent="0.25">
      <c r="A7" s="2280" t="s">
        <v>1916</v>
      </c>
      <c r="B7" s="2281"/>
      <c r="C7" s="2281"/>
      <c r="D7" s="2281"/>
      <c r="E7" s="2281"/>
      <c r="F7" s="2281"/>
      <c r="G7" s="2282"/>
    </row>
    <row r="8" spans="1:7" ht="15.75" customHeight="1" x14ac:dyDescent="0.25">
      <c r="A8" s="2283" t="s">
        <v>1891</v>
      </c>
      <c r="B8" s="2284"/>
      <c r="C8" s="2284"/>
      <c r="D8" s="2284"/>
      <c r="E8" s="2284"/>
      <c r="F8" s="2284"/>
      <c r="G8" s="2285"/>
    </row>
    <row r="9" spans="1:7" ht="35.25" customHeight="1" x14ac:dyDescent="0.25">
      <c r="A9" s="2280" t="s">
        <v>1919</v>
      </c>
      <c r="B9" s="2281"/>
      <c r="C9" s="2281"/>
      <c r="D9" s="2281"/>
      <c r="E9" s="2281"/>
      <c r="F9" s="2281"/>
      <c r="G9" s="2282"/>
    </row>
    <row r="10" spans="1:7" ht="15" customHeight="1" x14ac:dyDescent="0.25">
      <c r="A10" s="1534" t="s">
        <v>1805</v>
      </c>
      <c r="B10" s="1535"/>
      <c r="C10" s="1535"/>
      <c r="D10" s="1535"/>
      <c r="E10" s="1535"/>
      <c r="F10" s="1535"/>
      <c r="G10" s="1536"/>
    </row>
    <row r="11" spans="1:7" ht="17.25" customHeight="1" x14ac:dyDescent="0.25">
      <c r="A11" s="2280" t="s">
        <v>1918</v>
      </c>
      <c r="B11" s="2281"/>
      <c r="C11" s="2281"/>
      <c r="D11" s="2281"/>
      <c r="E11" s="2281"/>
      <c r="F11" s="2281"/>
      <c r="G11" s="2282"/>
    </row>
    <row r="12" spans="1:7" ht="15" customHeight="1" x14ac:dyDescent="0.25">
      <c r="A12" s="1534" t="s">
        <v>1810</v>
      </c>
      <c r="B12" s="1535"/>
      <c r="C12" s="1535"/>
      <c r="D12" s="1535"/>
      <c r="E12" s="1535"/>
      <c r="F12" s="1535"/>
      <c r="G12" s="1536"/>
    </row>
    <row r="13" spans="1:7" ht="32.25" customHeight="1" x14ac:dyDescent="0.25">
      <c r="A13" s="2271" t="s">
        <v>1960</v>
      </c>
      <c r="B13" s="2272"/>
      <c r="C13" s="2272"/>
      <c r="D13" s="2272"/>
      <c r="E13" s="2272"/>
      <c r="F13" s="2272"/>
      <c r="G13" s="2273"/>
    </row>
    <row r="14" spans="1:7" x14ac:dyDescent="0.25">
      <c r="A14" s="1658" t="s">
        <v>1818</v>
      </c>
      <c r="B14" s="1659"/>
      <c r="C14" s="1659"/>
      <c r="D14" s="1659"/>
      <c r="E14" s="1659"/>
      <c r="F14" s="1659"/>
      <c r="G14" s="1660"/>
    </row>
    <row r="15" spans="1:7" ht="61.5" customHeight="1" x14ac:dyDescent="0.25">
      <c r="A15" s="1543" t="s">
        <v>1811</v>
      </c>
      <c r="B15" s="1543" t="s">
        <v>1812</v>
      </c>
      <c r="C15" s="1543" t="s">
        <v>1813</v>
      </c>
      <c r="D15" s="1544" t="s">
        <v>1814</v>
      </c>
      <c r="E15" s="1544" t="s">
        <v>1806</v>
      </c>
      <c r="F15" s="1544" t="s">
        <v>1815</v>
      </c>
      <c r="G15" s="1544" t="s">
        <v>1816</v>
      </c>
    </row>
    <row r="16" spans="1:7" x14ac:dyDescent="0.25">
      <c r="A16" s="1645" t="s">
        <v>1819</v>
      </c>
      <c r="B16" s="1646" t="s">
        <v>1809</v>
      </c>
      <c r="C16" s="1647" t="s">
        <v>1807</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491" t="s">
        <v>2097</v>
      </c>
      <c r="B17" s="1931"/>
      <c r="C17" s="1653"/>
      <c r="D17" s="1841">
        <v>0</v>
      </c>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6" customWidth="1"/>
    <col min="2" max="2" width="46.85546875" style="326" customWidth="1"/>
    <col min="3" max="3" width="8" style="326" customWidth="1"/>
    <col min="4" max="6" width="16.7109375" style="326" customWidth="1"/>
    <col min="7" max="7" width="17.140625" style="326" customWidth="1"/>
    <col min="8" max="8" width="3.7109375" style="326" customWidth="1"/>
    <col min="9" max="9" width="3.28515625" style="180" customWidth="1"/>
    <col min="10" max="10" width="5.42578125" style="326" customWidth="1"/>
    <col min="11" max="14" width="4.5703125" style="326" customWidth="1"/>
    <col min="15" max="16384" width="9.140625" style="326"/>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0"/>
      <c r="I4" s="250"/>
    </row>
    <row r="5" spans="1:9" s="340" customFormat="1" ht="57" customHeight="1" x14ac:dyDescent="0.2">
      <c r="A5" s="2286" t="s">
        <v>1665</v>
      </c>
      <c r="B5" s="2287"/>
      <c r="C5" s="2287"/>
      <c r="D5" s="2287"/>
      <c r="E5" s="2287"/>
      <c r="F5" s="2287"/>
      <c r="G5" s="2288"/>
      <c r="H5" s="250"/>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1917</v>
      </c>
      <c r="B10" s="968"/>
      <c r="C10" s="973"/>
      <c r="D10" s="969"/>
      <c r="E10" s="970"/>
      <c r="F10" s="971"/>
      <c r="G10" s="972"/>
      <c r="H10" s="162"/>
      <c r="I10" s="162"/>
    </row>
    <row r="11" spans="1:9" s="665" customFormat="1" ht="22.5" customHeight="1" x14ac:dyDescent="0.2">
      <c r="A11" s="2291" t="s">
        <v>1961</v>
      </c>
      <c r="B11" s="2292"/>
      <c r="C11" s="2292"/>
      <c r="D11" s="2293"/>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6"/>
      <c r="D17" s="1635" t="s">
        <v>532</v>
      </c>
      <c r="E17" s="1636"/>
      <c r="F17" s="1635" t="s">
        <v>433</v>
      </c>
      <c r="G17" s="1637"/>
      <c r="H17" s="162"/>
      <c r="I17" s="162"/>
    </row>
    <row r="18" spans="1:9" s="257"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7573263</v>
      </c>
      <c r="F19" s="1796"/>
      <c r="G19" s="1798">
        <f>'Expenditures 15-22'!K33-SUM('Expenditures 15-22'!G33,'Expenditures 15-22'!I33)+'Expenditures 15-22'!D229</f>
        <v>7573263</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270013</v>
      </c>
      <c r="F21" s="1799"/>
      <c r="G21" s="1802">
        <f>'Expenditures 15-22'!K42-SUM('Expenditures 15-22'!G42,'Expenditures 15-22'!I42)+'Expenditures 15-22'!K120-SUM('Expenditures 15-22'!G120,'Expenditures 15-22'!I120)+'Expenditures 15-22'!K180-SUM('Expenditures 15-22'!G180,'Expenditures 15-22'!I180)+'Expenditures 15-22'!D238</f>
        <v>270013</v>
      </c>
      <c r="H21" s="984"/>
      <c r="I21" s="162"/>
    </row>
    <row r="22" spans="1:9" s="665" customFormat="1" ht="12" customHeight="1" x14ac:dyDescent="0.2">
      <c r="A22" s="991" t="s">
        <v>564</v>
      </c>
      <c r="B22" s="992"/>
      <c r="C22" s="990">
        <v>2200</v>
      </c>
      <c r="D22" s="1799"/>
      <c r="E22" s="1801">
        <f>'Expenditures 15-22'!K47-SUM('Expenditures 15-22'!G47,'Expenditures 15-22'!I47)+'Expenditures 15-22'!D243</f>
        <v>289147</v>
      </c>
      <c r="F22" s="1799"/>
      <c r="G22" s="1802">
        <f>'Expenditures 15-22'!K47-SUM('Expenditures 15-22'!G47,'Expenditures 15-22'!I47)+'Expenditures 15-22'!D243</f>
        <v>289147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834064</v>
      </c>
      <c r="F23" s="1799"/>
      <c r="G23" s="1801">
        <f>'Expenditures 15-22'!K53-SUM('Expenditures 15-22'!G53,'Expenditures 15-22'!I53)+'Expenditures 15-22'!D257+'Expenditures 15-22'!K330-SUM('Expenditures 15-22'!G330,'Expenditures 15-22'!I330)</f>
        <v>834064</v>
      </c>
      <c r="H23" s="984"/>
      <c r="I23" s="162"/>
    </row>
    <row r="24" spans="1:9" s="665" customFormat="1" ht="12" customHeight="1" x14ac:dyDescent="0.2">
      <c r="A24" s="991" t="s">
        <v>566</v>
      </c>
      <c r="B24" s="992"/>
      <c r="C24" s="990">
        <v>2400</v>
      </c>
      <c r="D24" s="1799"/>
      <c r="E24" s="1801">
        <f>'Expenditures 15-22'!K57-SUM('Expenditures 15-22'!G57,'Expenditures 15-22'!I57)+'Expenditures 15-22'!D261</f>
        <v>564065</v>
      </c>
      <c r="F24" s="1799"/>
      <c r="G24" s="1802">
        <f>'Expenditures 15-22'!K57-SUM('Expenditures 15-22'!G57,'Expenditures 15-22'!I57)+'Expenditures 15-22'!D261</f>
        <v>564065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205030</v>
      </c>
      <c r="E27" s="1801">
        <f>E8</f>
        <v>0</v>
      </c>
      <c r="F27" s="1801">
        <f>'Expenditures 15-22'!K60-SUM('Expenditures 15-22'!G60,'Expenditures 15-22'!I60)+'Expenditures 15-22'!D264-E8</f>
        <v>205030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1001122</v>
      </c>
      <c r="F28" s="1803">
        <f>'Expenditures 15-22'!K61-SUM('Expenditures 15-22'!G61,'Expenditures 15-22'!I61)+'Expenditures 15-22'!K124-SUM('Expenditures 15-22'!G124,'Expenditures 15-22'!I124)+'Expenditures 15-22'!D266-E9</f>
        <v>1001122</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658122</v>
      </c>
      <c r="F29" s="1799"/>
      <c r="G29" s="1802">
        <f>'Expenditures 15-22'!K62-SUM('Expenditures 15-22'!G62,'Expenditures 15-22'!I62)+'Expenditures 15-22'!K125-SUM('Expenditures 15-22'!G125,'Expenditures 15-22'!I125)+'Expenditures 15-22'!K182-SUM('Expenditures 15-22'!G182,'Expenditures 15-22'!I182)+'Expenditures 15-22'!D267</f>
        <v>658122</v>
      </c>
      <c r="H29" s="982"/>
    </row>
    <row r="30" spans="1:9" ht="12" customHeight="1" x14ac:dyDescent="0.2">
      <c r="A30" s="991" t="s">
        <v>100</v>
      </c>
      <c r="B30" s="994"/>
      <c r="C30" s="990">
        <v>2560</v>
      </c>
      <c r="D30" s="1799"/>
      <c r="E30" s="1801">
        <f>'Expenditures 15-22'!K63-SUM('Expenditures 15-22'!G63,'Expenditures 15-22'!I63)+'Expenditures 15-22'!D268-E10</f>
        <v>296369</v>
      </c>
      <c r="F30" s="1799"/>
      <c r="G30" s="1801">
        <f>'Expenditures 15-22'!K63-SUM('Expenditures 15-22'!G63,'Expenditures 15-22'!I63)+'Expenditures 15-22'!D268-E10</f>
        <v>296369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27024</v>
      </c>
      <c r="F35" s="1799"/>
      <c r="G35" s="1801">
        <f>'Expenditures 15-22'!K69-SUM('Expenditures 15-22'!G69,'Expenditures 15-22'!I69)+'Expenditures 15-22'!D274</f>
        <v>27024</v>
      </c>
    </row>
    <row r="36" spans="1:7" ht="12" customHeight="1" x14ac:dyDescent="0.2">
      <c r="A36" s="991" t="s">
        <v>403</v>
      </c>
      <c r="B36" s="994"/>
      <c r="C36" s="990">
        <v>2640</v>
      </c>
      <c r="D36" s="1801">
        <f>'Expenditures 15-22'!K70-SUM('Expenditures 15-22'!G70,'Expenditures 15-22'!I70)+'Expenditures 15-22'!D275-E13</f>
        <v>4698</v>
      </c>
      <c r="E36" s="1801">
        <f>E13</f>
        <v>0</v>
      </c>
      <c r="F36" s="1801">
        <f>'Expenditures 15-22'!K70-SUM('Expenditures 15-22'!G70,'Expenditures 15-22'!I70)+'Expenditures 15-22'!D275-E13</f>
        <v>4698</v>
      </c>
      <c r="G36" s="1801">
        <f>E13</f>
        <v>0</v>
      </c>
    </row>
    <row r="37" spans="1:7" ht="12" customHeight="1" x14ac:dyDescent="0.2">
      <c r="A37" s="991" t="s">
        <v>404</v>
      </c>
      <c r="B37" s="994"/>
      <c r="C37" s="990">
        <v>2660</v>
      </c>
      <c r="D37" s="1801">
        <f>'Expenditures 15-22'!K71-SUM('Expenditures 15-22'!G71,'Expenditures 15-22'!I71)+'Expenditures 15-22'!D276-E14</f>
        <v>300452</v>
      </c>
      <c r="E37" s="1801">
        <f>E14</f>
        <v>0</v>
      </c>
      <c r="F37" s="1801">
        <f>'Expenditures 15-22'!K71-SUM('Expenditures 15-22'!G71,'Expenditures 15-22'!I71)+'Expenditures 15-22'!D276-E14</f>
        <v>300452</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5111</v>
      </c>
      <c r="F39" s="1799"/>
      <c r="G39" s="1801">
        <f>'Expenditures 15-22'!K75-SUM('Expenditures 15-22'!G75,'Expenditures 15-22'!I75)+'Expenditures 15-22'!K130-SUM('Expenditures 15-22'!G130,'Expenditures 15-22'!I130)+'Expenditures 15-22'!K185-SUM('Expenditures 15-22'!G185,'Expenditures 15-22'!I185)+'Expenditures 15-22'!D280</f>
        <v>5111</v>
      </c>
    </row>
    <row r="40" spans="1:7" ht="12" customHeight="1" x14ac:dyDescent="0.2">
      <c r="A40" s="987" t="s">
        <v>1808</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510180</v>
      </c>
      <c r="E41" s="1803">
        <f>SUM(E19:E40)</f>
        <v>11518300</v>
      </c>
      <c r="F41" s="1803">
        <f>SUM(F19:F39)</f>
        <v>1511302</v>
      </c>
      <c r="G41" s="1803">
        <f>SUM(G19:G40)</f>
        <v>10517178</v>
      </c>
    </row>
    <row r="42" spans="1:7" x14ac:dyDescent="0.2">
      <c r="A42" s="984"/>
      <c r="B42" s="162"/>
      <c r="C42" s="998"/>
      <c r="D42" s="2289" t="s">
        <v>522</v>
      </c>
      <c r="E42" s="2290"/>
      <c r="F42" s="999" t="s">
        <v>523</v>
      </c>
      <c r="G42" s="1000"/>
    </row>
    <row r="43" spans="1:7" ht="12" customHeight="1" x14ac:dyDescent="0.2">
      <c r="A43" s="984"/>
      <c r="B43" s="162"/>
      <c r="C43" s="998"/>
      <c r="D43" s="1804" t="s">
        <v>473</v>
      </c>
      <c r="E43" s="1805">
        <f>D41</f>
        <v>510180</v>
      </c>
      <c r="F43" s="1804" t="s">
        <v>473</v>
      </c>
      <c r="G43" s="1805">
        <f>F41</f>
        <v>1511302</v>
      </c>
    </row>
    <row r="44" spans="1:7" ht="12" customHeight="1" x14ac:dyDescent="0.2">
      <c r="A44" s="984"/>
      <c r="B44" s="162"/>
      <c r="C44" s="998"/>
      <c r="D44" s="1804" t="s">
        <v>474</v>
      </c>
      <c r="E44" s="1805">
        <f>E41</f>
        <v>11518300</v>
      </c>
      <c r="F44" s="1804" t="s">
        <v>474</v>
      </c>
      <c r="G44" s="1805">
        <f>G41</f>
        <v>10517178</v>
      </c>
    </row>
    <row r="45" spans="1:7" ht="12" customHeight="1" x14ac:dyDescent="0.2">
      <c r="A45" s="984"/>
      <c r="B45" s="162"/>
      <c r="C45" s="162"/>
      <c r="D45" s="1806" t="s">
        <v>1006</v>
      </c>
      <c r="E45" s="1807">
        <f>(E43/E44)</f>
        <v>4.4292994625943063E-2</v>
      </c>
      <c r="F45" s="1806" t="s">
        <v>1006</v>
      </c>
      <c r="G45" s="1807">
        <f>(G43/G44)</f>
        <v>0.14369843317285302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A36" sqref="A36:F36"/>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7" t="s">
        <v>1379</v>
      </c>
      <c r="B1" s="2297"/>
      <c r="C1" s="2297"/>
      <c r="D1" s="2297"/>
      <c r="E1" s="2297"/>
      <c r="F1" s="2297"/>
    </row>
    <row r="2" spans="1:10" x14ac:dyDescent="0.2">
      <c r="A2" s="1884" t="s">
        <v>1896</v>
      </c>
      <c r="B2" s="1845"/>
      <c r="C2" s="1884"/>
      <c r="D2" s="1845"/>
      <c r="E2" s="1845"/>
      <c r="F2" s="1846"/>
    </row>
    <row r="3" spans="1:10" x14ac:dyDescent="0.2">
      <c r="A3" s="1884" t="s">
        <v>1962</v>
      </c>
      <c r="B3" s="1845"/>
      <c r="C3" s="1884"/>
      <c r="D3" s="1845"/>
      <c r="E3" s="1845"/>
      <c r="F3" s="1846"/>
    </row>
    <row r="4" spans="1:10" ht="3.75" customHeight="1" x14ac:dyDescent="0.2">
      <c r="A4" s="1845"/>
      <c r="B4" s="1845"/>
      <c r="C4" s="1845"/>
      <c r="D4" s="1845"/>
      <c r="E4" s="1845"/>
      <c r="F4" s="1846"/>
    </row>
    <row r="5" spans="1:10" ht="15" x14ac:dyDescent="0.25">
      <c r="A5" s="2298" t="s">
        <v>1546</v>
      </c>
      <c r="B5" s="2299"/>
      <c r="C5" s="2300"/>
      <c r="D5" s="2300"/>
      <c r="E5" s="2300"/>
      <c r="F5" s="2300"/>
    </row>
    <row r="6" spans="1:10" ht="12" customHeight="1" x14ac:dyDescent="0.25">
      <c r="A6" s="1847"/>
      <c r="B6" s="1848"/>
      <c r="C6" s="2301" t="str">
        <f>COVER!A17</f>
        <v>El Paso-Gridley CUSD 11</v>
      </c>
      <c r="D6" s="2301"/>
      <c r="E6" s="2301"/>
      <c r="F6" s="1849"/>
    </row>
    <row r="7" spans="1:10" ht="11.25" customHeight="1" thickBot="1" x14ac:dyDescent="0.3">
      <c r="A7" s="1847"/>
      <c r="B7" s="1848"/>
      <c r="C7" s="2302">
        <f>COVER!A13</f>
        <v>53102011026</v>
      </c>
      <c r="D7" s="2302"/>
      <c r="E7" s="2302"/>
      <c r="F7" s="1849"/>
    </row>
    <row r="8" spans="1:10" ht="25.5" customHeight="1" thickBot="1" x14ac:dyDescent="0.25">
      <c r="A8" s="1890" t="s">
        <v>1892</v>
      </c>
      <c r="B8" s="1850"/>
      <c r="C8" s="1886" t="s">
        <v>1667</v>
      </c>
      <c r="D8" s="1885" t="s">
        <v>1668</v>
      </c>
      <c r="E8" s="1887" t="s">
        <v>1380</v>
      </c>
      <c r="F8" s="1885" t="s">
        <v>1669</v>
      </c>
      <c r="H8" s="1851" t="b">
        <v>0</v>
      </c>
    </row>
    <row r="9" spans="1:10" ht="15.75" customHeight="1" x14ac:dyDescent="0.2">
      <c r="A9" s="1852" t="s">
        <v>1542</v>
      </c>
      <c r="B9" s="1853"/>
      <c r="C9" s="1854"/>
      <c r="D9" s="1854"/>
      <c r="E9" s="1855"/>
      <c r="F9" s="1856"/>
    </row>
    <row r="10" spans="1:10" ht="27.75" customHeight="1" x14ac:dyDescent="0.2">
      <c r="A10" s="1857" t="s">
        <v>1666</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2050</v>
      </c>
      <c r="D13" s="1862" t="s">
        <v>2050</v>
      </c>
      <c r="E13" s="1865"/>
      <c r="F13" s="1864" t="s">
        <v>2087</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2050</v>
      </c>
      <c r="D15" s="1862" t="s">
        <v>2050</v>
      </c>
      <c r="E15" s="1865"/>
      <c r="F15" s="1864" t="s">
        <v>2088</v>
      </c>
      <c r="H15" s="1875">
        <f t="shared" si="0"/>
        <v>5</v>
      </c>
      <c r="I15" s="1875">
        <f t="shared" si="1"/>
        <v>5</v>
      </c>
      <c r="J15" s="1875">
        <f t="shared" si="2"/>
        <v>0</v>
      </c>
    </row>
    <row r="16" spans="1:10" ht="12" customHeight="1" x14ac:dyDescent="0.2">
      <c r="A16" s="1860" t="s">
        <v>1388</v>
      </c>
      <c r="B16" s="1861"/>
      <c r="C16" s="1862" t="s">
        <v>2050</v>
      </c>
      <c r="D16" s="1862" t="s">
        <v>2050</v>
      </c>
      <c r="E16" s="1865"/>
      <c r="F16" s="1864" t="s">
        <v>2089</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2050</v>
      </c>
      <c r="D19" s="1862" t="s">
        <v>2050</v>
      </c>
      <c r="E19" s="1865"/>
      <c r="F19" s="1864" t="s">
        <v>2090</v>
      </c>
      <c r="H19" s="1875">
        <f t="shared" si="0"/>
        <v>5</v>
      </c>
      <c r="I19" s="1875">
        <f t="shared" si="1"/>
        <v>5</v>
      </c>
      <c r="J19" s="1875">
        <f t="shared" si="2"/>
        <v>0</v>
      </c>
    </row>
    <row r="20" spans="1:12" ht="12" customHeight="1" x14ac:dyDescent="0.2">
      <c r="A20" s="1860" t="s">
        <v>1528</v>
      </c>
      <c r="B20" s="1861"/>
      <c r="C20" s="1862" t="s">
        <v>2050</v>
      </c>
      <c r="D20" s="1862" t="s">
        <v>2050</v>
      </c>
      <c r="E20" s="1865"/>
      <c r="F20" s="1864" t="s">
        <v>2091</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2050</v>
      </c>
      <c r="D23" s="1862" t="s">
        <v>2050</v>
      </c>
      <c r="E23" s="1865"/>
      <c r="F23" s="1864" t="s">
        <v>2092</v>
      </c>
      <c r="H23" s="1875">
        <f t="shared" si="0"/>
        <v>5</v>
      </c>
      <c r="I23" s="1875">
        <f t="shared" si="1"/>
        <v>5</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2050</v>
      </c>
      <c r="D26" s="1862" t="s">
        <v>2050</v>
      </c>
      <c r="E26" s="1865"/>
      <c r="F26" s="1864" t="s">
        <v>2093</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2050</v>
      </c>
      <c r="D28" s="1862" t="s">
        <v>2050</v>
      </c>
      <c r="E28" s="1865"/>
      <c r="F28" s="1864" t="s">
        <v>2094</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2050</v>
      </c>
      <c r="D31" s="1862" t="s">
        <v>2050</v>
      </c>
      <c r="E31" s="1865"/>
      <c r="F31" s="1864" t="s">
        <v>2095</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0</v>
      </c>
      <c r="K34" s="1875">
        <f>SUM(H34:J34)</f>
        <v>90</v>
      </c>
    </row>
    <row r="35" spans="1:11" ht="12" customHeight="1" x14ac:dyDescent="0.2">
      <c r="A35" s="1868" t="s">
        <v>1392</v>
      </c>
      <c r="B35" s="1869"/>
      <c r="C35" s="2303"/>
      <c r="D35" s="2303"/>
      <c r="E35" s="2303"/>
      <c r="F35" s="2304"/>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308"/>
      <c r="B38" s="2309"/>
      <c r="C38" s="2309"/>
      <c r="D38" s="2309"/>
      <c r="E38" s="2309"/>
      <c r="F38" s="2310"/>
    </row>
    <row r="39" spans="1:11" ht="4.5" hidden="1" customHeight="1" x14ac:dyDescent="0.2">
      <c r="A39" s="1870"/>
      <c r="B39" s="1870"/>
      <c r="C39" s="1870"/>
      <c r="D39" s="1870"/>
      <c r="E39" s="1870"/>
      <c r="F39" s="1870"/>
    </row>
    <row r="40" spans="1:11" s="1867" customFormat="1" ht="12" customHeight="1" x14ac:dyDescent="0.25">
      <c r="A40" s="1871" t="s">
        <v>1391</v>
      </c>
      <c r="B40" s="1872"/>
      <c r="C40" s="2311"/>
      <c r="D40" s="2311"/>
      <c r="E40" s="2311"/>
      <c r="F40" s="2312"/>
      <c r="H40" s="1876"/>
      <c r="I40" s="1876"/>
      <c r="J40" s="1876"/>
      <c r="K40" s="1876"/>
    </row>
    <row r="41" spans="1:11" s="1867" customFormat="1" ht="12" customHeight="1" x14ac:dyDescent="0.25">
      <c r="A41" s="2313"/>
      <c r="B41" s="2314"/>
      <c r="C41" s="2314"/>
      <c r="D41" s="2314"/>
      <c r="E41" s="2314"/>
      <c r="F41" s="2315"/>
      <c r="H41" s="1876"/>
      <c r="I41" s="1876"/>
      <c r="J41" s="1876"/>
      <c r="K41" s="1876"/>
    </row>
    <row r="42" spans="1:11" s="1867" customFormat="1" ht="12" customHeight="1" x14ac:dyDescent="0.25">
      <c r="A42" s="2313"/>
      <c r="B42" s="2314"/>
      <c r="C42" s="2314"/>
      <c r="D42" s="2314"/>
      <c r="E42" s="2314"/>
      <c r="F42" s="2315"/>
      <c r="H42" s="1876"/>
      <c r="I42" s="1876"/>
      <c r="J42" s="1876"/>
      <c r="K42" s="1876"/>
    </row>
    <row r="43" spans="1:11" s="1867" customFormat="1" ht="15" x14ac:dyDescent="0.25">
      <c r="A43" s="2305"/>
      <c r="B43" s="2306"/>
      <c r="C43" s="2306"/>
      <c r="D43" s="2306"/>
      <c r="E43" s="2306"/>
      <c r="F43" s="2307"/>
      <c r="H43" s="1876"/>
      <c r="I43" s="1876"/>
      <c r="J43" s="1876"/>
      <c r="K43" s="1876"/>
    </row>
    <row r="44" spans="1:11" s="1867" customFormat="1" ht="12" hidden="1" customHeight="1" x14ac:dyDescent="0.25">
      <c r="A44" s="2305"/>
      <c r="B44" s="2306"/>
      <c r="C44" s="2306"/>
      <c r="D44" s="2306"/>
      <c r="E44" s="2306"/>
      <c r="F44" s="230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21" t="str">
        <f>COVER!A17</f>
        <v>El Paso-Gridley CUSD 11</v>
      </c>
      <c r="J6" s="2322"/>
      <c r="Q6" s="1661"/>
    </row>
    <row r="7" spans="1:17" x14ac:dyDescent="0.2">
      <c r="A7" s="2323" t="s">
        <v>869</v>
      </c>
      <c r="B7" s="2324"/>
      <c r="C7" s="2324"/>
      <c r="D7" s="2324"/>
      <c r="E7" s="2325"/>
      <c r="F7" s="1014"/>
      <c r="G7" s="1006"/>
      <c r="H7" s="1013" t="s">
        <v>372</v>
      </c>
      <c r="I7" s="2326">
        <f>COVER!A13</f>
        <v>53102011026</v>
      </c>
      <c r="J7" s="232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1963</v>
      </c>
      <c r="F9" s="1020"/>
      <c r="G9" s="1020"/>
      <c r="H9" s="1893" t="s">
        <v>1964</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7" t="s">
        <v>481</v>
      </c>
      <c r="B11" s="2328"/>
      <c r="C11" s="232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162151</v>
      </c>
      <c r="F12" s="1036"/>
      <c r="G12" s="1808">
        <f t="shared" ref="G12:G18" si="0">SUM(E12:F12)</f>
        <v>162151</v>
      </c>
      <c r="H12" s="1037"/>
      <c r="I12" s="1036"/>
      <c r="J12" s="1808">
        <f t="shared" ref="J12:J18" si="1">SUM(H12:I12)</f>
        <v>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30" t="s">
        <v>7</v>
      </c>
      <c r="C18" s="2331"/>
      <c r="D18" s="233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162151</v>
      </c>
      <c r="F19" s="1810">
        <f t="shared" si="2"/>
        <v>0</v>
      </c>
      <c r="G19" s="1810">
        <f t="shared" si="2"/>
        <v>162151</v>
      </c>
      <c r="H19" s="1810">
        <f t="shared" si="2"/>
        <v>0</v>
      </c>
      <c r="I19" s="1810">
        <f t="shared" si="2"/>
        <v>0</v>
      </c>
      <c r="J19" s="1810">
        <f t="shared" si="2"/>
        <v>0</v>
      </c>
    </row>
    <row r="20" spans="1:10" ht="13.5" thickTop="1" x14ac:dyDescent="0.2">
      <c r="A20" s="1032">
        <v>9</v>
      </c>
      <c r="B20" s="2333" t="s">
        <v>1965</v>
      </c>
      <c r="C20" s="2333"/>
      <c r="D20" s="2334"/>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1966</v>
      </c>
      <c r="B23" s="1044"/>
    </row>
    <row r="24" spans="1:10" x14ac:dyDescent="0.2">
      <c r="A24" s="1008" t="s">
        <v>1979</v>
      </c>
      <c r="B24" s="1044"/>
    </row>
    <row r="25" spans="1:10" x14ac:dyDescent="0.2">
      <c r="A25" s="1046"/>
      <c r="B25" s="1044"/>
    </row>
    <row r="26" spans="1:10" ht="20.100000000000001" customHeight="1" x14ac:dyDescent="0.2">
      <c r="B26" s="1044"/>
      <c r="C26" s="2339"/>
      <c r="D26" s="2339"/>
      <c r="E26" s="1047"/>
      <c r="F26" s="2338"/>
      <c r="G26" s="2338"/>
    </row>
    <row r="27" spans="1:10" x14ac:dyDescent="0.2">
      <c r="B27" s="1044"/>
      <c r="C27" s="1048" t="s">
        <v>1033</v>
      </c>
      <c r="D27" s="1049"/>
      <c r="E27" s="1050"/>
      <c r="F27" s="2335" t="s">
        <v>1509</v>
      </c>
      <c r="G27" s="2335"/>
    </row>
    <row r="28" spans="1:10" ht="28.5" customHeight="1" x14ac:dyDescent="0.2">
      <c r="B28" s="1044"/>
      <c r="C28" s="2337"/>
      <c r="D28" s="2337"/>
      <c r="E28" s="1051"/>
      <c r="F28" s="2337"/>
      <c r="G28" s="2337"/>
    </row>
    <row r="29" spans="1:10" x14ac:dyDescent="0.2">
      <c r="B29" s="1044"/>
      <c r="C29" s="1052" t="s">
        <v>1561</v>
      </c>
      <c r="E29" s="1053"/>
      <c r="F29" s="2336" t="s">
        <v>1510</v>
      </c>
      <c r="G29" s="233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59"/>
    </row>
    <row r="36" spans="1:10" ht="13.5" customHeight="1" x14ac:dyDescent="0.2">
      <c r="B36" s="1058"/>
      <c r="C36" s="2320" t="s">
        <v>1967</v>
      </c>
      <c r="D36" s="2319"/>
      <c r="E36" s="2319"/>
      <c r="F36" s="2319"/>
      <c r="G36" s="2319"/>
      <c r="H36" s="2319"/>
      <c r="I36" s="2319"/>
      <c r="J36" s="1060"/>
    </row>
    <row r="37" spans="1:10" ht="22.5" customHeight="1" x14ac:dyDescent="0.2">
      <c r="C37" s="2319"/>
      <c r="D37" s="2319"/>
      <c r="E37" s="2319"/>
      <c r="F37" s="2319"/>
      <c r="G37" s="2319"/>
      <c r="H37" s="2319"/>
      <c r="I37" s="2319"/>
      <c r="J37" s="1060"/>
    </row>
    <row r="38" spans="1:10" ht="7.5" customHeight="1" x14ac:dyDescent="0.2">
      <c r="C38" s="1059"/>
      <c r="D38" s="1061"/>
      <c r="E38" s="1062"/>
      <c r="F38" s="1063"/>
      <c r="G38" s="1062"/>
    </row>
    <row r="39" spans="1:10" ht="13.5" customHeight="1" x14ac:dyDescent="0.2">
      <c r="B39" s="1058"/>
      <c r="C39" s="2316" t="s">
        <v>882</v>
      </c>
      <c r="D39" s="2317"/>
      <c r="E39" s="2317"/>
      <c r="F39" s="2317"/>
      <c r="G39" s="2317"/>
      <c r="H39" s="2317"/>
      <c r="I39" s="231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6" customWidth="1"/>
    <col min="2" max="2" width="109.140625" style="326" customWidth="1"/>
    <col min="3" max="3" width="3.140625" style="326" customWidth="1"/>
    <col min="4" max="16384" width="9.140625" style="326"/>
  </cols>
  <sheetData>
    <row r="2" spans="1:1" x14ac:dyDescent="0.2">
      <c r="A2" s="386" t="s">
        <v>258</v>
      </c>
    </row>
    <row r="3" spans="1:1" x14ac:dyDescent="0.2">
      <c r="A3" s="326" t="s">
        <v>259</v>
      </c>
    </row>
    <row r="5" spans="1:1" x14ac:dyDescent="0.2">
      <c r="A5" s="1065">
        <v>1</v>
      </c>
    </row>
    <row r="6" spans="1:1" x14ac:dyDescent="0.2">
      <c r="A6" s="1065">
        <v>2</v>
      </c>
    </row>
    <row r="7" spans="1:1" x14ac:dyDescent="0.2">
      <c r="A7" s="1065">
        <v>3</v>
      </c>
    </row>
    <row r="8" spans="1:1" x14ac:dyDescent="0.2">
      <c r="A8" s="1065">
        <v>4</v>
      </c>
    </row>
    <row r="9" spans="1:1" x14ac:dyDescent="0.2">
      <c r="A9" s="1066"/>
    </row>
    <row r="10" spans="1:1" x14ac:dyDescent="0.2">
      <c r="A10" s="1066"/>
    </row>
    <row r="11" spans="1:1" x14ac:dyDescent="0.2">
      <c r="A11" s="1066"/>
    </row>
    <row r="12" spans="1:1" x14ac:dyDescent="0.2">
      <c r="A12" s="1066"/>
    </row>
    <row r="13" spans="1:1" x14ac:dyDescent="0.2">
      <c r="A13" s="1066"/>
    </row>
    <row r="14" spans="1:1" x14ac:dyDescent="0.2">
      <c r="A14" s="1066"/>
    </row>
    <row r="15" spans="1:1" x14ac:dyDescent="0.2">
      <c r="A15" s="1066"/>
    </row>
    <row r="16" spans="1:1"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6" t="str">
        <f>COVER!A17</f>
        <v>El Paso-Gridley CUSD 11</v>
      </c>
    </row>
    <row r="65" spans="2:2" x14ac:dyDescent="0.2">
      <c r="B65" s="1067">
        <f>COVER!A13</f>
        <v>53102011026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1844</v>
      </c>
      <c r="C4" s="162" t="s">
        <v>1169</v>
      </c>
      <c r="D4" s="169" t="s">
        <v>10</v>
      </c>
      <c r="E4" s="170" t="s">
        <v>22</v>
      </c>
    </row>
    <row r="5" spans="1:5" x14ac:dyDescent="0.2">
      <c r="A5" s="168" t="s">
        <v>1846</v>
      </c>
      <c r="C5" s="162" t="s">
        <v>1169</v>
      </c>
      <c r="D5" s="169" t="s">
        <v>10</v>
      </c>
      <c r="E5" s="170" t="s">
        <v>22</v>
      </c>
    </row>
    <row r="6" spans="1:5" x14ac:dyDescent="0.2">
      <c r="A6" s="168" t="s">
        <v>1845</v>
      </c>
      <c r="C6" s="162" t="s">
        <v>1169</v>
      </c>
      <c r="D6" s="167" t="s">
        <v>11</v>
      </c>
      <c r="E6" s="170" t="s">
        <v>941</v>
      </c>
    </row>
    <row r="7" spans="1:5" x14ac:dyDescent="0.2">
      <c r="A7" s="168" t="s">
        <v>1847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1848</v>
      </c>
      <c r="C11" s="162" t="s">
        <v>1169</v>
      </c>
      <c r="D11" s="169" t="s">
        <v>14</v>
      </c>
      <c r="E11" s="170" t="s">
        <v>1156</v>
      </c>
    </row>
    <row r="12" spans="1:5" x14ac:dyDescent="0.2">
      <c r="B12" s="169" t="s">
        <v>1849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1850</v>
      </c>
      <c r="C15" s="162" t="s">
        <v>1169</v>
      </c>
      <c r="D15" s="169" t="s">
        <v>17</v>
      </c>
      <c r="E15" s="170" t="s">
        <v>636</v>
      </c>
    </row>
    <row r="16" spans="1:5" x14ac:dyDescent="0.2">
      <c r="A16" s="172"/>
      <c r="B16" s="162" t="s">
        <v>1851</v>
      </c>
      <c r="C16" s="162" t="s">
        <v>1169</v>
      </c>
      <c r="D16" s="169" t="s">
        <v>681</v>
      </c>
      <c r="E16" s="170" t="s">
        <v>1040</v>
      </c>
    </row>
    <row r="17" spans="1:5" x14ac:dyDescent="0.2">
      <c r="B17" s="167" t="s">
        <v>988</v>
      </c>
      <c r="C17" s="162" t="s">
        <v>1169</v>
      </c>
    </row>
    <row r="18" spans="1:5" x14ac:dyDescent="0.2">
      <c r="B18" s="167" t="s">
        <v>1857</v>
      </c>
      <c r="D18" s="169" t="s">
        <v>18</v>
      </c>
      <c r="E18" s="170" t="s">
        <v>1041</v>
      </c>
    </row>
    <row r="19" spans="1:5" x14ac:dyDescent="0.2">
      <c r="A19" s="168" t="s">
        <v>1099</v>
      </c>
      <c r="C19" s="162" t="s">
        <v>1169</v>
      </c>
      <c r="D19" s="169"/>
      <c r="E19" s="171"/>
    </row>
    <row r="20" spans="1:5" x14ac:dyDescent="0.2">
      <c r="B20" s="167" t="s">
        <v>1852</v>
      </c>
      <c r="C20" s="162" t="s">
        <v>1169</v>
      </c>
      <c r="D20" s="169" t="s">
        <v>19</v>
      </c>
      <c r="E20" s="170" t="s">
        <v>51</v>
      </c>
    </row>
    <row r="21" spans="1:5" x14ac:dyDescent="0.2">
      <c r="B21" s="167" t="s">
        <v>1853</v>
      </c>
      <c r="C21" s="162" t="s">
        <v>1169</v>
      </c>
      <c r="D21" s="169" t="s">
        <v>20</v>
      </c>
      <c r="E21" s="170" t="s">
        <v>1610</v>
      </c>
    </row>
    <row r="22" spans="1:5" x14ac:dyDescent="0.2">
      <c r="A22" s="168"/>
      <c r="B22" s="162" t="s">
        <v>1841</v>
      </c>
      <c r="C22" s="162" t="s">
        <v>1169</v>
      </c>
      <c r="D22" s="167" t="s">
        <v>1843</v>
      </c>
      <c r="E22" s="1833" t="s">
        <v>1611</v>
      </c>
    </row>
    <row r="23" spans="1:5" x14ac:dyDescent="0.2">
      <c r="A23" s="168"/>
      <c r="B23" s="162" t="s">
        <v>1842</v>
      </c>
      <c r="D23" s="167" t="s">
        <v>637</v>
      </c>
      <c r="E23" s="1833" t="s">
        <v>959</v>
      </c>
    </row>
    <row r="24" spans="1:5" x14ac:dyDescent="0.2">
      <c r="A24" s="168" t="s">
        <v>1609</v>
      </c>
      <c r="C24" s="162" t="s">
        <v>1169</v>
      </c>
      <c r="D24" s="167" t="s">
        <v>1393</v>
      </c>
      <c r="E24" s="170" t="s">
        <v>960</v>
      </c>
    </row>
    <row r="25" spans="1:5" x14ac:dyDescent="0.2">
      <c r="A25" s="168" t="s">
        <v>1854</v>
      </c>
      <c r="C25" s="162" t="s">
        <v>1169</v>
      </c>
      <c r="D25" s="169" t="s">
        <v>21</v>
      </c>
      <c r="E25" s="170" t="s">
        <v>1042</v>
      </c>
    </row>
    <row r="26" spans="1:5" x14ac:dyDescent="0.2">
      <c r="A26" s="168" t="s">
        <v>1855</v>
      </c>
      <c r="C26" s="162" t="s">
        <v>1169</v>
      </c>
      <c r="D26" s="169" t="s">
        <v>563</v>
      </c>
      <c r="E26" s="170" t="s">
        <v>1043</v>
      </c>
    </row>
    <row r="27" spans="1:5" x14ac:dyDescent="0.2">
      <c r="A27" s="168" t="s">
        <v>1856</v>
      </c>
      <c r="C27" s="162" t="s">
        <v>1169</v>
      </c>
      <c r="D27" s="169" t="s">
        <v>557</v>
      </c>
      <c r="E27" s="170" t="s">
        <v>683</v>
      </c>
    </row>
    <row r="28" spans="1:5" x14ac:dyDescent="0.2">
      <c r="A28" s="168" t="s">
        <v>1858</v>
      </c>
      <c r="D28" s="169" t="s">
        <v>684</v>
      </c>
      <c r="E28" s="170" t="s">
        <v>1366</v>
      </c>
    </row>
    <row r="29" spans="1:5" x14ac:dyDescent="0.2">
      <c r="A29" s="168" t="s">
        <v>1859</v>
      </c>
      <c r="D29" s="169" t="s">
        <v>1394</v>
      </c>
      <c r="E29" s="170" t="s">
        <v>1375</v>
      </c>
    </row>
    <row r="30" spans="1:5" x14ac:dyDescent="0.2">
      <c r="A30" s="173" t="s">
        <v>1860</v>
      </c>
      <c r="C30" s="162" t="s">
        <v>1169</v>
      </c>
      <c r="D30" s="169" t="s">
        <v>40</v>
      </c>
      <c r="E30" s="170" t="s">
        <v>982</v>
      </c>
    </row>
    <row r="31" spans="1:5" x14ac:dyDescent="0.2">
      <c r="A31" s="168" t="s">
        <v>1521</v>
      </c>
      <c r="C31" s="162" t="s">
        <v>1169</v>
      </c>
      <c r="D31" s="167"/>
      <c r="E31" s="171"/>
    </row>
    <row r="32" spans="1:5" x14ac:dyDescent="0.2">
      <c r="B32" s="167" t="s">
        <v>1861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1887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1757</v>
      </c>
    </row>
    <row r="52" spans="1:3" x14ac:dyDescent="0.2">
      <c r="A52" s="190"/>
      <c r="B52" s="188" t="s">
        <v>1777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1758</v>
      </c>
    </row>
    <row r="57" spans="1:3" x14ac:dyDescent="0.2">
      <c r="A57" s="193"/>
      <c r="B57" s="190" t="s">
        <v>1760</v>
      </c>
    </row>
    <row r="58" spans="1:3" x14ac:dyDescent="0.2">
      <c r="A58" s="194"/>
      <c r="B58" s="190" t="s">
        <v>1761</v>
      </c>
    </row>
    <row r="59" spans="1:3" x14ac:dyDescent="0.2">
      <c r="A59" s="195"/>
      <c r="B59" s="1482" t="s">
        <v>1762</v>
      </c>
    </row>
    <row r="60" spans="1:3" x14ac:dyDescent="0.2">
      <c r="A60" s="196"/>
      <c r="B60" s="1482" t="s">
        <v>1763</v>
      </c>
    </row>
    <row r="61" spans="1:3" ht="6" customHeight="1" x14ac:dyDescent="0.2">
      <c r="A61" s="197"/>
      <c r="B61" s="189"/>
    </row>
    <row r="62" spans="1:3" x14ac:dyDescent="0.2">
      <c r="A62" s="169" t="s">
        <v>1616</v>
      </c>
      <c r="B62" s="198" t="s">
        <v>1759</v>
      </c>
    </row>
    <row r="63" spans="1:3" x14ac:dyDescent="0.2">
      <c r="A63" s="188"/>
      <c r="B63" s="169" t="s">
        <v>1774</v>
      </c>
    </row>
    <row r="64" spans="1:3" x14ac:dyDescent="0.2">
      <c r="A64" s="195"/>
      <c r="B64" s="1484" t="s">
        <v>1764</v>
      </c>
    </row>
    <row r="65" spans="1:9" x14ac:dyDescent="0.2">
      <c r="A65" s="188"/>
      <c r="B65" s="169" t="s">
        <v>1775</v>
      </c>
    </row>
    <row r="66" spans="1:9" x14ac:dyDescent="0.2">
      <c r="A66" s="190"/>
      <c r="B66" s="190" t="s">
        <v>1765</v>
      </c>
    </row>
    <row r="67" spans="1:9" ht="12" customHeight="1" x14ac:dyDescent="0.2">
      <c r="A67" s="188"/>
      <c r="B67" s="169" t="s">
        <v>1776</v>
      </c>
    </row>
    <row r="68" spans="1:9" x14ac:dyDescent="0.2">
      <c r="A68" s="189"/>
      <c r="B68" s="190" t="s">
        <v>1766</v>
      </c>
    </row>
    <row r="69" spans="1:9" x14ac:dyDescent="0.2">
      <c r="A69" s="190"/>
      <c r="B69" s="188" t="s">
        <v>1767</v>
      </c>
    </row>
    <row r="70" spans="1:9" ht="13.5" customHeight="1" x14ac:dyDescent="0.2">
      <c r="A70" s="190"/>
      <c r="B70" s="188" t="s">
        <v>1768</v>
      </c>
    </row>
    <row r="71" spans="1:9" ht="12" customHeight="1" x14ac:dyDescent="0.2">
      <c r="A71" s="192"/>
      <c r="B71" s="1483" t="s">
        <v>1619</v>
      </c>
    </row>
    <row r="72" spans="1:9" ht="9" customHeight="1" x14ac:dyDescent="0.2">
      <c r="A72" s="192"/>
      <c r="B72" s="199"/>
    </row>
    <row r="73" spans="1:9" x14ac:dyDescent="0.2">
      <c r="A73" s="189" t="s">
        <v>1620</v>
      </c>
      <c r="B73" s="169" t="s">
        <v>1770</v>
      </c>
    </row>
    <row r="74" spans="1:9" x14ac:dyDescent="0.2">
      <c r="A74" s="189"/>
      <c r="B74" s="169" t="s">
        <v>1769</v>
      </c>
    </row>
    <row r="75" spans="1:9" ht="8.25" customHeight="1" x14ac:dyDescent="0.2">
      <c r="A75" s="189"/>
      <c r="B75" s="189"/>
    </row>
    <row r="76" spans="1:9" ht="12.2" customHeight="1" x14ac:dyDescent="0.2">
      <c r="A76" s="189" t="s">
        <v>1621</v>
      </c>
      <c r="B76" s="198" t="s">
        <v>1771</v>
      </c>
    </row>
    <row r="77" spans="1:9" ht="12.2" customHeight="1" x14ac:dyDescent="0.2">
      <c r="A77" s="190"/>
      <c r="B77" s="169" t="s">
        <v>1622</v>
      </c>
      <c r="C77" s="179"/>
      <c r="D77" s="180"/>
      <c r="E77" s="181"/>
      <c r="F77" s="181"/>
      <c r="G77" s="181"/>
      <c r="H77" s="181"/>
      <c r="I77" s="181"/>
    </row>
    <row r="78" spans="1:9" ht="11.25" customHeight="1" x14ac:dyDescent="0.2">
      <c r="A78" s="190"/>
      <c r="B78" s="190" t="s">
        <v>1773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1772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6" customWidth="1"/>
    <col min="2" max="2" width="59.7109375" style="326" customWidth="1"/>
    <col min="3" max="16384" width="9.140625" style="326"/>
  </cols>
  <sheetData>
    <row r="11" spans="1:6" x14ac:dyDescent="0.2">
      <c r="B11" s="1068"/>
      <c r="C11" s="1068"/>
      <c r="D11" s="1068"/>
      <c r="E11" s="1068"/>
      <c r="F11" s="1068"/>
    </row>
    <row r="13" spans="1:6" x14ac:dyDescent="0.2">
      <c r="A13" s="1069" t="s">
        <v>1493</v>
      </c>
    </row>
    <row r="15" spans="1:6" x14ac:dyDescent="0.2">
      <c r="A15" s="386" t="s">
        <v>857</v>
      </c>
    </row>
    <row r="16" spans="1:6" s="1068" customFormat="1" ht="45" customHeight="1" x14ac:dyDescent="0.2">
      <c r="A16" s="1070"/>
      <c r="B16" s="1070" t="s">
        <v>1670</v>
      </c>
    </row>
    <row r="17" spans="1:2" ht="6" customHeight="1" x14ac:dyDescent="0.2"/>
    <row r="18" spans="1:2" ht="24.75" customHeight="1" x14ac:dyDescent="0.2">
      <c r="A18" s="2340" t="s">
        <v>1671</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41" t="s">
        <v>1676</v>
      </c>
      <c r="B1" s="2342"/>
      <c r="C1" s="2342"/>
      <c r="D1" s="2342"/>
      <c r="E1" s="2342"/>
      <c r="F1" s="2343"/>
    </row>
    <row r="2" spans="1:8" ht="45" customHeight="1" x14ac:dyDescent="0.2">
      <c r="A2" s="2351" t="s">
        <v>1971</v>
      </c>
      <c r="B2" s="2352"/>
      <c r="C2" s="2352"/>
      <c r="D2" s="2352"/>
      <c r="E2" s="2352"/>
      <c r="F2" s="2353"/>
      <c r="G2" s="1071"/>
      <c r="H2" s="1071"/>
    </row>
    <row r="3" spans="1:8" ht="57" customHeight="1" x14ac:dyDescent="0.2">
      <c r="A3" s="2354" t="s">
        <v>1672</v>
      </c>
      <c r="B3" s="2355"/>
      <c r="C3" s="2355"/>
      <c r="D3" s="2355"/>
      <c r="E3" s="2355"/>
      <c r="F3" s="2356"/>
      <c r="G3" s="1071"/>
      <c r="H3" s="1071"/>
    </row>
    <row r="4" spans="1:8" ht="14.25" customHeight="1" x14ac:dyDescent="0.2">
      <c r="A4" s="2360" t="s">
        <v>1972</v>
      </c>
      <c r="B4" s="2361"/>
      <c r="C4" s="2361"/>
      <c r="D4" s="2361"/>
      <c r="E4" s="2361"/>
      <c r="F4" s="2362"/>
      <c r="G4" s="1071"/>
      <c r="H4" s="1071"/>
    </row>
    <row r="5" spans="1:8" ht="14.25" customHeight="1" x14ac:dyDescent="0.2">
      <c r="A5" s="2363" t="s">
        <v>1968</v>
      </c>
      <c r="B5" s="2364"/>
      <c r="C5" s="2364"/>
      <c r="D5" s="2364"/>
      <c r="E5" s="2364"/>
      <c r="F5" s="2365"/>
      <c r="G5" s="1071"/>
      <c r="H5" s="1071"/>
    </row>
    <row r="6" spans="1:8" s="1072" customFormat="1" ht="41.25" customHeight="1" x14ac:dyDescent="0.2">
      <c r="A6" s="2357" t="s">
        <v>1677</v>
      </c>
      <c r="B6" s="2358"/>
      <c r="C6" s="2358"/>
      <c r="D6" s="2358"/>
      <c r="E6" s="2358"/>
      <c r="F6" s="235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10293658</v>
      </c>
      <c r="C8" s="1812">
        <f>'Acct Summary 7-8'!D8</f>
        <v>940153</v>
      </c>
      <c r="D8" s="1812">
        <f>'Acct Summary 7-8'!F8</f>
        <v>619869</v>
      </c>
      <c r="E8" s="1812">
        <f>'Acct Summary 7-8'!I8</f>
        <v>85432</v>
      </c>
      <c r="F8" s="1812">
        <f>SUM(B8:E8)</f>
        <v>11939112</v>
      </c>
    </row>
    <row r="9" spans="1:8" s="1076" customFormat="1" ht="14.25" customHeight="1" thickBot="1" x14ac:dyDescent="0.25">
      <c r="A9" s="1075" t="s">
        <v>1369</v>
      </c>
      <c r="B9" s="1813">
        <f>'Acct Summary 7-8'!C17</f>
        <v>10168353</v>
      </c>
      <c r="C9" s="1813">
        <f>'Acct Summary 7-8'!D17</f>
        <v>745936</v>
      </c>
      <c r="D9" s="1813">
        <f>'Acct Summary 7-8'!F17</f>
        <v>619245</v>
      </c>
      <c r="E9" s="1812"/>
      <c r="F9" s="1812">
        <f>SUM(B9:E9)</f>
        <v>11533534</v>
      </c>
    </row>
    <row r="10" spans="1:8" s="1076" customFormat="1" ht="14.25" thickTop="1" thickBot="1" x14ac:dyDescent="0.25">
      <c r="A10" s="1077" t="s">
        <v>1370</v>
      </c>
      <c r="B10" s="1814">
        <f>(B8-B9)</f>
        <v>125305</v>
      </c>
      <c r="C10" s="1814">
        <f>(C8-C9)</f>
        <v>194217</v>
      </c>
      <c r="D10" s="1814">
        <f>(D8-D9)</f>
        <v>624</v>
      </c>
      <c r="E10" s="1813">
        <f>(E8-E9)</f>
        <v>85432</v>
      </c>
      <c r="F10" s="1815">
        <f>SUM(F8-F9)</f>
        <v>405578</v>
      </c>
    </row>
    <row r="11" spans="1:8" s="1076" customFormat="1" ht="14.25" thickTop="1" thickBot="1" x14ac:dyDescent="0.25">
      <c r="A11" s="1078" t="s">
        <v>1969</v>
      </c>
      <c r="B11" s="1816">
        <f>'Acct Summary 7-8'!C81</f>
        <v>686016</v>
      </c>
      <c r="C11" s="1816">
        <f>'Acct Summary 7-8'!D81</f>
        <v>1049918</v>
      </c>
      <c r="D11" s="1816">
        <f>'Acct Summary 7-8'!F81</f>
        <v>449223</v>
      </c>
      <c r="E11" s="1816">
        <f>'Acct Summary 7-8'!I81</f>
        <v>1271072</v>
      </c>
      <c r="F11" s="1817">
        <f>SUM(B11:E11)</f>
        <v>3456229</v>
      </c>
    </row>
    <row r="12" spans="1:8" ht="16.5" customHeight="1" thickTop="1" x14ac:dyDescent="0.2">
      <c r="A12" s="1079"/>
      <c r="B12" s="1080"/>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1"/>
      <c r="B13" s="1082"/>
      <c r="C13" s="2345"/>
      <c r="D13" s="2346"/>
      <c r="E13" s="2346"/>
      <c r="F13" s="2347"/>
      <c r="H13" s="1071"/>
    </row>
    <row r="14" spans="1:8" ht="19.5" customHeight="1" x14ac:dyDescent="0.2">
      <c r="A14" s="1081"/>
      <c r="B14" s="1082"/>
      <c r="C14" s="2345"/>
      <c r="D14" s="2346"/>
      <c r="E14" s="2346"/>
      <c r="F14" s="2347"/>
      <c r="H14" s="1071"/>
    </row>
    <row r="15" spans="1:8" ht="17.25" customHeight="1" x14ac:dyDescent="0.2">
      <c r="A15" s="1081"/>
      <c r="B15" s="1082"/>
      <c r="C15" s="2348"/>
      <c r="D15" s="2349"/>
      <c r="E15" s="2349"/>
      <c r="F15" s="2350"/>
      <c r="H15" s="1071"/>
    </row>
    <row r="16" spans="1:8" s="308" customFormat="1" ht="51.75" hidden="1" customHeight="1" x14ac:dyDescent="0.2">
      <c r="A16" s="2344" t="s">
        <v>1673</v>
      </c>
      <c r="B16" s="2344"/>
      <c r="C16" s="2344"/>
      <c r="D16" s="2344"/>
      <c r="E16" s="2344"/>
      <c r="F16" s="308" t="s">
        <v>1371</v>
      </c>
    </row>
    <row r="17" spans="1:6" hidden="1" x14ac:dyDescent="0.2">
      <c r="A17" s="314" t="s">
        <v>1674</v>
      </c>
      <c r="F17" s="1083" t="s">
        <v>1372</v>
      </c>
    </row>
    <row r="18" spans="1:6" hidden="1" x14ac:dyDescent="0.2">
      <c r="A18" s="314" t="s">
        <v>1675</v>
      </c>
      <c r="F18" s="314" t="s">
        <v>1410</v>
      </c>
    </row>
    <row r="19" spans="1:6" hidden="1" x14ac:dyDescent="0.2">
      <c r="A19" s="314" t="s">
        <v>1409</v>
      </c>
      <c r="F19" s="314"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C57" sqref="C57"/>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1"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6" t="s">
        <v>665</v>
      </c>
      <c r="B3" s="2367"/>
      <c r="C3" s="2367"/>
      <c r="D3" s="2368"/>
    </row>
    <row r="4" spans="1:4" x14ac:dyDescent="0.2">
      <c r="A4" s="1149" t="s">
        <v>1678</v>
      </c>
      <c r="B4" s="1150"/>
      <c r="C4" s="1151"/>
      <c r="D4" s="1152"/>
    </row>
    <row r="5" spans="1:4" ht="21" customHeight="1" x14ac:dyDescent="0.2">
      <c r="A5" s="1145"/>
      <c r="B5" s="1146">
        <v>1</v>
      </c>
      <c r="C5" s="1147" t="s">
        <v>1820</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7" t="s">
        <v>1504</v>
      </c>
      <c r="D7" s="2378"/>
    </row>
    <row r="8" spans="1:4" s="665" customFormat="1" ht="12.75" x14ac:dyDescent="0.2">
      <c r="A8" s="1135"/>
      <c r="B8" s="1090"/>
      <c r="C8" s="1093" t="s">
        <v>1503</v>
      </c>
      <c r="D8" s="1094"/>
    </row>
    <row r="9" spans="1:4" s="665" customFormat="1" ht="14.25" customHeight="1" x14ac:dyDescent="0.2">
      <c r="A9" s="1135"/>
      <c r="B9" s="1090">
        <f>B7+1</f>
        <v>4</v>
      </c>
      <c r="C9" s="1091" t="s">
        <v>1897</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9" t="s">
        <v>1008</v>
      </c>
      <c r="B15" s="2370"/>
      <c r="C15" s="2370"/>
      <c r="D15" s="2371"/>
    </row>
    <row r="16" spans="1:4" s="665" customFormat="1" ht="24" customHeight="1" x14ac:dyDescent="0.2">
      <c r="A16" s="2372" t="s">
        <v>663</v>
      </c>
      <c r="B16" s="2373"/>
      <c r="C16" s="2373"/>
      <c r="D16" s="2374"/>
    </row>
    <row r="17" spans="1:10" s="665" customFormat="1" ht="12.75" customHeight="1" x14ac:dyDescent="0.2">
      <c r="A17" s="1153" t="s">
        <v>1679</v>
      </c>
      <c r="B17" s="1154"/>
      <c r="C17" s="1155"/>
      <c r="D17" s="1156"/>
    </row>
    <row r="18" spans="1:10" s="665" customFormat="1" ht="12.75" customHeight="1" x14ac:dyDescent="0.2">
      <c r="A18" s="1157" t="s">
        <v>1680</v>
      </c>
      <c r="B18" s="1158"/>
      <c r="C18" s="1159"/>
      <c r="D18" s="1160"/>
    </row>
    <row r="19" spans="1:10" ht="6.75" customHeight="1" thickBot="1" x14ac:dyDescent="0.25">
      <c r="A19" s="1161"/>
      <c r="B19" s="1162"/>
      <c r="C19" s="1163"/>
      <c r="D19" s="1164"/>
    </row>
    <row r="20" spans="1:10" s="1168" customFormat="1" ht="12.75" thickTop="1" x14ac:dyDescent="0.2">
      <c r="A20" s="1165"/>
      <c r="B20" s="1166" t="s">
        <v>1681</v>
      </c>
      <c r="C20" s="1167"/>
      <c r="D20" s="1170" t="s">
        <v>710</v>
      </c>
    </row>
    <row r="21" spans="1:10" x14ac:dyDescent="0.2">
      <c r="A21" s="1095"/>
      <c r="B21" s="1096">
        <v>1</v>
      </c>
      <c r="C21" s="2381" t="s">
        <v>314</v>
      </c>
      <c r="D21" s="2382"/>
    </row>
    <row r="22" spans="1:10" ht="12.75" x14ac:dyDescent="0.2">
      <c r="A22" s="1136"/>
      <c r="B22" s="1137">
        <v>2</v>
      </c>
      <c r="C22" s="2379" t="s">
        <v>1524</v>
      </c>
      <c r="D22" s="238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IF(COVER!O11="X","OK",IF(AND(#REF!=0,#REF!&lt;DATE(2017,12,31)),"ENTER ACCOUNTING INFO",IF(AND(#REF!&gt;0,#REF!&lt;DATE(2017,12,31)),"OK")))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e">
        <f>IF(#REF!="X",IF(#REF!&gt;"00/00/00 ","Enter Effective Date","ok"))</f>
        <v>#REF!</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6"/>
      <c r="F31" s="356"/>
      <c r="G31" s="356"/>
      <c r="H31" s="356"/>
      <c r="I31" s="356"/>
      <c r="J31" s="356"/>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3" t="s">
        <v>536</v>
      </c>
      <c r="D43" s="238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5" t="s">
        <v>784</v>
      </c>
      <c r="D56" s="237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1898</v>
      </c>
      <c r="D66" s="1122"/>
    </row>
    <row r="67" spans="1:4" x14ac:dyDescent="0.2">
      <c r="A67" s="1116"/>
      <c r="B67" s="1137"/>
      <c r="C67" s="1144" t="s">
        <v>1021</v>
      </c>
      <c r="D67" s="1122"/>
    </row>
    <row r="68" spans="1:4" x14ac:dyDescent="0.2">
      <c r="A68" s="1097"/>
      <c r="B68" s="1107"/>
      <c r="C68" s="1099" t="s">
        <v>1899</v>
      </c>
      <c r="D68" s="1121" t="str">
        <f>IF('Short-Term Long-Term Debt 24'!F49=SUM(,'Acct Summary 7-8'!C33:K33),"OK","ERROR!")</f>
        <v>OK</v>
      </c>
    </row>
    <row r="69" spans="1:4" x14ac:dyDescent="0.2">
      <c r="A69" s="1097"/>
      <c r="B69" s="1107"/>
      <c r="C69" s="1099" t="s">
        <v>1900</v>
      </c>
      <c r="D69" s="1121" t="str">
        <f>IF('Expenditures 15-22'!H170&lt;&gt;'Short-Term Long-Term Debt 24'!H49,"ERROR!","OK")</f>
        <v>OK</v>
      </c>
    </row>
    <row r="70" spans="1:4" x14ac:dyDescent="0.2">
      <c r="A70" s="1095"/>
      <c r="B70" s="1117">
        <f>B66+1</f>
        <v>9</v>
      </c>
      <c r="C70" s="2375" t="s">
        <v>1682</v>
      </c>
      <c r="D70" s="237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1683</v>
      </c>
      <c r="D73" s="1123" t="str">
        <f>IF(SUM('Acct Summary 7-8'!C42:K42)&gt;=SUM( 'Acct Summary 7-8'!C74:K74),"OK", "ERROR")</f>
        <v>OK</v>
      </c>
    </row>
    <row r="74" spans="1:4" x14ac:dyDescent="0.2">
      <c r="A74" s="1095"/>
      <c r="B74" s="1117">
        <f>B70+1</f>
        <v>10</v>
      </c>
      <c r="C74" s="1111" t="s">
        <v>1901</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1902</v>
      </c>
      <c r="D78" s="1121" t="str">
        <f>IF(ISNUMBER('Acct Summary 7-8'!C9),"OK","ENTRY IS REQUIRED!")</f>
        <v>OK</v>
      </c>
    </row>
    <row r="79" spans="1:4" x14ac:dyDescent="0.2">
      <c r="A79" s="1116"/>
      <c r="B79" s="1117">
        <f>B74+1+1</f>
        <v>12</v>
      </c>
      <c r="C79" s="1127" t="s">
        <v>1888</v>
      </c>
      <c r="D79" s="1128" t="str">
        <f>IF(OR(COVER!$B$6="X",'PCTC-OEPP 27-28'!F78&gt;0),"OK","PLEASE ENTER 9 MO ADA.")</f>
        <v>OK</v>
      </c>
    </row>
    <row r="80" spans="1:4" x14ac:dyDescent="0.2">
      <c r="A80" s="1095"/>
      <c r="B80" s="1117">
        <v>13</v>
      </c>
      <c r="C80" s="1127" t="s">
        <v>1903</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53102011026</v>
      </c>
    </row>
    <row r="3" spans="1:2" x14ac:dyDescent="0.2">
      <c r="A3" t="s">
        <v>956</v>
      </c>
      <c r="B3" s="138" t="str">
        <f>COVER!A15</f>
        <v>Woodford</v>
      </c>
    </row>
    <row r="4" spans="1:2" x14ac:dyDescent="0.2">
      <c r="A4" t="s">
        <v>1007</v>
      </c>
      <c r="B4" s="138" t="str">
        <f>COVER!A17</f>
        <v>El Paso-Gridley CUSD 11</v>
      </c>
    </row>
    <row r="5" spans="1:2" x14ac:dyDescent="0.2">
      <c r="A5" t="s">
        <v>704</v>
      </c>
      <c r="B5" s="138" t="str">
        <f>COVER!A38</f>
        <v>Brian Kurz</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 Ste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Illinois</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199488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686016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686016</v>
      </c>
      <c r="D92" s="2" t="str">
        <f t="shared" si="0"/>
        <v>Error?</v>
      </c>
    </row>
    <row r="93" spans="1:4" x14ac:dyDescent="0.2">
      <c r="A93" s="5">
        <v>32</v>
      </c>
      <c r="B93" s="138">
        <f>'Assets-Liab 5-6'!C41</f>
        <v>686016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1021756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1049918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1049918</v>
      </c>
      <c r="D123" s="2" t="str">
        <f t="shared" si="0"/>
        <v>Error?</v>
      </c>
    </row>
    <row r="124" spans="1:4" x14ac:dyDescent="0.2">
      <c r="A124" s="5">
        <v>63</v>
      </c>
      <c r="B124" s="138">
        <f>'Assets-Liab 5-6'!D41</f>
        <v>1049918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394177</v>
      </c>
      <c r="D129" s="2" t="str">
        <f t="shared" si="1"/>
        <v>Error?</v>
      </c>
    </row>
    <row r="130" spans="1:4" x14ac:dyDescent="0.2">
      <c r="A130" s="5">
        <v>69</v>
      </c>
      <c r="B130" s="138">
        <f>'Assets-Liab 5-6'!E12</f>
        <v>0</v>
      </c>
      <c r="D130" s="2" t="str">
        <f t="shared" si="1"/>
        <v>Error?</v>
      </c>
    </row>
    <row r="131" spans="1:4" x14ac:dyDescent="0.2">
      <c r="A131" s="5">
        <v>70</v>
      </c>
      <c r="B131" s="138">
        <f>'Assets-Liab 5-6'!E13</f>
        <v>397217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397217</v>
      </c>
      <c r="D140" s="2" t="str">
        <f t="shared" si="1"/>
        <v>Error?</v>
      </c>
    </row>
    <row r="141" spans="1:4" x14ac:dyDescent="0.2">
      <c r="A141" s="5">
        <v>80</v>
      </c>
      <c r="B141" s="138">
        <f>'Assets-Liab 5-6'!E41</f>
        <v>397217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434480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449223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449223</v>
      </c>
      <c r="D170" s="2" t="str">
        <f t="shared" si="1"/>
        <v>Error?</v>
      </c>
    </row>
    <row r="171" spans="1:4" x14ac:dyDescent="0.2">
      <c r="A171" s="5">
        <v>110</v>
      </c>
      <c r="B171" s="138">
        <f>'Assets-Liab 5-6'!F41</f>
        <v>449223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546037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613229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613229</v>
      </c>
      <c r="D189" s="2" t="str">
        <f t="shared" si="1"/>
        <v>Error?</v>
      </c>
    </row>
    <row r="190" spans="1:4" x14ac:dyDescent="0.2">
      <c r="A190" s="5">
        <v>129</v>
      </c>
      <c r="B190" s="138">
        <f>'Assets-Liab 5-6'!G41</f>
        <v>613229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240000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276600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97048</v>
      </c>
      <c r="D212" s="2" t="str">
        <f t="shared" si="2"/>
        <v>Error?</v>
      </c>
    </row>
    <row r="213" spans="1:4" x14ac:dyDescent="0.2">
      <c r="A213" s="12">
        <v>152</v>
      </c>
      <c r="B213" s="138">
        <f>'Assets-Liab 5-6'!H41</f>
        <v>276600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26017911</v>
      </c>
      <c r="D274" s="2" t="str">
        <f t="shared" si="3"/>
        <v>Error?</v>
      </c>
    </row>
    <row r="275" spans="1:4" x14ac:dyDescent="0.2">
      <c r="A275" s="5">
        <v>214</v>
      </c>
      <c r="B275" s="138">
        <f>'Assets-Liab 5-6'!M18</f>
        <v>1326597</v>
      </c>
      <c r="D275" s="2" t="str">
        <f t="shared" si="3"/>
        <v>Error?</v>
      </c>
    </row>
    <row r="276" spans="1:4" x14ac:dyDescent="0.2">
      <c r="A276" s="5">
        <v>215</v>
      </c>
      <c r="B276" s="138">
        <f>'Assets-Liab 5-6'!M19</f>
        <v>6840177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34184685</v>
      </c>
      <c r="C279" s="2" t="s">
        <v>573</v>
      </c>
      <c r="D279" s="2" t="str">
        <f t="shared" si="3"/>
        <v>Error?</v>
      </c>
    </row>
    <row r="280" spans="1:4" x14ac:dyDescent="0.2">
      <c r="A280" s="5">
        <v>219</v>
      </c>
      <c r="B280" s="138">
        <f>'Assets-Liab 5-6'!M40</f>
        <v>34184685</v>
      </c>
      <c r="D280" s="2" t="str">
        <f t="shared" si="3"/>
        <v>Error?</v>
      </c>
    </row>
    <row r="281" spans="1:4" x14ac:dyDescent="0.2">
      <c r="A281" s="5">
        <v>220</v>
      </c>
      <c r="B281" s="138">
        <f>'Assets-Liab 5-6'!M41</f>
        <v>34184685</v>
      </c>
      <c r="C281" s="2" t="s">
        <v>573</v>
      </c>
      <c r="D281" s="2" t="str">
        <f t="shared" si="3"/>
        <v>Error?</v>
      </c>
    </row>
    <row r="282" spans="1:4" x14ac:dyDescent="0.2">
      <c r="A282" s="5">
        <v>221</v>
      </c>
      <c r="B282" s="138">
        <f>'Assets-Liab 5-6'!N21</f>
        <v>397217</v>
      </c>
      <c r="D282" s="2" t="str">
        <f t="shared" si="3"/>
        <v>Error?</v>
      </c>
    </row>
    <row r="283" spans="1:4" x14ac:dyDescent="0.2">
      <c r="A283" s="5">
        <v>222</v>
      </c>
      <c r="B283" s="138">
        <f>'Assets-Liab 5-6'!N22</f>
        <v>3457783</v>
      </c>
      <c r="D283" s="2" t="str">
        <f t="shared" si="3"/>
        <v>Error?</v>
      </c>
    </row>
    <row r="284" spans="1:4" x14ac:dyDescent="0.2">
      <c r="A284" s="5">
        <v>223</v>
      </c>
      <c r="B284" s="138">
        <f>'Assets-Liab 5-6'!N23</f>
        <v>3855000</v>
      </c>
      <c r="C284" s="2" t="s">
        <v>573</v>
      </c>
      <c r="D284" s="2" t="str">
        <f t="shared" si="3"/>
        <v>Error?</v>
      </c>
    </row>
    <row r="285" spans="1:4" x14ac:dyDescent="0.2">
      <c r="A285" s="5">
        <v>224</v>
      </c>
      <c r="B285" s="138">
        <f>'Assets-Liab 5-6'!N36</f>
        <v>3855000</v>
      </c>
      <c r="D285" s="2" t="str">
        <f t="shared" si="3"/>
        <v>Error?</v>
      </c>
    </row>
    <row r="286" spans="1:4" x14ac:dyDescent="0.2">
      <c r="A286" s="10">
        <v>225</v>
      </c>
      <c r="D286" s="2" t="str">
        <f t="shared" si="3"/>
        <v>OK</v>
      </c>
    </row>
    <row r="287" spans="1:4" x14ac:dyDescent="0.2">
      <c r="A287" s="5">
        <v>226</v>
      </c>
      <c r="B287" s="138">
        <f>'Assets-Liab 5-6'!N37</f>
        <v>3855000</v>
      </c>
      <c r="C287" s="2" t="s">
        <v>573</v>
      </c>
      <c r="D287" s="2" t="str">
        <f t="shared" si="3"/>
        <v>Error?</v>
      </c>
    </row>
    <row r="288" spans="1:4" x14ac:dyDescent="0.2">
      <c r="A288" s="5">
        <v>227</v>
      </c>
      <c r="B288" s="138">
        <f>'Assets-Liab 5-6'!N41</f>
        <v>3855000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3657389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193967</v>
      </c>
      <c r="D717" s="2" t="str">
        <f t="shared" si="10"/>
        <v>Error?</v>
      </c>
    </row>
    <row r="718" spans="1:4" x14ac:dyDescent="0.2">
      <c r="A718" s="5">
        <v>657</v>
      </c>
      <c r="B718" s="138">
        <f>'Expenditures 15-22'!C14</f>
        <v>232828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5331881</v>
      </c>
      <c r="C720" s="2" t="s">
        <v>573</v>
      </c>
      <c r="D720" s="2" t="str">
        <f t="shared" si="10"/>
        <v>Error?</v>
      </c>
    </row>
    <row r="721" spans="1:4" x14ac:dyDescent="0.2">
      <c r="A721" s="5">
        <v>660</v>
      </c>
      <c r="B721" s="138">
        <f>'Expenditures 15-22'!C36</f>
        <v>46717</v>
      </c>
      <c r="D721" s="2" t="str">
        <f t="shared" si="10"/>
        <v>Error?</v>
      </c>
    </row>
    <row r="722" spans="1:4" x14ac:dyDescent="0.2">
      <c r="A722" s="5">
        <v>661</v>
      </c>
      <c r="B722" s="138">
        <f>'Expenditures 15-22'!C37</f>
        <v>54788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108819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210324</v>
      </c>
      <c r="C727" s="2" t="s">
        <v>573</v>
      </c>
      <c r="D727" s="2" t="str">
        <f t="shared" si="10"/>
        <v>Error?</v>
      </c>
    </row>
    <row r="728" spans="1:4" x14ac:dyDescent="0.2">
      <c r="A728" s="5">
        <v>667</v>
      </c>
      <c r="B728" s="138">
        <f>'Expenditures 15-22'!C44</f>
        <v>88477</v>
      </c>
      <c r="D728" s="2" t="str">
        <f t="shared" si="10"/>
        <v>Error?</v>
      </c>
    </row>
    <row r="729" spans="1:4" x14ac:dyDescent="0.2">
      <c r="A729" s="5">
        <v>668</v>
      </c>
      <c r="B729" s="138">
        <f>'Expenditures 15-22'!C45</f>
        <v>85706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174183</v>
      </c>
      <c r="C731" s="2" t="s">
        <v>573</v>
      </c>
      <c r="D731" s="2" t="str">
        <f t="shared" si="10"/>
        <v>Error?</v>
      </c>
    </row>
    <row r="732" spans="1:4" x14ac:dyDescent="0.2">
      <c r="A732" s="5">
        <v>671</v>
      </c>
      <c r="B732" s="138">
        <f>'Expenditures 15-22'!C49</f>
        <v>1197</v>
      </c>
      <c r="D732" s="2" t="str">
        <f t="shared" si="10"/>
        <v>Error?</v>
      </c>
    </row>
    <row r="733" spans="1:4" x14ac:dyDescent="0.2">
      <c r="A733" s="5">
        <v>672</v>
      </c>
      <c r="B733" s="138">
        <f>'Expenditures 15-22'!C50</f>
        <v>113655</v>
      </c>
      <c r="D733" s="2" t="str">
        <f t="shared" si="10"/>
        <v>Error?</v>
      </c>
    </row>
    <row r="734" spans="1:4" x14ac:dyDescent="0.2">
      <c r="A734" s="5">
        <v>673</v>
      </c>
      <c r="B734" s="138">
        <f>'Expenditures 15-22'!C53</f>
        <v>114852</v>
      </c>
      <c r="C734" s="2" t="s">
        <v>573</v>
      </c>
      <c r="D734" s="2" t="str">
        <f t="shared" si="10"/>
        <v>Error?</v>
      </c>
    </row>
    <row r="735" spans="1:4" x14ac:dyDescent="0.2">
      <c r="A735" s="5">
        <v>674</v>
      </c>
      <c r="B735" s="138">
        <f>'Expenditures 15-22'!C55</f>
        <v>380377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380377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127948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10749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138697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134603</v>
      </c>
      <c r="D751" s="2" t="str">
        <f t="shared" si="10"/>
        <v>Error?</v>
      </c>
    </row>
    <row r="752" spans="1:4" x14ac:dyDescent="0.2">
      <c r="A752" s="10">
        <v>691</v>
      </c>
      <c r="D752" s="2" t="str">
        <f t="shared" si="10"/>
        <v>OK</v>
      </c>
    </row>
    <row r="753" spans="1:4" x14ac:dyDescent="0.2">
      <c r="A753" s="5">
        <v>692</v>
      </c>
      <c r="B753" s="138">
        <f>'Expenditures 15-22'!C72</f>
        <v>134603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1153036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6484917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918813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49894</v>
      </c>
      <c r="D775" s="2" t="str">
        <f t="shared" si="11"/>
        <v>Error?</v>
      </c>
    </row>
    <row r="776" spans="1:4" x14ac:dyDescent="0.2">
      <c r="A776" s="5">
        <v>715</v>
      </c>
      <c r="B776" s="138">
        <f>'Expenditures 15-22'!D14</f>
        <v>19481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1286910</v>
      </c>
      <c r="C778" s="2" t="s">
        <v>573</v>
      </c>
      <c r="D778" s="2" t="str">
        <f t="shared" si="11"/>
        <v>Error?</v>
      </c>
    </row>
    <row r="779" spans="1:4" x14ac:dyDescent="0.2">
      <c r="A779" s="5">
        <v>718</v>
      </c>
      <c r="B779" s="138">
        <f>'Expenditures 15-22'!D36</f>
        <v>6281</v>
      </c>
      <c r="D779" s="2" t="str">
        <f t="shared" si="11"/>
        <v>Error?</v>
      </c>
    </row>
    <row r="780" spans="1:4" x14ac:dyDescent="0.2">
      <c r="A780" s="5">
        <v>719</v>
      </c>
      <c r="B780" s="138">
        <f>'Expenditures 15-22'!D37</f>
        <v>16773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28133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51187</v>
      </c>
      <c r="C785" s="2" t="s">
        <v>573</v>
      </c>
      <c r="D785" s="2" t="str">
        <f t="shared" si="11"/>
        <v>Error?</v>
      </c>
    </row>
    <row r="786" spans="1:4" x14ac:dyDescent="0.2">
      <c r="A786" s="5">
        <v>725</v>
      </c>
      <c r="B786" s="138">
        <f>'Expenditures 15-22'!D44</f>
        <v>20482</v>
      </c>
      <c r="D786" s="2" t="str">
        <f t="shared" si="11"/>
        <v>Error?</v>
      </c>
    </row>
    <row r="787" spans="1:4" x14ac:dyDescent="0.2">
      <c r="A787" s="5">
        <v>726</v>
      </c>
      <c r="B787" s="138">
        <f>'Expenditures 15-22'!D45</f>
        <v>34395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54877</v>
      </c>
      <c r="C789" s="2" t="s">
        <v>573</v>
      </c>
      <c r="D789" s="2" t="str">
        <f t="shared" si="11"/>
        <v>Error?</v>
      </c>
    </row>
    <row r="790" spans="1:4" x14ac:dyDescent="0.2">
      <c r="A790" s="5">
        <v>729</v>
      </c>
      <c r="B790" s="138">
        <f>'Expenditures 15-22'!D49</f>
        <v>37559</v>
      </c>
      <c r="D790" s="2" t="str">
        <f t="shared" si="11"/>
        <v>Error?</v>
      </c>
    </row>
    <row r="791" spans="1:4" x14ac:dyDescent="0.2">
      <c r="A791" s="5">
        <v>730</v>
      </c>
      <c r="B791" s="138">
        <f>'Expenditures 15-22'!D50</f>
        <v>27900</v>
      </c>
      <c r="D791" s="2" t="str">
        <f t="shared" si="11"/>
        <v>Error?</v>
      </c>
    </row>
    <row r="792" spans="1:4" x14ac:dyDescent="0.2">
      <c r="A792" s="5">
        <v>731</v>
      </c>
      <c r="B792" s="138">
        <f>'Expenditures 15-22'!D53</f>
        <v>65459</v>
      </c>
      <c r="C792" s="2" t="s">
        <v>573</v>
      </c>
      <c r="D792" s="2" t="str">
        <f t="shared" si="11"/>
        <v>Error?</v>
      </c>
    </row>
    <row r="793" spans="1:4" x14ac:dyDescent="0.2">
      <c r="A793" s="5">
        <v>732</v>
      </c>
      <c r="B793" s="138">
        <f>'Expenditures 15-22'!D55</f>
        <v>143353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143353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26401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26401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17355</v>
      </c>
      <c r="D809" s="2" t="str">
        <f t="shared" si="11"/>
        <v>Error?</v>
      </c>
    </row>
    <row r="810" spans="1:4" x14ac:dyDescent="0.2">
      <c r="A810" s="10">
        <v>749</v>
      </c>
      <c r="D810" s="2" t="str">
        <f t="shared" si="11"/>
        <v>OK</v>
      </c>
    </row>
    <row r="811" spans="1:4" x14ac:dyDescent="0.2">
      <c r="A811" s="5">
        <v>750</v>
      </c>
      <c r="B811" s="138">
        <f>'Expenditures 15-22'!D72</f>
        <v>17355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358632</v>
      </c>
      <c r="C813" s="2" t="s">
        <v>573</v>
      </c>
      <c r="D813" s="2" t="str">
        <f t="shared" si="11"/>
        <v>Error?</v>
      </c>
    </row>
    <row r="814" spans="1:4" x14ac:dyDescent="0.2">
      <c r="A814" s="5">
        <v>753</v>
      </c>
      <c r="B814" s="138">
        <f>'Expenditures 15-22'!D75</f>
        <v>1457</v>
      </c>
      <c r="D814" s="2" t="str">
        <f t="shared" si="11"/>
        <v>Error?</v>
      </c>
    </row>
    <row r="815" spans="1:4" x14ac:dyDescent="0.2">
      <c r="A815" s="5">
        <v>754</v>
      </c>
      <c r="B815" s="138">
        <f>'Expenditures 15-22'!D114</f>
        <v>1646999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68606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57142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135062</v>
      </c>
      <c r="C836" s="2" t="s">
        <v>573</v>
      </c>
      <c r="D836" s="2" t="str">
        <f t="shared" si="12"/>
        <v>Error?</v>
      </c>
    </row>
    <row r="837" spans="1:4" x14ac:dyDescent="0.2">
      <c r="A837" s="5">
        <v>776</v>
      </c>
      <c r="B837" s="138">
        <f>'Expenditures 15-22'!E36</f>
        <v>536</v>
      </c>
      <c r="D837" s="2" t="str">
        <f t="shared" si="12"/>
        <v>Error?</v>
      </c>
    </row>
    <row r="838" spans="1:4" x14ac:dyDescent="0.2">
      <c r="A838" s="5">
        <v>777</v>
      </c>
      <c r="B838" s="138">
        <f>'Expenditures 15-22'!E37</f>
        <v>1580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441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2557</v>
      </c>
      <c r="C843" s="2" t="s">
        <v>573</v>
      </c>
      <c r="D843" s="2" t="str">
        <f t="shared" si="12"/>
        <v>Error?</v>
      </c>
    </row>
    <row r="844" spans="1:4" x14ac:dyDescent="0.2">
      <c r="A844" s="5">
        <v>783</v>
      </c>
      <c r="B844" s="138">
        <f>'Expenditures 15-22'!E44</f>
        <v>23174</v>
      </c>
      <c r="D844" s="2" t="str">
        <f t="shared" si="12"/>
        <v>Error?</v>
      </c>
    </row>
    <row r="845" spans="1:4" x14ac:dyDescent="0.2">
      <c r="A845" s="5">
        <v>784</v>
      </c>
      <c r="B845" s="138">
        <f>'Expenditures 15-22'!E45</f>
        <v>3490</v>
      </c>
      <c r="D845" s="2" t="str">
        <f t="shared" si="12"/>
        <v>Error?</v>
      </c>
    </row>
    <row r="846" spans="1:4" x14ac:dyDescent="0.2">
      <c r="A846" s="5">
        <v>785</v>
      </c>
      <c r="B846" s="138">
        <f>'Expenditures 15-22'!E46</f>
        <v>7759</v>
      </c>
      <c r="D846" s="2" t="str">
        <f t="shared" si="12"/>
        <v>Error?</v>
      </c>
    </row>
    <row r="847" spans="1:4" x14ac:dyDescent="0.2">
      <c r="A847" s="5">
        <v>786</v>
      </c>
      <c r="B847" s="138">
        <f>'Expenditures 15-22'!E47</f>
        <v>34423</v>
      </c>
      <c r="C847" s="2" t="s">
        <v>573</v>
      </c>
      <c r="D847" s="2" t="str">
        <f t="shared" si="12"/>
        <v>Error?</v>
      </c>
    </row>
    <row r="848" spans="1:4" x14ac:dyDescent="0.2">
      <c r="A848" s="5">
        <v>787</v>
      </c>
      <c r="B848" s="138">
        <f>'Expenditures 15-22'!E49</f>
        <v>1933</v>
      </c>
      <c r="D848" s="2" t="str">
        <f t="shared" si="12"/>
        <v>Error?</v>
      </c>
    </row>
    <row r="849" spans="1:4" x14ac:dyDescent="0.2">
      <c r="A849" s="5">
        <v>788</v>
      </c>
      <c r="B849" s="138">
        <f>'Expenditures 15-22'!E50</f>
        <v>7531</v>
      </c>
      <c r="D849" s="2" t="str">
        <f t="shared" si="12"/>
        <v>Error?</v>
      </c>
    </row>
    <row r="850" spans="1:4" x14ac:dyDescent="0.2">
      <c r="A850" s="5">
        <v>789</v>
      </c>
      <c r="B850" s="138">
        <f>'Expenditures 15-22'!E53</f>
        <v>11264</v>
      </c>
      <c r="C850" s="2" t="s">
        <v>573</v>
      </c>
      <c r="D850" s="2" t="str">
        <f t="shared" si="12"/>
        <v>Error?</v>
      </c>
    </row>
    <row r="851" spans="1:4" x14ac:dyDescent="0.2">
      <c r="A851" s="5">
        <v>790</v>
      </c>
      <c r="B851" s="138">
        <f>'Expenditures 15-22'!E55</f>
        <v>830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17505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276754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294259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27024</v>
      </c>
      <c r="D864" s="2" t="str">
        <f t="shared" si="12"/>
        <v>Error?</v>
      </c>
    </row>
    <row r="865" spans="1:4" x14ac:dyDescent="0.2">
      <c r="A865" s="5">
        <v>804</v>
      </c>
      <c r="B865" s="138">
        <f>'Expenditures 15-22'!E70</f>
        <v>4698</v>
      </c>
      <c r="D865" s="2" t="str">
        <f t="shared" si="12"/>
        <v>Error?</v>
      </c>
    </row>
    <row r="866" spans="1:4" x14ac:dyDescent="0.2">
      <c r="A866" s="10">
        <v>805</v>
      </c>
      <c r="D866" s="2" t="str">
        <f t="shared" si="12"/>
        <v>OK</v>
      </c>
    </row>
    <row r="867" spans="1:4" x14ac:dyDescent="0.2">
      <c r="A867" s="5">
        <v>806</v>
      </c>
      <c r="B867" s="138">
        <f>'Expenditures 15-22'!E71</f>
        <v>8243</v>
      </c>
      <c r="D867" s="2" t="str">
        <f t="shared" si="12"/>
        <v>Error?</v>
      </c>
    </row>
    <row r="868" spans="1:4" x14ac:dyDescent="0.2">
      <c r="A868" s="10">
        <v>807</v>
      </c>
      <c r="D868" s="2" t="str">
        <f t="shared" si="12"/>
        <v>OK</v>
      </c>
    </row>
    <row r="869" spans="1:4" x14ac:dyDescent="0.2">
      <c r="A869" s="5">
        <v>808</v>
      </c>
      <c r="B869" s="138">
        <f>'Expenditures 15-22'!E72</f>
        <v>39965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383298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775732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88501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8394</v>
      </c>
      <c r="D891" s="2" t="str">
        <f t="shared" si="12"/>
        <v>Error?</v>
      </c>
    </row>
    <row r="892" spans="1:4" x14ac:dyDescent="0.2">
      <c r="A892" s="5">
        <v>831</v>
      </c>
      <c r="B892" s="138">
        <f>'Expenditures 15-22'!F14</f>
        <v>17109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235514</v>
      </c>
      <c r="C894" s="2" t="s">
        <v>573</v>
      </c>
      <c r="D894" s="2" t="str">
        <f t="shared" si="12"/>
        <v>Error?</v>
      </c>
    </row>
    <row r="895" spans="1:4" x14ac:dyDescent="0.2">
      <c r="A895" s="5">
        <v>834</v>
      </c>
      <c r="B895" s="138">
        <f>'Expenditures 15-22'!F36</f>
        <v>945</v>
      </c>
      <c r="D895" s="2" t="str">
        <f t="shared" ref="D895:D958" si="13">IF(ISBLANK(B895),"OK",IF(A895-B895=0,"OK","Error?"))</f>
        <v>Error?</v>
      </c>
    </row>
    <row r="896" spans="1:4" x14ac:dyDescent="0.2">
      <c r="A896" s="5">
        <v>835</v>
      </c>
      <c r="B896" s="138">
        <f>'Expenditures 15-22'!F37</f>
        <v>2220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3165</v>
      </c>
      <c r="C901" s="2" t="s">
        <v>573</v>
      </c>
      <c r="D901" s="2" t="str">
        <f t="shared" si="13"/>
        <v>Error?</v>
      </c>
    </row>
    <row r="902" spans="1:4" x14ac:dyDescent="0.2">
      <c r="A902" s="5">
        <v>841</v>
      </c>
      <c r="B902" s="138">
        <f>'Expenditures 15-22'!F44</f>
        <v>1284</v>
      </c>
      <c r="D902" s="2" t="str">
        <f t="shared" si="13"/>
        <v>Error?</v>
      </c>
    </row>
    <row r="903" spans="1:4" x14ac:dyDescent="0.2">
      <c r="A903" s="5">
        <v>842</v>
      </c>
      <c r="B903" s="138">
        <f>'Expenditures 15-22'!F45</f>
        <v>13250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14534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11598</v>
      </c>
      <c r="D907" s="2" t="str">
        <f t="shared" si="13"/>
        <v>Error?</v>
      </c>
    </row>
    <row r="908" spans="1:4" x14ac:dyDescent="0.2">
      <c r="A908" s="5">
        <v>847</v>
      </c>
      <c r="B908" s="138">
        <f>'Expenditures 15-22'!F53</f>
        <v>11598</v>
      </c>
      <c r="C908" s="2" t="s">
        <v>573</v>
      </c>
      <c r="D908" s="2" t="str">
        <f t="shared" si="13"/>
        <v>Error?</v>
      </c>
    </row>
    <row r="909" spans="1:4" x14ac:dyDescent="0.2">
      <c r="A909" s="5">
        <v>848</v>
      </c>
      <c r="B909" s="138">
        <f>'Expenditures 15-22'!F55</f>
        <v>6433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6433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12671</v>
      </c>
      <c r="D913" s="2" t="str">
        <f t="shared" si="13"/>
        <v>Error?</v>
      </c>
    </row>
    <row r="914" spans="1:4" x14ac:dyDescent="0.2">
      <c r="A914" s="5">
        <v>853</v>
      </c>
      <c r="B914" s="138">
        <f>'Expenditures 15-22'!F61</f>
        <v>219615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7167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239453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126421</v>
      </c>
      <c r="D925" s="2" t="str">
        <f t="shared" si="13"/>
        <v>Error?</v>
      </c>
    </row>
    <row r="926" spans="1:4" x14ac:dyDescent="0.2">
      <c r="A926" s="10">
        <v>865</v>
      </c>
      <c r="D926" s="2" t="str">
        <f t="shared" si="13"/>
        <v>OK</v>
      </c>
    </row>
    <row r="927" spans="1:4" x14ac:dyDescent="0.2">
      <c r="A927" s="5">
        <v>866</v>
      </c>
      <c r="B927" s="138">
        <f>'Expenditures 15-22'!F72</f>
        <v>126421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401604</v>
      </c>
      <c r="C929" s="2" t="s">
        <v>573</v>
      </c>
      <c r="D929" s="2" t="str">
        <f t="shared" si="13"/>
        <v>Error?</v>
      </c>
    </row>
    <row r="930" spans="1:4" x14ac:dyDescent="0.2">
      <c r="A930" s="5">
        <v>869</v>
      </c>
      <c r="B930" s="138">
        <f>'Expenditures 15-22'!F75</f>
        <v>3654</v>
      </c>
      <c r="D930" s="2" t="str">
        <f t="shared" si="13"/>
        <v>Error?</v>
      </c>
    </row>
    <row r="931" spans="1:4" x14ac:dyDescent="0.2">
      <c r="A931" s="5">
        <v>870</v>
      </c>
      <c r="B931" s="138">
        <f>'Expenditures 15-22'!F114</f>
        <v>640772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1293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10968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12947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12947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43545</v>
      </c>
      <c r="D983" s="2" t="str">
        <f t="shared" si="14"/>
        <v>Error?</v>
      </c>
    </row>
    <row r="984" spans="1:4" x14ac:dyDescent="0.2">
      <c r="A984" s="10">
        <v>923</v>
      </c>
      <c r="D984" s="2" t="str">
        <f t="shared" si="14"/>
        <v>OK</v>
      </c>
    </row>
    <row r="985" spans="1:4" x14ac:dyDescent="0.2">
      <c r="A985" s="5">
        <v>924</v>
      </c>
      <c r="B985" s="138">
        <f>'Expenditures 15-22'!G72</f>
        <v>43545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56492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67460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847</v>
      </c>
      <c r="D1007" s="2" t="str">
        <f t="shared" si="14"/>
        <v>Error?</v>
      </c>
    </row>
    <row r="1008" spans="1:4" x14ac:dyDescent="0.2">
      <c r="A1008" s="5">
        <v>947</v>
      </c>
      <c r="B1008" s="138">
        <f>'Expenditures 15-22'!H14</f>
        <v>18103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461243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553</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753</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1467</v>
      </c>
      <c r="D1023" s="2" t="str">
        <f t="shared" ref="D1023:D1086" si="15">IF(ISBLANK(B1023),"OK",IF(A1023-B1023=0,"OK","Error?"))</f>
        <v>Error?</v>
      </c>
    </row>
    <row r="1024" spans="1:4" x14ac:dyDescent="0.2">
      <c r="A1024" s="5">
        <v>963</v>
      </c>
      <c r="B1024" s="138">
        <f>'Expenditures 15-22'!H53</f>
        <v>1467</v>
      </c>
      <c r="C1024" s="2" t="s">
        <v>573</v>
      </c>
      <c r="D1024" s="2" t="str">
        <f t="shared" si="15"/>
        <v>Error?</v>
      </c>
    </row>
    <row r="1025" spans="1:4" x14ac:dyDescent="0.2">
      <c r="A1025" s="5">
        <v>964</v>
      </c>
      <c r="B1025" s="138">
        <f>'Expenditures 15-22'!H55</f>
        <v>1553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1553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4073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87157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552473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4734602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253102</v>
      </c>
      <c r="C1105" s="2" t="s">
        <v>573</v>
      </c>
      <c r="D1105" s="2" t="str">
        <f t="shared" si="16"/>
        <v>Error?</v>
      </c>
    </row>
    <row r="1106" spans="1:4" x14ac:dyDescent="0.2">
      <c r="A1106" s="5">
        <v>1045</v>
      </c>
      <c r="B1106" s="138">
        <f>'Expenditures 15-22'!K14</f>
        <v>344663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7461578</v>
      </c>
      <c r="C1108" s="2" t="s">
        <v>573</v>
      </c>
      <c r="D1108" s="2" t="str">
        <f t="shared" si="16"/>
        <v>Error?</v>
      </c>
    </row>
    <row r="1109" spans="1:4" x14ac:dyDescent="0.2">
      <c r="A1109" s="5">
        <v>1048</v>
      </c>
      <c r="B1109" s="138">
        <f>'Expenditures 15-22'!K36</f>
        <v>54479</v>
      </c>
      <c r="C1109" s="2" t="s">
        <v>573</v>
      </c>
      <c r="D1109" s="2" t="str">
        <f t="shared" si="16"/>
        <v>Error?</v>
      </c>
    </row>
    <row r="1110" spans="1:4" x14ac:dyDescent="0.2">
      <c r="A1110" s="5">
        <v>1049</v>
      </c>
      <c r="B1110" s="138">
        <f>'Expenditures 15-22'!K37</f>
        <v>75361</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137393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267233</v>
      </c>
      <c r="C1115" s="2" t="s">
        <v>573</v>
      </c>
      <c r="D1115" s="2" t="str">
        <f t="shared" si="16"/>
        <v>Error?</v>
      </c>
    </row>
    <row r="1116" spans="1:4" x14ac:dyDescent="0.2">
      <c r="A1116" s="5">
        <v>1055</v>
      </c>
      <c r="B1116" s="138">
        <f>'Expenditures 15-22'!K44</f>
        <v>133970</v>
      </c>
      <c r="C1116" s="2" t="s">
        <v>573</v>
      </c>
      <c r="D1116" s="2" t="str">
        <f t="shared" si="16"/>
        <v>Error?</v>
      </c>
    </row>
    <row r="1117" spans="1:4" x14ac:dyDescent="0.2">
      <c r="A1117" s="5">
        <v>1056</v>
      </c>
      <c r="B1117" s="138">
        <f>'Expenditures 15-22'!K45</f>
        <v>137041</v>
      </c>
      <c r="C1117" s="2" t="s">
        <v>573</v>
      </c>
      <c r="D1117" s="2" t="str">
        <f t="shared" si="16"/>
        <v>Error?</v>
      </c>
    </row>
    <row r="1118" spans="1:4" x14ac:dyDescent="0.2">
      <c r="A1118" s="5">
        <v>1057</v>
      </c>
      <c r="B1118" s="138">
        <f>'Expenditures 15-22'!K46</f>
        <v>7759</v>
      </c>
      <c r="C1118" s="2" t="s">
        <v>573</v>
      </c>
      <c r="D1118" s="2" t="str">
        <f t="shared" si="16"/>
        <v>Error?</v>
      </c>
    </row>
    <row r="1119" spans="1:4" x14ac:dyDescent="0.2">
      <c r="A1119" s="5">
        <v>1058</v>
      </c>
      <c r="B1119" s="138">
        <f>'Expenditures 15-22'!K47</f>
        <v>278770</v>
      </c>
      <c r="C1119" s="2" t="s">
        <v>573</v>
      </c>
      <c r="D1119" s="2" t="str">
        <f t="shared" si="16"/>
        <v>Error?</v>
      </c>
    </row>
    <row r="1120" spans="1:4" x14ac:dyDescent="0.2">
      <c r="A1120" s="5">
        <v>1059</v>
      </c>
      <c r="B1120" s="138">
        <f>'Expenditures 15-22'!K49</f>
        <v>40689</v>
      </c>
      <c r="C1120" s="2" t="s">
        <v>573</v>
      </c>
      <c r="D1120" s="2" t="str">
        <f t="shared" si="16"/>
        <v>Error?</v>
      </c>
    </row>
    <row r="1121" spans="1:4" x14ac:dyDescent="0.2">
      <c r="A1121" s="5">
        <v>1060</v>
      </c>
      <c r="B1121" s="138">
        <f>'Expenditures 15-22'!K50</f>
        <v>162151</v>
      </c>
      <c r="C1121" s="2" t="s">
        <v>573</v>
      </c>
      <c r="D1121" s="2" t="str">
        <f t="shared" si="16"/>
        <v>Error?</v>
      </c>
    </row>
    <row r="1122" spans="1:4" x14ac:dyDescent="0.2">
      <c r="A1122" s="5">
        <v>1061</v>
      </c>
      <c r="B1122" s="138">
        <f>'Expenditures 15-22'!K53</f>
        <v>204640</v>
      </c>
      <c r="C1122" s="2" t="s">
        <v>573</v>
      </c>
      <c r="D1122" s="2" t="str">
        <f t="shared" si="16"/>
        <v>Error?</v>
      </c>
    </row>
    <row r="1123" spans="1:4" x14ac:dyDescent="0.2">
      <c r="A1123" s="5">
        <v>1062</v>
      </c>
      <c r="B1123" s="138">
        <f>'Expenditures 15-22'!K55</f>
        <v>532546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532546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184825</v>
      </c>
      <c r="C1127" s="2" t="s">
        <v>573</v>
      </c>
      <c r="D1127" s="2" t="str">
        <f t="shared" si="16"/>
        <v>Error?</v>
      </c>
    </row>
    <row r="1128" spans="1:4" x14ac:dyDescent="0.2">
      <c r="A1128" s="5">
        <v>1067</v>
      </c>
      <c r="B1128" s="138">
        <f>'Expenditures 15-22'!K61</f>
        <v>219615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307617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712057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27024</v>
      </c>
      <c r="C1136" s="2" t="s">
        <v>573</v>
      </c>
      <c r="D1136" s="2" t="str">
        <f t="shared" si="16"/>
        <v>Error?</v>
      </c>
    </row>
    <row r="1137" spans="1:4" x14ac:dyDescent="0.2">
      <c r="A1137" s="5">
        <v>1076</v>
      </c>
      <c r="B1137" s="138">
        <f>'Expenditures 15-22'!K70</f>
        <v>4698</v>
      </c>
      <c r="C1137" s="2" t="s">
        <v>573</v>
      </c>
      <c r="D1137" s="2" t="str">
        <f t="shared" si="16"/>
        <v>Error?</v>
      </c>
    </row>
    <row r="1138" spans="1:4" x14ac:dyDescent="0.2">
      <c r="A1138" s="10">
        <v>1077</v>
      </c>
      <c r="D1138" s="2" t="str">
        <f t="shared" si="16"/>
        <v>OK</v>
      </c>
    </row>
    <row r="1139" spans="1:4" x14ac:dyDescent="0.2">
      <c r="A1139" s="5">
        <v>1078</v>
      </c>
      <c r="B1139" s="138">
        <f>'Expenditures 15-22'!K71</f>
        <v>330167</v>
      </c>
      <c r="C1139" s="2" t="s">
        <v>573</v>
      </c>
      <c r="D1139" s="2" t="str">
        <f t="shared" si="16"/>
        <v>Error?</v>
      </c>
    </row>
    <row r="1140" spans="1:4" x14ac:dyDescent="0.2">
      <c r="A1140" s="10">
        <v>1079</v>
      </c>
      <c r="D1140" s="2" t="str">
        <f t="shared" si="16"/>
        <v>OK</v>
      </c>
    </row>
    <row r="1141" spans="1:4" x14ac:dyDescent="0.2">
      <c r="A1141" s="5">
        <v>1080</v>
      </c>
      <c r="B1141" s="138">
        <f>'Expenditures 15-22'!K72</f>
        <v>361889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2357135</v>
      </c>
      <c r="C1143" s="2" t="s">
        <v>573</v>
      </c>
      <c r="D1143" s="2" t="str">
        <f t="shared" si="16"/>
        <v>Error?</v>
      </c>
    </row>
    <row r="1144" spans="1:4" x14ac:dyDescent="0.2">
      <c r="A1144" s="5">
        <v>1083</v>
      </c>
      <c r="B1144" s="138">
        <f>'Expenditures 15-22'!K75</f>
        <v>5111</v>
      </c>
      <c r="C1144" s="2" t="s">
        <v>573</v>
      </c>
      <c r="D1144" s="2" t="str">
        <f t="shared" si="16"/>
        <v>Error?</v>
      </c>
    </row>
    <row r="1145" spans="1:4" x14ac:dyDescent="0.2">
      <c r="A1145" s="5">
        <v>1084</v>
      </c>
      <c r="B1145" s="138">
        <f>'Expenditures 15-22'!K102</f>
        <v>344529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10168353</v>
      </c>
      <c r="C1152" s="2" t="s">
        <v>573</v>
      </c>
      <c r="D1152" s="2" t="str">
        <f t="shared" si="17"/>
        <v>Error?</v>
      </c>
    </row>
    <row r="1153" spans="1:4" x14ac:dyDescent="0.2">
      <c r="A1153" s="5">
        <v>1092</v>
      </c>
      <c r="B1153" s="138">
        <f>'Expenditures 15-22'!K115</f>
        <v>125305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344406</v>
      </c>
      <c r="D1221" s="2" t="str">
        <f t="shared" si="18"/>
        <v>Error?</v>
      </c>
    </row>
    <row r="1222" spans="1:4" x14ac:dyDescent="0.2">
      <c r="A1222" s="10">
        <v>1161</v>
      </c>
      <c r="D1222" s="2" t="str">
        <f t="shared" si="18"/>
        <v>OK</v>
      </c>
    </row>
    <row r="1223" spans="1:4" x14ac:dyDescent="0.2">
      <c r="A1223" s="5">
        <v>1162</v>
      </c>
      <c r="B1223" s="138">
        <f>'Expenditures 15-22'!C127</f>
        <v>344406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344406</v>
      </c>
      <c r="C1225" s="2" t="s">
        <v>573</v>
      </c>
      <c r="D1225" s="2" t="str">
        <f t="shared" si="18"/>
        <v>Error?</v>
      </c>
    </row>
    <row r="1226" spans="1:4" x14ac:dyDescent="0.2">
      <c r="A1226" s="5">
        <v>1165</v>
      </c>
      <c r="B1226" s="138">
        <f>'Expenditures 15-22'!C151</f>
        <v>344406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85028</v>
      </c>
      <c r="D1229" s="2" t="str">
        <f t="shared" si="18"/>
        <v>Error?</v>
      </c>
    </row>
    <row r="1230" spans="1:4" x14ac:dyDescent="0.2">
      <c r="A1230" s="10">
        <v>1169</v>
      </c>
      <c r="D1230" s="2" t="str">
        <f t="shared" si="18"/>
        <v>OK</v>
      </c>
    </row>
    <row r="1231" spans="1:4" x14ac:dyDescent="0.2">
      <c r="A1231" s="5">
        <v>1170</v>
      </c>
      <c r="B1231" s="138">
        <f>'Expenditures 15-22'!D127</f>
        <v>85028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85028</v>
      </c>
      <c r="C1233" s="2" t="s">
        <v>573</v>
      </c>
      <c r="D1233" s="2" t="str">
        <f t="shared" si="18"/>
        <v>Error?</v>
      </c>
    </row>
    <row r="1234" spans="1:4" x14ac:dyDescent="0.2">
      <c r="A1234" s="5">
        <v>1173</v>
      </c>
      <c r="B1234" s="138">
        <f>'Expenditures 15-22'!D151</f>
        <v>85028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178872</v>
      </c>
      <c r="D1237" s="2" t="str">
        <f t="shared" si="18"/>
        <v>Error?</v>
      </c>
    </row>
    <row r="1238" spans="1:4" x14ac:dyDescent="0.2">
      <c r="A1238" s="10">
        <v>1177</v>
      </c>
      <c r="D1238" s="2" t="str">
        <f t="shared" si="18"/>
        <v>OK</v>
      </c>
    </row>
    <row r="1239" spans="1:4" x14ac:dyDescent="0.2">
      <c r="A1239" s="5">
        <v>1178</v>
      </c>
      <c r="B1239" s="138">
        <f>'Expenditures 15-22'!E127</f>
        <v>178872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178872</v>
      </c>
      <c r="C1241" s="2" t="s">
        <v>573</v>
      </c>
      <c r="D1241" s="2" t="str">
        <f t="shared" si="18"/>
        <v>Error?</v>
      </c>
    </row>
    <row r="1242" spans="1:4" x14ac:dyDescent="0.2">
      <c r="A1242" s="5">
        <v>1181</v>
      </c>
      <c r="B1242" s="138">
        <f>'Expenditures 15-22'!E151</f>
        <v>178872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107647</v>
      </c>
      <c r="D1245" s="2" t="str">
        <f t="shared" si="18"/>
        <v>Error?</v>
      </c>
    </row>
    <row r="1246" spans="1:4" x14ac:dyDescent="0.2">
      <c r="A1246" s="10">
        <v>1185</v>
      </c>
      <c r="D1246" s="2" t="str">
        <f t="shared" si="18"/>
        <v>OK</v>
      </c>
    </row>
    <row r="1247" spans="1:4" x14ac:dyDescent="0.2">
      <c r="A1247" s="5">
        <v>1186</v>
      </c>
      <c r="B1247" s="138">
        <f>'Expenditures 15-22'!F127</f>
        <v>107647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107647</v>
      </c>
      <c r="C1249" s="2" t="s">
        <v>573</v>
      </c>
      <c r="D1249" s="2" t="str">
        <f t="shared" si="18"/>
        <v>Error?</v>
      </c>
    </row>
    <row r="1250" spans="1:4" x14ac:dyDescent="0.2">
      <c r="A1250" s="5">
        <v>1189</v>
      </c>
      <c r="B1250" s="138">
        <f>'Expenditures 15-22'!F151</f>
        <v>107647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29983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29983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29983</v>
      </c>
      <c r="C1258" s="2" t="s">
        <v>573</v>
      </c>
      <c r="D1258" s="2" t="str">
        <f t="shared" si="18"/>
        <v>Error?</v>
      </c>
    </row>
    <row r="1259" spans="1:4" x14ac:dyDescent="0.2">
      <c r="A1259" s="5">
        <v>1198</v>
      </c>
      <c r="B1259" s="138">
        <f>'Expenditures 15-22'!G151</f>
        <v>29983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745936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745936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745936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745936</v>
      </c>
      <c r="C1288" s="2" t="s">
        <v>573</v>
      </c>
      <c r="D1288" s="2" t="str">
        <f t="shared" si="19"/>
        <v>Error?</v>
      </c>
    </row>
    <row r="1289" spans="1:4" x14ac:dyDescent="0.2">
      <c r="A1289" s="5">
        <v>1228</v>
      </c>
      <c r="B1289" s="138">
        <f>'Expenditures 15-22'!K152</f>
        <v>194217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109122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945000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1054122</v>
      </c>
      <c r="C1317" s="2" t="s">
        <v>573</v>
      </c>
      <c r="D1317" s="2" t="str">
        <f t="shared" si="19"/>
        <v>Error?</v>
      </c>
    </row>
    <row r="1318" spans="1:4" x14ac:dyDescent="0.2">
      <c r="A1318" s="5">
        <v>1257</v>
      </c>
      <c r="B1318" s="138">
        <f>'Expenditures 15-22'!H174</f>
        <v>1054122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109122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945000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1054122</v>
      </c>
      <c r="C1331" s="2" t="s">
        <v>573</v>
      </c>
      <c r="D1331" s="2" t="str">
        <f t="shared" si="19"/>
        <v>Error?</v>
      </c>
    </row>
    <row r="1332" spans="1:4" x14ac:dyDescent="0.2">
      <c r="A1332" s="5">
        <v>1271</v>
      </c>
      <c r="B1332" s="138">
        <f>'Expenditures 15-22'!K174</f>
        <v>1054122</v>
      </c>
      <c r="C1332" s="2" t="s">
        <v>573</v>
      </c>
      <c r="D1332" s="2" t="str">
        <f t="shared" si="19"/>
        <v>Error?</v>
      </c>
    </row>
    <row r="1333" spans="1:4" x14ac:dyDescent="0.2">
      <c r="A1333" s="5">
        <v>1272</v>
      </c>
      <c r="B1333" s="138">
        <f>'Expenditures 15-22'!K175</f>
        <v>11791</v>
      </c>
      <c r="C1333" s="2" t="s">
        <v>573</v>
      </c>
      <c r="D1333" s="2" t="str">
        <f t="shared" si="19"/>
        <v>Error?</v>
      </c>
    </row>
    <row r="1334" spans="1:4" x14ac:dyDescent="0.2">
      <c r="A1334" s="10">
        <v>1273</v>
      </c>
      <c r="D1334" s="2" t="str">
        <f t="shared" si="19"/>
        <v>OK</v>
      </c>
    </row>
    <row r="1335" spans="1:4" x14ac:dyDescent="0.2">
      <c r="A1335" s="5">
        <v>1274</v>
      </c>
      <c r="B1335" s="138">
        <f>'Expenditures 15-22'!C182</f>
        <v>284716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284716</v>
      </c>
      <c r="C1339" s="2" t="s">
        <v>573</v>
      </c>
      <c r="D1339" s="2" t="str">
        <f t="shared" si="19"/>
        <v>Error?</v>
      </c>
    </row>
    <row r="1340" spans="1:4" x14ac:dyDescent="0.2">
      <c r="A1340" s="5">
        <v>1279</v>
      </c>
      <c r="B1340" s="138">
        <f>'Expenditures 15-22'!C210</f>
        <v>284716</v>
      </c>
      <c r="C1340" s="2" t="s">
        <v>573</v>
      </c>
      <c r="D1340" s="2" t="str">
        <f t="shared" si="19"/>
        <v>Error?</v>
      </c>
    </row>
    <row r="1341" spans="1:4" x14ac:dyDescent="0.2">
      <c r="A1341" s="5">
        <v>1280</v>
      </c>
      <c r="B1341" s="138">
        <f>'Expenditures 15-22'!D182</f>
        <v>26382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26382</v>
      </c>
      <c r="C1345" s="2" t="s">
        <v>573</v>
      </c>
      <c r="D1345" s="2" t="str">
        <f t="shared" si="20"/>
        <v>Error?</v>
      </c>
    </row>
    <row r="1346" spans="1:4" x14ac:dyDescent="0.2">
      <c r="A1346" s="5">
        <v>1285</v>
      </c>
      <c r="B1346" s="138">
        <f>'Expenditures 15-22'!D210</f>
        <v>26382</v>
      </c>
      <c r="C1346" s="2" t="s">
        <v>573</v>
      </c>
      <c r="D1346" s="2" t="str">
        <f t="shared" si="20"/>
        <v>Error?</v>
      </c>
    </row>
    <row r="1347" spans="1:4" x14ac:dyDescent="0.2">
      <c r="A1347" s="5">
        <v>1286</v>
      </c>
      <c r="B1347" s="138">
        <f>'Expenditures 15-22'!E182</f>
        <v>210634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210634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210634</v>
      </c>
      <c r="C1353" s="2" t="s">
        <v>573</v>
      </c>
      <c r="D1353" s="2" t="str">
        <f t="shared" si="20"/>
        <v>Error?</v>
      </c>
    </row>
    <row r="1354" spans="1:4" x14ac:dyDescent="0.2">
      <c r="A1354" s="5">
        <v>1293</v>
      </c>
      <c r="B1354" s="138">
        <f>'Expenditures 15-22'!F182</f>
        <v>97513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97513</v>
      </c>
      <c r="C1358" s="2" t="s">
        <v>573</v>
      </c>
      <c r="D1358" s="2" t="str">
        <f t="shared" si="20"/>
        <v>Error?</v>
      </c>
    </row>
    <row r="1359" spans="1:4" x14ac:dyDescent="0.2">
      <c r="A1359" s="5">
        <v>1298</v>
      </c>
      <c r="B1359" s="138">
        <f>'Expenditures 15-22'!F210</f>
        <v>97513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619245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619245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619245</v>
      </c>
      <c r="C1388" s="2" t="s">
        <v>573</v>
      </c>
      <c r="D1388" s="2" t="str">
        <f t="shared" si="20"/>
        <v>Error?</v>
      </c>
    </row>
    <row r="1389" spans="1:4" x14ac:dyDescent="0.2">
      <c r="A1389" s="5">
        <v>1328</v>
      </c>
      <c r="B1389" s="138">
        <f>'Expenditures 15-22'!K211</f>
        <v>624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2363</v>
      </c>
      <c r="D1407" s="2" t="str">
        <f t="shared" ref="D1407:D1470" si="21">IF(ISBLANK(B1407),"OK",IF(A1407-B1407=0,"OK","Error?"))</f>
        <v>Error?</v>
      </c>
    </row>
    <row r="1408" spans="1:4" x14ac:dyDescent="0.2">
      <c r="A1408" s="5">
        <v>1347</v>
      </c>
      <c r="B1408" s="138">
        <f>'Expenditures 15-22'!D223</f>
        <v>9083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122653</v>
      </c>
      <c r="C1410" s="2" t="s">
        <v>573</v>
      </c>
      <c r="D1410" s="2" t="str">
        <f t="shared" si="21"/>
        <v>Error?</v>
      </c>
    </row>
    <row r="1411" spans="1:4" x14ac:dyDescent="0.2">
      <c r="A1411" s="5">
        <v>1350</v>
      </c>
      <c r="B1411" s="138">
        <f>'Expenditures 15-22'!D232</f>
        <v>677</v>
      </c>
      <c r="D1411" s="2" t="str">
        <f t="shared" si="21"/>
        <v>Error?</v>
      </c>
    </row>
    <row r="1412" spans="1:4" x14ac:dyDescent="0.2">
      <c r="A1412" s="5">
        <v>1351</v>
      </c>
      <c r="B1412" s="138">
        <f>'Expenditures 15-22'!D233</f>
        <v>816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1287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2780</v>
      </c>
      <c r="C1417" s="2" t="s">
        <v>573</v>
      </c>
      <c r="D1417" s="2" t="str">
        <f t="shared" si="21"/>
        <v>Error?</v>
      </c>
    </row>
    <row r="1418" spans="1:4" x14ac:dyDescent="0.2">
      <c r="A1418" s="5">
        <v>1357</v>
      </c>
      <c r="B1418" s="138">
        <f>'Expenditures 15-22'!D240</f>
        <v>1297</v>
      </c>
      <c r="D1418" s="2" t="str">
        <f t="shared" si="21"/>
        <v>Error?</v>
      </c>
    </row>
    <row r="1419" spans="1:4" x14ac:dyDescent="0.2">
      <c r="A1419" s="5">
        <v>1358</v>
      </c>
      <c r="B1419" s="138">
        <f>'Expenditures 15-22'!D241</f>
        <v>9080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10377</v>
      </c>
      <c r="C1421" s="2" t="s">
        <v>573</v>
      </c>
      <c r="D1421" s="2" t="str">
        <f t="shared" si="21"/>
        <v>Error?</v>
      </c>
    </row>
    <row r="1422" spans="1:4" x14ac:dyDescent="0.2">
      <c r="A1422" s="5">
        <v>1361</v>
      </c>
      <c r="B1422" s="138">
        <f>'Expenditures 15-22'!D245</f>
        <v>245</v>
      </c>
      <c r="D1422" s="2" t="str">
        <f t="shared" si="21"/>
        <v>Error?</v>
      </c>
    </row>
    <row r="1423" spans="1:4" x14ac:dyDescent="0.2">
      <c r="A1423" s="5">
        <v>1362</v>
      </c>
      <c r="B1423" s="138">
        <f>'Expenditures 15-22'!D246</f>
        <v>9933</v>
      </c>
      <c r="D1423" s="2" t="str">
        <f t="shared" si="21"/>
        <v>Error?</v>
      </c>
    </row>
    <row r="1424" spans="1:4" x14ac:dyDescent="0.2">
      <c r="A1424" s="5">
        <v>1363</v>
      </c>
      <c r="B1424" s="138">
        <f>'Expenditures 15-22'!D257</f>
        <v>10178</v>
      </c>
      <c r="C1424" s="2" t="s">
        <v>573</v>
      </c>
      <c r="D1424" s="2" t="str">
        <f t="shared" si="21"/>
        <v>Error?</v>
      </c>
    </row>
    <row r="1425" spans="1:4" x14ac:dyDescent="0.2">
      <c r="A1425" s="5">
        <v>1364</v>
      </c>
      <c r="B1425" s="138">
        <f>'Expenditures 15-22'!D259</f>
        <v>31519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31519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20205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65554</v>
      </c>
      <c r="D1431" s="2" t="str">
        <f t="shared" si="21"/>
        <v>Error?</v>
      </c>
    </row>
    <row r="1432" spans="1:4" x14ac:dyDescent="0.2">
      <c r="A1432" s="5">
        <v>1371</v>
      </c>
      <c r="B1432" s="138">
        <f>'Expenditures 15-22'!D267</f>
        <v>38877</v>
      </c>
      <c r="D1432" s="2" t="str">
        <f t="shared" si="21"/>
        <v>Error?</v>
      </c>
    </row>
    <row r="1433" spans="1:4" x14ac:dyDescent="0.2">
      <c r="A1433" s="5">
        <v>1372</v>
      </c>
      <c r="B1433" s="138">
        <f>'Expenditures 15-22'!D268</f>
        <v>1699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126335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13830</v>
      </c>
      <c r="D1442" s="2" t="str">
        <f t="shared" si="21"/>
        <v>Error?</v>
      </c>
    </row>
    <row r="1443" spans="1:4" x14ac:dyDescent="0.2">
      <c r="A1443" s="10">
        <v>1382</v>
      </c>
      <c r="D1443" s="2" t="str">
        <f t="shared" si="21"/>
        <v>OK</v>
      </c>
    </row>
    <row r="1444" spans="1:4" x14ac:dyDescent="0.2">
      <c r="A1444" s="5">
        <v>1383</v>
      </c>
      <c r="B1444" s="138">
        <f>'Expenditures 15-22'!D277</f>
        <v>13830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195019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317672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2363</v>
      </c>
      <c r="C1471" s="2" t="s">
        <v>573</v>
      </c>
      <c r="D1471" s="2" t="str">
        <f t="shared" ref="D1471:D1534" si="22">IF(ISBLANK(B1471),"OK",IF(A1471-B1471=0,"OK","Error?"))</f>
        <v>Error?</v>
      </c>
    </row>
    <row r="1472" spans="1:4" x14ac:dyDescent="0.2">
      <c r="A1472" s="5">
        <v>1411</v>
      </c>
      <c r="B1472" s="138">
        <f>'Expenditures 15-22'!K223</f>
        <v>9083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122653</v>
      </c>
      <c r="C1474" s="2" t="s">
        <v>573</v>
      </c>
      <c r="D1474" s="2" t="str">
        <f t="shared" si="22"/>
        <v>Error?</v>
      </c>
    </row>
    <row r="1475" spans="1:4" x14ac:dyDescent="0.2">
      <c r="A1475" s="5">
        <v>1414</v>
      </c>
      <c r="B1475" s="138">
        <f>'Expenditures 15-22'!K232</f>
        <v>677</v>
      </c>
      <c r="C1475" s="2" t="s">
        <v>573</v>
      </c>
      <c r="D1475" s="2" t="str">
        <f t="shared" si="22"/>
        <v>Error?</v>
      </c>
    </row>
    <row r="1476" spans="1:4" x14ac:dyDescent="0.2">
      <c r="A1476" s="5">
        <v>1415</v>
      </c>
      <c r="B1476" s="138">
        <f>'Expenditures 15-22'!K233</f>
        <v>816</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1287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2780</v>
      </c>
      <c r="C1481" s="2" t="s">
        <v>573</v>
      </c>
      <c r="D1481" s="2" t="str">
        <f t="shared" si="22"/>
        <v>Error?</v>
      </c>
    </row>
    <row r="1482" spans="1:4" x14ac:dyDescent="0.2">
      <c r="A1482" s="5">
        <v>1421</v>
      </c>
      <c r="B1482" s="138">
        <f>'Expenditures 15-22'!K240</f>
        <v>1297</v>
      </c>
      <c r="C1482" s="2" t="s">
        <v>573</v>
      </c>
      <c r="D1482" s="2" t="str">
        <f t="shared" si="22"/>
        <v>Error?</v>
      </c>
    </row>
    <row r="1483" spans="1:4" x14ac:dyDescent="0.2">
      <c r="A1483" s="5">
        <v>1422</v>
      </c>
      <c r="B1483" s="138">
        <f>'Expenditures 15-22'!K241</f>
        <v>9080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10377</v>
      </c>
      <c r="C1485" s="2" t="s">
        <v>573</v>
      </c>
      <c r="D1485" s="2" t="str">
        <f t="shared" si="22"/>
        <v>Error?</v>
      </c>
    </row>
    <row r="1486" spans="1:4" x14ac:dyDescent="0.2">
      <c r="A1486" s="5">
        <v>1425</v>
      </c>
      <c r="B1486" s="138">
        <f>'Expenditures 15-22'!K245</f>
        <v>245</v>
      </c>
      <c r="C1486" s="2" t="s">
        <v>573</v>
      </c>
      <c r="D1486" s="2" t="str">
        <f t="shared" si="22"/>
        <v>Error?</v>
      </c>
    </row>
    <row r="1487" spans="1:4" x14ac:dyDescent="0.2">
      <c r="A1487" s="5">
        <v>1426</v>
      </c>
      <c r="B1487" s="138">
        <f>'Expenditures 15-22'!K246</f>
        <v>9933</v>
      </c>
      <c r="C1487" s="2" t="s">
        <v>573</v>
      </c>
      <c r="D1487" s="2" t="str">
        <f t="shared" si="22"/>
        <v>Error?</v>
      </c>
    </row>
    <row r="1488" spans="1:4" x14ac:dyDescent="0.2">
      <c r="A1488" s="5">
        <v>1427</v>
      </c>
      <c r="B1488" s="138">
        <f>'Expenditures 15-22'!K257</f>
        <v>10178</v>
      </c>
      <c r="C1488" s="2" t="s">
        <v>573</v>
      </c>
      <c r="D1488" s="2" t="str">
        <f t="shared" si="22"/>
        <v>Error?</v>
      </c>
    </row>
    <row r="1489" spans="1:4" x14ac:dyDescent="0.2">
      <c r="A1489" s="5">
        <v>1428</v>
      </c>
      <c r="B1489" s="138">
        <f>'Expenditures 15-22'!K259</f>
        <v>31519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31519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20205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65554</v>
      </c>
      <c r="C1495" s="2" t="s">
        <v>573</v>
      </c>
      <c r="D1495" s="2" t="str">
        <f t="shared" si="22"/>
        <v>Error?</v>
      </c>
    </row>
    <row r="1496" spans="1:4" x14ac:dyDescent="0.2">
      <c r="A1496" s="5">
        <v>1435</v>
      </c>
      <c r="B1496" s="138">
        <f>'Expenditures 15-22'!K267</f>
        <v>38877</v>
      </c>
      <c r="C1496" s="2" t="s">
        <v>573</v>
      </c>
      <c r="D1496" s="2" t="str">
        <f t="shared" si="22"/>
        <v>Error?</v>
      </c>
    </row>
    <row r="1497" spans="1:4" x14ac:dyDescent="0.2">
      <c r="A1497" s="5">
        <v>1436</v>
      </c>
      <c r="B1497" s="138">
        <f>'Expenditures 15-22'!K268</f>
        <v>1699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126335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13830</v>
      </c>
      <c r="C1506" s="2" t="s">
        <v>573</v>
      </c>
      <c r="D1506" s="2" t="str">
        <f t="shared" si="22"/>
        <v>Error?</v>
      </c>
    </row>
    <row r="1507" spans="1:4" x14ac:dyDescent="0.2">
      <c r="A1507" s="10">
        <v>1446</v>
      </c>
      <c r="D1507" s="2" t="str">
        <f t="shared" si="22"/>
        <v>OK</v>
      </c>
    </row>
    <row r="1508" spans="1:4" x14ac:dyDescent="0.2">
      <c r="A1508" s="5">
        <v>1447</v>
      </c>
      <c r="B1508" s="138">
        <f>'Expenditures 15-22'!K277</f>
        <v>13830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195019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317672</v>
      </c>
      <c r="C1517" s="2" t="s">
        <v>573</v>
      </c>
      <c r="D1517" s="2" t="str">
        <f t="shared" si="22"/>
        <v>Error?</v>
      </c>
    </row>
    <row r="1518" spans="1:4" x14ac:dyDescent="0.2">
      <c r="A1518" s="5">
        <v>1457</v>
      </c>
      <c r="B1518" s="138">
        <f>'Expenditures 15-22'!K296</f>
        <v>137412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229196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560711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686016</v>
      </c>
      <c r="C1630" s="2" t="s">
        <v>573</v>
      </c>
      <c r="D1630" s="2" t="str">
        <f t="shared" si="24"/>
        <v>Error?</v>
      </c>
    </row>
    <row r="1631" spans="1:4" x14ac:dyDescent="0.2">
      <c r="A1631" s="5">
        <v>1570</v>
      </c>
      <c r="B1631" s="138">
        <f>'Acct Summary 7-8'!D79</f>
        <v>855701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1049918</v>
      </c>
      <c r="C1644" s="2" t="s">
        <v>573</v>
      </c>
      <c r="D1644" s="2" t="str">
        <f t="shared" si="24"/>
        <v>Error?</v>
      </c>
    </row>
    <row r="1645" spans="1:4" x14ac:dyDescent="0.2">
      <c r="A1645" s="5">
        <v>1584</v>
      </c>
      <c r="B1645" s="138">
        <f>'Acct Summary 7-8'!E79</f>
        <v>385426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397217</v>
      </c>
      <c r="C1658" s="2" t="s">
        <v>573</v>
      </c>
      <c r="D1658" s="2" t="str">
        <f t="shared" si="24"/>
        <v>Error?</v>
      </c>
    </row>
    <row r="1659" spans="1:4" x14ac:dyDescent="0.2">
      <c r="A1659" s="5">
        <v>1598</v>
      </c>
      <c r="B1659" s="138">
        <f>'Acct Summary 7-8'!F79</f>
        <v>448599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449223</v>
      </c>
      <c r="C1672" s="2" t="s">
        <v>573</v>
      </c>
      <c r="D1672" s="2" t="str">
        <f t="shared" si="25"/>
        <v>Error?</v>
      </c>
    </row>
    <row r="1673" spans="1:4" x14ac:dyDescent="0.2">
      <c r="A1673" s="5">
        <v>1612</v>
      </c>
      <c r="B1673" s="138">
        <f>'Acct Summary 7-8'!G79</f>
        <v>475817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613229</v>
      </c>
      <c r="C1686" s="2" t="s">
        <v>573</v>
      </c>
      <c r="D1686" s="2" t="str">
        <f t="shared" si="25"/>
        <v>Error?</v>
      </c>
    </row>
    <row r="1687" spans="1:4" x14ac:dyDescent="0.2">
      <c r="A1687" s="5">
        <v>1626</v>
      </c>
      <c r="B1687" s="138">
        <f>'Acct Summary 7-8'!H79</f>
        <v>47404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276600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5799419</v>
      </c>
      <c r="C1744" s="2" t="s">
        <v>573</v>
      </c>
      <c r="D1744" s="2" t="str">
        <f t="shared" si="26"/>
        <v>Error?</v>
      </c>
    </row>
    <row r="1745" spans="1:5" x14ac:dyDescent="0.2">
      <c r="A1745" s="5">
        <v>1684</v>
      </c>
      <c r="B1745" s="138">
        <f>'Tax Sched 23'!B5</f>
        <v>939745</v>
      </c>
      <c r="C1745" s="2" t="s">
        <v>573</v>
      </c>
      <c r="D1745" s="2" t="str">
        <f t="shared" si="26"/>
        <v>Error?</v>
      </c>
    </row>
    <row r="1746" spans="1:5" x14ac:dyDescent="0.2">
      <c r="A1746" s="5">
        <v>1685</v>
      </c>
      <c r="B1746" s="138">
        <f>'Tax Sched 23'!B6</f>
        <v>1056030</v>
      </c>
      <c r="C1746" s="2" t="s">
        <v>573</v>
      </c>
      <c r="D1746" s="2" t="str">
        <f t="shared" si="26"/>
        <v>Error?</v>
      </c>
    </row>
    <row r="1747" spans="1:5" x14ac:dyDescent="0.2">
      <c r="A1747" s="5">
        <v>1686</v>
      </c>
      <c r="B1747" s="138">
        <f>'Tax Sched 23'!B7</f>
        <v>341724</v>
      </c>
      <c r="C1747" s="2" t="s">
        <v>573</v>
      </c>
      <c r="D1747" s="2" t="str">
        <f t="shared" si="26"/>
        <v>Error?</v>
      </c>
    </row>
    <row r="1748" spans="1:5" x14ac:dyDescent="0.2">
      <c r="A1748" s="5">
        <v>1687</v>
      </c>
      <c r="B1748" s="138">
        <f>'Tax Sched 23'!B8</f>
        <v>221062</v>
      </c>
      <c r="C1748" s="2" t="s">
        <v>573</v>
      </c>
      <c r="D1748" s="2" t="str">
        <f t="shared" si="26"/>
        <v>Error?</v>
      </c>
    </row>
    <row r="1749" spans="1:5" x14ac:dyDescent="0.2">
      <c r="A1749" s="5">
        <v>1688</v>
      </c>
      <c r="B1749" s="138">
        <f>'Tax Sched 23'!B10</f>
        <v>85432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630624</v>
      </c>
      <c r="C1752" s="2" t="s">
        <v>573</v>
      </c>
      <c r="D1752" s="2" t="str">
        <f t="shared" si="26"/>
        <v>Error?</v>
      </c>
    </row>
    <row r="1753" spans="1:5" x14ac:dyDescent="0.2">
      <c r="A1753" s="5">
        <v>1692</v>
      </c>
      <c r="B1753" s="138">
        <f>'Tax Sched 23'!B12</f>
        <v>85432</v>
      </c>
      <c r="C1753" s="2" t="s">
        <v>573</v>
      </c>
      <c r="D1753" s="2" t="str">
        <f t="shared" si="26"/>
        <v>Error?</v>
      </c>
    </row>
    <row r="1754" spans="1:5" x14ac:dyDescent="0.2">
      <c r="A1754" s="5">
        <v>1693</v>
      </c>
      <c r="B1754" s="138">
        <f>'Tax Sched 23'!B14</f>
        <v>68346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9526630</v>
      </c>
      <c r="C1759" s="2" t="s">
        <v>573</v>
      </c>
      <c r="D1759" s="2" t="str">
        <f t="shared" si="26"/>
        <v>Error?</v>
      </c>
    </row>
    <row r="1760" spans="1:5" x14ac:dyDescent="0.2">
      <c r="A1760" s="5">
        <v>1699</v>
      </c>
      <c r="B1760" s="138">
        <f>'Tax Sched 23'!D4</f>
        <v>4886329</v>
      </c>
      <c r="C1760" s="2" t="s">
        <v>573</v>
      </c>
      <c r="D1760" s="2" t="str">
        <f t="shared" si="26"/>
        <v>Error?</v>
      </c>
    </row>
    <row r="1761" spans="1:5" x14ac:dyDescent="0.2">
      <c r="A1761" s="5">
        <v>1700</v>
      </c>
      <c r="B1761" s="138">
        <f>'Tax Sched 23'!D5</f>
        <v>791845</v>
      </c>
      <c r="C1761" s="2" t="s">
        <v>573</v>
      </c>
      <c r="D1761" s="2" t="str">
        <f t="shared" si="26"/>
        <v>Error?</v>
      </c>
    </row>
    <row r="1762" spans="1:5" s="8" customFormat="1" x14ac:dyDescent="0.2">
      <c r="A1762" s="5">
        <v>1701</v>
      </c>
      <c r="B1762" s="138">
        <f>'Tax Sched 23'!D6</f>
        <v>894194</v>
      </c>
      <c r="C1762" s="2" t="s">
        <v>573</v>
      </c>
      <c r="D1762" s="2" t="str">
        <f t="shared" si="26"/>
        <v>Error?</v>
      </c>
      <c r="E1762" s="9"/>
    </row>
    <row r="1763" spans="1:5" x14ac:dyDescent="0.2">
      <c r="A1763" s="5">
        <v>1702</v>
      </c>
      <c r="B1763" s="138">
        <f>'Tax Sched 23'!D7</f>
        <v>287942</v>
      </c>
      <c r="C1763" s="2" t="s">
        <v>573</v>
      </c>
      <c r="D1763" s="2" t="str">
        <f t="shared" si="26"/>
        <v>Error?</v>
      </c>
    </row>
    <row r="1764" spans="1:5" x14ac:dyDescent="0.2">
      <c r="A1764" s="5">
        <v>1703</v>
      </c>
      <c r="B1764" s="138">
        <f>'Tax Sched 23'!D8</f>
        <v>182678</v>
      </c>
      <c r="C1764" s="2" t="s">
        <v>573</v>
      </c>
      <c r="D1764" s="2" t="str">
        <f t="shared" si="26"/>
        <v>Error?</v>
      </c>
    </row>
    <row r="1765" spans="1:5" x14ac:dyDescent="0.2">
      <c r="A1765" s="5">
        <v>1704</v>
      </c>
      <c r="B1765" s="138">
        <f>'Tax Sched 23'!D10</f>
        <v>71986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530823</v>
      </c>
      <c r="C1768" s="2" t="s">
        <v>573</v>
      </c>
      <c r="D1768" s="2" t="str">
        <f t="shared" si="26"/>
        <v>Error?</v>
      </c>
    </row>
    <row r="1769" spans="1:5" x14ac:dyDescent="0.2">
      <c r="A1769" s="5">
        <v>1708</v>
      </c>
      <c r="B1769" s="138">
        <f>'Tax Sched 23'!D12</f>
        <v>71986</v>
      </c>
      <c r="C1769" s="2" t="s">
        <v>573</v>
      </c>
      <c r="D1769" s="2" t="str">
        <f t="shared" si="26"/>
        <v>Error?</v>
      </c>
    </row>
    <row r="1770" spans="1:5" x14ac:dyDescent="0.2">
      <c r="A1770" s="5">
        <v>1709</v>
      </c>
      <c r="B1770" s="138">
        <f>'Tax Sched 23'!D14</f>
        <v>57590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8030037</v>
      </c>
      <c r="C1775" s="2" t="s">
        <v>573</v>
      </c>
      <c r="D1775" s="2" t="str">
        <f t="shared" si="26"/>
        <v>Error?</v>
      </c>
    </row>
    <row r="1776" spans="1:5" x14ac:dyDescent="0.2">
      <c r="A1776" s="5">
        <v>1715</v>
      </c>
      <c r="B1776" s="138">
        <f>'Tax Sched 23'!C4</f>
        <v>913090</v>
      </c>
      <c r="D1776" s="2" t="str">
        <f t="shared" si="26"/>
        <v>Error?</v>
      </c>
    </row>
    <row r="1777" spans="1:4" x14ac:dyDescent="0.2">
      <c r="A1777" s="5">
        <v>1716</v>
      </c>
      <c r="B1777" s="138">
        <f>'Tax Sched 23'!C5</f>
        <v>147900</v>
      </c>
      <c r="D1777" s="2" t="str">
        <f t="shared" si="26"/>
        <v>Error?</v>
      </c>
    </row>
    <row r="1778" spans="1:4" x14ac:dyDescent="0.2">
      <c r="A1778" s="5">
        <v>1717</v>
      </c>
      <c r="B1778" s="138">
        <f>'Tax Sched 23'!C6</f>
        <v>161836</v>
      </c>
      <c r="D1778" s="2" t="str">
        <f t="shared" si="26"/>
        <v>Error?</v>
      </c>
    </row>
    <row r="1779" spans="1:4" x14ac:dyDescent="0.2">
      <c r="A1779" s="5">
        <v>1718</v>
      </c>
      <c r="B1779" s="138">
        <f>'Tax Sched 23'!C7</f>
        <v>53782</v>
      </c>
      <c r="D1779" s="2" t="str">
        <f t="shared" si="26"/>
        <v>Error?</v>
      </c>
    </row>
    <row r="1780" spans="1:4" x14ac:dyDescent="0.2">
      <c r="A1780" s="5">
        <v>1719</v>
      </c>
      <c r="B1780" s="138">
        <f>'Tax Sched 23'!C8</f>
        <v>38384</v>
      </c>
      <c r="D1780" s="2" t="str">
        <f t="shared" si="26"/>
        <v>Error?</v>
      </c>
    </row>
    <row r="1781" spans="1:4" x14ac:dyDescent="0.2">
      <c r="A1781" s="5">
        <v>1720</v>
      </c>
      <c r="B1781" s="138">
        <f>'Tax Sched 23'!C10</f>
        <v>13446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99801</v>
      </c>
      <c r="D1784" s="2" t="str">
        <f t="shared" si="26"/>
        <v>Error?</v>
      </c>
    </row>
    <row r="1785" spans="1:4" x14ac:dyDescent="0.2">
      <c r="A1785" s="5">
        <v>1724</v>
      </c>
      <c r="B1785" s="138">
        <f>'Tax Sched 23'!C12</f>
        <v>13446</v>
      </c>
      <c r="D1785" s="2" t="str">
        <f t="shared" si="26"/>
        <v>Error?</v>
      </c>
    </row>
    <row r="1786" spans="1:4" x14ac:dyDescent="0.2">
      <c r="A1786" s="5">
        <v>1725</v>
      </c>
      <c r="B1786" s="138">
        <f>'Tax Sched 23'!C14</f>
        <v>10756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1496593</v>
      </c>
      <c r="C1791" s="2" t="s">
        <v>573</v>
      </c>
      <c r="D1791" s="2" t="str">
        <f t="shared" ref="D1791:D1854" si="27">IF(ISBLANK(B1791),"OK",IF(A1791-B1791=0,"OK","Error?"))</f>
        <v>Error?</v>
      </c>
    </row>
    <row r="1792" spans="1:4" x14ac:dyDescent="0.2">
      <c r="A1792" s="5">
        <v>1731</v>
      </c>
      <c r="B1792" s="138">
        <f>'Tax Sched 23'!F4</f>
        <v>5039701</v>
      </c>
      <c r="C1792" s="2" t="s">
        <v>573</v>
      </c>
      <c r="D1792" s="2" t="str">
        <f t="shared" si="27"/>
        <v>Error?</v>
      </c>
    </row>
    <row r="1793" spans="1:4" x14ac:dyDescent="0.2">
      <c r="A1793" s="5">
        <v>1732</v>
      </c>
      <c r="B1793" s="138">
        <f>'Tax Sched 23'!F5</f>
        <v>815375</v>
      </c>
      <c r="C1793" s="2" t="s">
        <v>573</v>
      </c>
      <c r="D1793" s="2" t="str">
        <f t="shared" si="27"/>
        <v>Error?</v>
      </c>
    </row>
    <row r="1794" spans="1:4" x14ac:dyDescent="0.2">
      <c r="A1794" s="5">
        <v>1733</v>
      </c>
      <c r="B1794" s="138">
        <f>'Tax Sched 23'!F6</f>
        <v>892296</v>
      </c>
      <c r="C1794" s="2" t="s">
        <v>573</v>
      </c>
      <c r="D1794" s="2" t="str">
        <f t="shared" si="27"/>
        <v>Error?</v>
      </c>
    </row>
    <row r="1795" spans="1:4" x14ac:dyDescent="0.2">
      <c r="A1795" s="5">
        <v>1734</v>
      </c>
      <c r="B1795" s="138">
        <f>'Tax Sched 23'!F7</f>
        <v>296500</v>
      </c>
      <c r="C1795" s="2" t="s">
        <v>573</v>
      </c>
      <c r="D1795" s="2" t="str">
        <f t="shared" si="27"/>
        <v>Error?</v>
      </c>
    </row>
    <row r="1796" spans="1:4" x14ac:dyDescent="0.2">
      <c r="A1796" s="5">
        <v>1735</v>
      </c>
      <c r="B1796" s="138">
        <f>'Tax Sched 23'!F8</f>
        <v>211685</v>
      </c>
      <c r="C1796" s="2" t="s">
        <v>573</v>
      </c>
      <c r="D1796" s="2" t="str">
        <f t="shared" si="27"/>
        <v>Error?</v>
      </c>
    </row>
    <row r="1797" spans="1:4" x14ac:dyDescent="0.2">
      <c r="A1797" s="5">
        <v>1736</v>
      </c>
      <c r="B1797" s="138">
        <f>'Tax Sched 23'!F10</f>
        <v>74124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550285</v>
      </c>
      <c r="C1800" s="2" t="s">
        <v>573</v>
      </c>
      <c r="D1800" s="2" t="str">
        <f t="shared" si="27"/>
        <v>Error?</v>
      </c>
    </row>
    <row r="1801" spans="1:4" x14ac:dyDescent="0.2">
      <c r="A1801" s="5">
        <v>1740</v>
      </c>
      <c r="B1801" s="138">
        <f>'Tax Sched 23'!F12</f>
        <v>74124</v>
      </c>
      <c r="C1801" s="2" t="s">
        <v>573</v>
      </c>
      <c r="D1801" s="2" t="str">
        <f t="shared" si="27"/>
        <v>Error?</v>
      </c>
    </row>
    <row r="1802" spans="1:4" x14ac:dyDescent="0.2">
      <c r="A1802" s="5">
        <v>1741</v>
      </c>
      <c r="B1802" s="138">
        <f>'Tax Sched 23'!F14</f>
        <v>59300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8256814</v>
      </c>
      <c r="C1807" s="2" t="s">
        <v>573</v>
      </c>
      <c r="D1807" s="2" t="str">
        <f t="shared" si="27"/>
        <v>Error?</v>
      </c>
    </row>
    <row r="1808" spans="1:4" x14ac:dyDescent="0.2">
      <c r="A1808" s="5">
        <v>1747</v>
      </c>
      <c r="B1808" s="138">
        <f>'Tax Sched 23'!E4</f>
        <v>5952791</v>
      </c>
      <c r="D1808" s="2" t="str">
        <f t="shared" si="27"/>
        <v>Error?</v>
      </c>
    </row>
    <row r="1809" spans="1:4" x14ac:dyDescent="0.2">
      <c r="A1809" s="5">
        <v>1748</v>
      </c>
      <c r="B1809" s="138">
        <f>'Tax Sched 23'!E5</f>
        <v>963275</v>
      </c>
      <c r="D1809" s="2" t="str">
        <f t="shared" si="27"/>
        <v>Error?</v>
      </c>
    </row>
    <row r="1810" spans="1:4" x14ac:dyDescent="0.2">
      <c r="A1810" s="5">
        <v>1749</v>
      </c>
      <c r="B1810" s="138">
        <f>'Tax Sched 23'!E6</f>
        <v>1054132</v>
      </c>
      <c r="D1810" s="2" t="str">
        <f t="shared" si="27"/>
        <v>Error?</v>
      </c>
    </row>
    <row r="1811" spans="1:4" x14ac:dyDescent="0.2">
      <c r="A1811" s="5">
        <v>1750</v>
      </c>
      <c r="B1811" s="138">
        <f>'Tax Sched 23'!E7</f>
        <v>350282</v>
      </c>
      <c r="D1811" s="2" t="str">
        <f t="shared" si="27"/>
        <v>Error?</v>
      </c>
    </row>
    <row r="1812" spans="1:4" x14ac:dyDescent="0.2">
      <c r="A1812" s="5">
        <v>1751</v>
      </c>
      <c r="B1812" s="138">
        <f>'Tax Sched 23'!E8</f>
        <v>250069</v>
      </c>
      <c r="D1812" s="2" t="str">
        <f t="shared" si="27"/>
        <v>Error?</v>
      </c>
    </row>
    <row r="1813" spans="1:4" x14ac:dyDescent="0.2">
      <c r="A1813" s="5">
        <v>1752</v>
      </c>
      <c r="B1813" s="138">
        <f>'Tax Sched 23'!E10</f>
        <v>87570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650086</v>
      </c>
      <c r="D1816" s="2" t="str">
        <f t="shared" si="27"/>
        <v>Error?</v>
      </c>
    </row>
    <row r="1817" spans="1:4" x14ac:dyDescent="0.2">
      <c r="A1817" s="5">
        <v>1756</v>
      </c>
      <c r="B1817" s="138">
        <f>'Tax Sched 23'!E12</f>
        <v>87570</v>
      </c>
      <c r="D1817" s="2" t="str">
        <f t="shared" si="27"/>
        <v>Error?</v>
      </c>
    </row>
    <row r="1818" spans="1:4" x14ac:dyDescent="0.2">
      <c r="A1818" s="5">
        <v>1757</v>
      </c>
      <c r="B1818" s="138">
        <f>'Tax Sched 23'!E14</f>
        <v>70056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9753407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68346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68346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68346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26017911</v>
      </c>
      <c r="D2009" s="2" t="str">
        <f t="shared" si="30"/>
        <v>Error?</v>
      </c>
    </row>
    <row r="2010" spans="1:4" x14ac:dyDescent="0.2">
      <c r="A2010" s="5">
        <v>1949</v>
      </c>
      <c r="B2010" s="138">
        <f>'Cap Outlay Deprec 26'!C10</f>
        <v>1320192</v>
      </c>
      <c r="D2010" s="2" t="str">
        <f t="shared" si="30"/>
        <v>Error?</v>
      </c>
    </row>
    <row r="2011" spans="1:4" x14ac:dyDescent="0.2">
      <c r="A2011" s="5">
        <v>1950</v>
      </c>
      <c r="B2011" s="138">
        <f>'Cap Outlay Deprec 26'!C12</f>
        <v>5030668</v>
      </c>
      <c r="D2011" s="2" t="str">
        <f t="shared" si="30"/>
        <v>Error?</v>
      </c>
    </row>
    <row r="2012" spans="1:4" x14ac:dyDescent="0.2">
      <c r="A2012" s="5">
        <v>1951</v>
      </c>
      <c r="B2012" s="138">
        <f>'Cap Outlay Deprec 26'!C13</f>
        <v>1699159</v>
      </c>
      <c r="D2012" s="2" t="str">
        <f t="shared" si="30"/>
        <v>Error?</v>
      </c>
    </row>
    <row r="2013" spans="1:4" x14ac:dyDescent="0.2">
      <c r="A2013" s="5">
        <v>1952</v>
      </c>
      <c r="B2013" s="138">
        <f>'Cap Outlay Deprec 26'!C16</f>
        <v>34067930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6405</v>
      </c>
      <c r="D2016" s="2" t="str">
        <f t="shared" si="30"/>
        <v>Error?</v>
      </c>
    </row>
    <row r="2017" spans="1:4" x14ac:dyDescent="0.2">
      <c r="A2017" s="5">
        <v>1956</v>
      </c>
      <c r="B2017" s="138">
        <f>'Cap Outlay Deprec 26'!D12</f>
        <v>110350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116755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26017911</v>
      </c>
      <c r="C2027" s="2" t="s">
        <v>573</v>
      </c>
      <c r="D2027" s="2" t="str">
        <f t="shared" si="30"/>
        <v>Error?</v>
      </c>
    </row>
    <row r="2028" spans="1:4" x14ac:dyDescent="0.2">
      <c r="A2028" s="5">
        <v>1967</v>
      </c>
      <c r="B2028" s="138">
        <f>'Cap Outlay Deprec 26'!F10</f>
        <v>1326597</v>
      </c>
      <c r="C2028" s="2" t="s">
        <v>573</v>
      </c>
      <c r="D2028" s="2" t="str">
        <f t="shared" si="30"/>
        <v>Error?</v>
      </c>
    </row>
    <row r="2029" spans="1:4" x14ac:dyDescent="0.2">
      <c r="A2029" s="5">
        <v>1968</v>
      </c>
      <c r="B2029" s="138">
        <f>'Cap Outlay Deprec 26'!F12</f>
        <v>5141018</v>
      </c>
      <c r="C2029" s="2" t="s">
        <v>573</v>
      </c>
      <c r="D2029" s="2" t="str">
        <f t="shared" si="30"/>
        <v>Error?</v>
      </c>
    </row>
    <row r="2030" spans="1:4" x14ac:dyDescent="0.2">
      <c r="A2030" s="5">
        <v>1969</v>
      </c>
      <c r="B2030" s="138">
        <f>'Cap Outlay Deprec 26'!F13</f>
        <v>1699159</v>
      </c>
      <c r="C2030" s="2" t="s">
        <v>573</v>
      </c>
      <c r="D2030" s="2" t="str">
        <f t="shared" si="30"/>
        <v>Error?</v>
      </c>
    </row>
    <row r="2031" spans="1:4" x14ac:dyDescent="0.2">
      <c r="A2031" s="5">
        <v>1970</v>
      </c>
      <c r="B2031" s="138">
        <f>'Cap Outlay Deprec 26'!F16</f>
        <v>34184685</v>
      </c>
      <c r="C2031" s="2" t="s">
        <v>573</v>
      </c>
      <c r="D2031" s="2" t="str">
        <f t="shared" si="30"/>
        <v>Error?</v>
      </c>
    </row>
    <row r="2032" spans="1:4" x14ac:dyDescent="0.2">
      <c r="A2032" s="10">
        <v>1971</v>
      </c>
      <c r="D2032" s="2" t="str">
        <f t="shared" si="30"/>
        <v>OK</v>
      </c>
    </row>
    <row r="2033" spans="1:4" x14ac:dyDescent="0.2">
      <c r="A2033" s="5">
        <v>1972</v>
      </c>
      <c r="B2033" s="138">
        <f>'Cap Outlay Deprec 26'!H8</f>
        <v>17121714</v>
      </c>
      <c r="D2033" s="2" t="str">
        <f t="shared" si="30"/>
        <v>Error?</v>
      </c>
    </row>
    <row r="2034" spans="1:4" x14ac:dyDescent="0.2">
      <c r="A2034" s="5">
        <v>1973</v>
      </c>
      <c r="B2034" s="138">
        <f>'Cap Outlay Deprec 26'!H10</f>
        <v>529937</v>
      </c>
      <c r="D2034" s="2" t="str">
        <f t="shared" si="30"/>
        <v>Error?</v>
      </c>
    </row>
    <row r="2035" spans="1:4" x14ac:dyDescent="0.2">
      <c r="A2035" s="5">
        <v>1974</v>
      </c>
      <c r="B2035" s="138">
        <f>'Cap Outlay Deprec 26'!H12</f>
        <v>4693815</v>
      </c>
      <c r="D2035" s="2" t="str">
        <f t="shared" si="30"/>
        <v>Error?</v>
      </c>
    </row>
    <row r="2036" spans="1:4" x14ac:dyDescent="0.2">
      <c r="A2036" s="5">
        <v>1975</v>
      </c>
      <c r="B2036" s="138">
        <f>'Cap Outlay Deprec 26'!H13</f>
        <v>1668806</v>
      </c>
      <c r="D2036" s="2" t="str">
        <f t="shared" si="30"/>
        <v>Error?</v>
      </c>
    </row>
    <row r="2037" spans="1:4" x14ac:dyDescent="0.2">
      <c r="A2037" s="5">
        <v>1976</v>
      </c>
      <c r="B2037" s="138">
        <f>'Cap Outlay Deprec 26'!H16</f>
        <v>24014272</v>
      </c>
      <c r="C2037" s="2" t="s">
        <v>573</v>
      </c>
      <c r="D2037" s="2" t="str">
        <f t="shared" si="30"/>
        <v>Error?</v>
      </c>
    </row>
    <row r="2038" spans="1:4" x14ac:dyDescent="0.2">
      <c r="A2038" s="10">
        <v>1977</v>
      </c>
      <c r="D2038" s="2" t="str">
        <f t="shared" si="30"/>
        <v>OK</v>
      </c>
    </row>
    <row r="2039" spans="1:4" x14ac:dyDescent="0.2">
      <c r="A2039" s="5">
        <v>1978</v>
      </c>
      <c r="B2039" s="138">
        <f>'Cap Outlay Deprec 26'!I8</f>
        <v>272569</v>
      </c>
      <c r="D2039" s="2" t="str">
        <f t="shared" si="30"/>
        <v>Error?</v>
      </c>
    </row>
    <row r="2040" spans="1:4" x14ac:dyDescent="0.2">
      <c r="A2040" s="5">
        <v>1979</v>
      </c>
      <c r="B2040" s="138">
        <f>'Cap Outlay Deprec 26'!I10</f>
        <v>63018</v>
      </c>
      <c r="D2040" s="2" t="str">
        <f t="shared" si="30"/>
        <v>Error?</v>
      </c>
    </row>
    <row r="2041" spans="1:4" x14ac:dyDescent="0.2">
      <c r="A2041" s="5">
        <v>1980</v>
      </c>
      <c r="B2041" s="138">
        <f>'Cap Outlay Deprec 26'!I12</f>
        <v>108341</v>
      </c>
      <c r="D2041" s="2" t="str">
        <f t="shared" si="30"/>
        <v>Error?</v>
      </c>
    </row>
    <row r="2042" spans="1:4" x14ac:dyDescent="0.2">
      <c r="A2042" s="5">
        <v>1981</v>
      </c>
      <c r="B2042" s="138">
        <f>'Cap Outlay Deprec 26'!I13</f>
        <v>15309</v>
      </c>
      <c r="D2042" s="2" t="str">
        <f t="shared" si="30"/>
        <v>Error?</v>
      </c>
    </row>
    <row r="2043" spans="1:4" x14ac:dyDescent="0.2">
      <c r="A2043" s="5">
        <v>1982</v>
      </c>
      <c r="B2043" s="138">
        <f>'Cap Outlay Deprec 26'!I16</f>
        <v>459237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17394283</v>
      </c>
      <c r="C2051" s="2" t="s">
        <v>573</v>
      </c>
      <c r="D2051" s="2" t="str">
        <f t="shared" si="31"/>
        <v>Error?</v>
      </c>
    </row>
    <row r="2052" spans="1:4" x14ac:dyDescent="0.2">
      <c r="A2052" s="5">
        <v>1991</v>
      </c>
      <c r="B2052" s="138">
        <f>'Cap Outlay Deprec 26'!K10</f>
        <v>592955</v>
      </c>
      <c r="C2052" s="2" t="s">
        <v>573</v>
      </c>
      <c r="D2052" s="2" t="str">
        <f t="shared" si="31"/>
        <v>Error?</v>
      </c>
    </row>
    <row r="2053" spans="1:4" x14ac:dyDescent="0.2">
      <c r="A2053" s="5">
        <v>1992</v>
      </c>
      <c r="B2053" s="138">
        <f>'Cap Outlay Deprec 26'!K12</f>
        <v>4802156</v>
      </c>
      <c r="C2053" s="2" t="s">
        <v>573</v>
      </c>
      <c r="D2053" s="2" t="str">
        <f t="shared" si="31"/>
        <v>Error?</v>
      </c>
    </row>
    <row r="2054" spans="1:4" x14ac:dyDescent="0.2">
      <c r="A2054" s="5">
        <v>1993</v>
      </c>
      <c r="B2054" s="138">
        <f>'Cap Outlay Deprec 26'!K13</f>
        <v>1684115</v>
      </c>
      <c r="C2054" s="2" t="s">
        <v>573</v>
      </c>
      <c r="D2054" s="2" t="str">
        <f t="shared" si="31"/>
        <v>Error?</v>
      </c>
    </row>
    <row r="2055" spans="1:4" x14ac:dyDescent="0.2">
      <c r="A2055" s="5">
        <v>1994</v>
      </c>
      <c r="B2055" s="138">
        <f>'Cap Outlay Deprec 26'!K16</f>
        <v>24473509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8623628</v>
      </c>
      <c r="C2057" s="2" t="s">
        <v>573</v>
      </c>
      <c r="D2057" s="2" t="str">
        <f t="shared" si="31"/>
        <v>Error?</v>
      </c>
    </row>
    <row r="2058" spans="1:4" x14ac:dyDescent="0.2">
      <c r="A2058" s="5">
        <v>1997</v>
      </c>
      <c r="B2058" s="138">
        <f>'Cap Outlay Deprec 26'!L10</f>
        <v>733642</v>
      </c>
      <c r="C2058" s="2" t="s">
        <v>573</v>
      </c>
      <c r="D2058" s="2" t="str">
        <f t="shared" si="31"/>
        <v>Error?</v>
      </c>
    </row>
    <row r="2059" spans="1:4" x14ac:dyDescent="0.2">
      <c r="A2059" s="5">
        <v>1998</v>
      </c>
      <c r="B2059" s="138">
        <f>'Cap Outlay Deprec 26'!L12</f>
        <v>338862</v>
      </c>
      <c r="C2059" s="2" t="s">
        <v>573</v>
      </c>
      <c r="D2059" s="2" t="str">
        <f t="shared" si="31"/>
        <v>Error?</v>
      </c>
    </row>
    <row r="2060" spans="1:4" x14ac:dyDescent="0.2">
      <c r="A2060" s="5">
        <v>1999</v>
      </c>
      <c r="B2060" s="138">
        <f>'Cap Outlay Deprec 26'!L13</f>
        <v>15044</v>
      </c>
      <c r="C2060" s="2" t="s">
        <v>573</v>
      </c>
      <c r="D2060" s="2" t="str">
        <f t="shared" si="31"/>
        <v>Error?</v>
      </c>
    </row>
    <row r="2061" spans="1:4" x14ac:dyDescent="0.2">
      <c r="A2061" s="5">
        <v>2000</v>
      </c>
      <c r="B2061" s="138">
        <f>'Cap Outlay Deprec 26'!L16</f>
        <v>9711176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257372</v>
      </c>
      <c r="C2088" s="2" t="s">
        <v>573</v>
      </c>
      <c r="D2088" s="2" t="str">
        <f t="shared" si="31"/>
        <v>Error?</v>
      </c>
    </row>
    <row r="2089" spans="1:4" x14ac:dyDescent="0.2">
      <c r="A2089" s="5">
        <v>2028</v>
      </c>
      <c r="B2089" s="138">
        <f>'Expenditures 15-22'!K92</f>
        <v>78157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179552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6805063</v>
      </c>
      <c r="C2551" s="2" t="s">
        <v>573</v>
      </c>
      <c r="D2551" s="2" t="str">
        <f t="shared" si="38"/>
        <v>Error?</v>
      </c>
    </row>
    <row r="2552" spans="1:4" x14ac:dyDescent="0.2">
      <c r="A2552" s="10">
        <v>2491</v>
      </c>
      <c r="D2552" s="2" t="str">
        <f t="shared" si="38"/>
        <v>OK</v>
      </c>
    </row>
    <row r="2553" spans="1:4" x14ac:dyDescent="0.2">
      <c r="A2553" s="5">
        <v>2492</v>
      </c>
      <c r="B2553" s="138">
        <f>'Acct Summary 7-8'!C6</f>
        <v>3075600</v>
      </c>
      <c r="C2553" s="2" t="s">
        <v>573</v>
      </c>
      <c r="D2553" s="2" t="str">
        <f t="shared" si="38"/>
        <v>Error?</v>
      </c>
    </row>
    <row r="2554" spans="1:4" x14ac:dyDescent="0.2">
      <c r="A2554" s="5">
        <v>2493</v>
      </c>
      <c r="B2554" s="138">
        <f>'Acct Summary 7-8'!C7</f>
        <v>412995</v>
      </c>
      <c r="C2554" s="2" t="s">
        <v>573</v>
      </c>
      <c r="D2554" s="2" t="str">
        <f t="shared" si="38"/>
        <v>Error?</v>
      </c>
    </row>
    <row r="2555" spans="1:4" x14ac:dyDescent="0.2">
      <c r="A2555" s="5">
        <v>2494</v>
      </c>
      <c r="B2555" s="138">
        <f>'Acct Summary 7-8'!C8</f>
        <v>10293658</v>
      </c>
      <c r="C2555" s="2" t="s">
        <v>573</v>
      </c>
      <c r="D2555" s="2" t="str">
        <f t="shared" si="38"/>
        <v>Error?</v>
      </c>
    </row>
    <row r="2556" spans="1:4" x14ac:dyDescent="0.2">
      <c r="A2556" s="5">
        <v>2495</v>
      </c>
      <c r="B2556" s="138">
        <f>'Acct Summary 7-8'!C12</f>
        <v>7461578</v>
      </c>
      <c r="C2556" s="2" t="s">
        <v>573</v>
      </c>
      <c r="D2556" s="2" t="str">
        <f t="shared" si="38"/>
        <v>Error?</v>
      </c>
    </row>
    <row r="2557" spans="1:4" x14ac:dyDescent="0.2">
      <c r="A2557" s="5">
        <v>2496</v>
      </c>
      <c r="B2557" s="138">
        <f>'Acct Summary 7-8'!C13</f>
        <v>2357135</v>
      </c>
      <c r="C2557" s="2" t="s">
        <v>573</v>
      </c>
      <c r="D2557" s="2" t="str">
        <f t="shared" si="38"/>
        <v>Error?</v>
      </c>
    </row>
    <row r="2558" spans="1:4" x14ac:dyDescent="0.2">
      <c r="A2558" s="5">
        <v>2497</v>
      </c>
      <c r="B2558" s="138">
        <f>'Acct Summary 7-8'!C14</f>
        <v>5111</v>
      </c>
      <c r="C2558" s="2" t="s">
        <v>573</v>
      </c>
      <c r="D2558" s="2" t="str">
        <f t="shared" si="38"/>
        <v>Error?</v>
      </c>
    </row>
    <row r="2559" spans="1:4" x14ac:dyDescent="0.2">
      <c r="A2559" s="5">
        <v>2498</v>
      </c>
      <c r="B2559" s="138">
        <f>'Acct Summary 7-8'!C15</f>
        <v>344529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10168353</v>
      </c>
      <c r="C2561" s="2" t="s">
        <v>573</v>
      </c>
      <c r="D2561" s="2" t="str">
        <f t="shared" si="39"/>
        <v>Error?</v>
      </c>
    </row>
    <row r="2562" spans="1:4" x14ac:dyDescent="0.2">
      <c r="A2562" s="5">
        <v>2501</v>
      </c>
      <c r="B2562" s="138">
        <f>'Acct Summary 7-8'!C20</f>
        <v>125305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940153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940153</v>
      </c>
      <c r="C2568" s="2" t="s">
        <v>573</v>
      </c>
      <c r="D2568" s="2" t="str">
        <f t="shared" si="39"/>
        <v>Error?</v>
      </c>
    </row>
    <row r="2569" spans="1:4" x14ac:dyDescent="0.2">
      <c r="A2569" s="5">
        <v>2508</v>
      </c>
      <c r="B2569" s="138">
        <f>'Acct Summary 7-8'!D13</f>
        <v>745936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745936</v>
      </c>
      <c r="C2573" s="2" t="s">
        <v>573</v>
      </c>
      <c r="D2573" s="2" t="str">
        <f t="shared" si="39"/>
        <v>Error?</v>
      </c>
    </row>
    <row r="2574" spans="1:4" x14ac:dyDescent="0.2">
      <c r="A2574" s="5">
        <v>2513</v>
      </c>
      <c r="B2574" s="138">
        <f>'Acct Summary 7-8'!D20</f>
        <v>194217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342224</v>
      </c>
      <c r="C2591" s="2" t="s">
        <v>573</v>
      </c>
      <c r="D2591" s="2" t="str">
        <f t="shared" si="39"/>
        <v>Error?</v>
      </c>
    </row>
    <row r="2592" spans="1:4" x14ac:dyDescent="0.2">
      <c r="A2592" s="10">
        <v>2531</v>
      </c>
      <c r="D2592" s="2" t="str">
        <f t="shared" si="39"/>
        <v>OK</v>
      </c>
    </row>
    <row r="2593" spans="1:4" x14ac:dyDescent="0.2">
      <c r="A2593" s="5">
        <v>2532</v>
      </c>
      <c r="B2593" s="138">
        <f>'Acct Summary 7-8'!F6</f>
        <v>277645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619869</v>
      </c>
      <c r="C2595" s="2" t="s">
        <v>573</v>
      </c>
      <c r="D2595" s="2" t="str">
        <f t="shared" si="39"/>
        <v>Error?</v>
      </c>
    </row>
    <row r="2596" spans="1:4" x14ac:dyDescent="0.2">
      <c r="A2596" s="5">
        <v>2535</v>
      </c>
      <c r="B2596" s="138">
        <f>'Acct Summary 7-8'!F13</f>
        <v>619245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619245</v>
      </c>
      <c r="C2600" s="2" t="s">
        <v>573</v>
      </c>
      <c r="D2600" s="2" t="str">
        <f t="shared" si="39"/>
        <v>Error?</v>
      </c>
    </row>
    <row r="2601" spans="1:4" x14ac:dyDescent="0.2">
      <c r="A2601" s="5">
        <v>2540</v>
      </c>
      <c r="B2601" s="138">
        <f>'Acct Summary 7-8'!F20</f>
        <v>624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455084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455084</v>
      </c>
      <c r="C2606" s="2" t="s">
        <v>573</v>
      </c>
      <c r="D2606" s="2" t="str">
        <f t="shared" si="39"/>
        <v>Error?</v>
      </c>
    </row>
    <row r="2607" spans="1:4" x14ac:dyDescent="0.2">
      <c r="A2607" s="5">
        <v>2546</v>
      </c>
      <c r="B2607" s="138">
        <f>'Acct Summary 7-8'!G12</f>
        <v>122653</v>
      </c>
      <c r="C2607" s="2" t="s">
        <v>573</v>
      </c>
      <c r="D2607" s="2" t="str">
        <f t="shared" si="39"/>
        <v>Error?</v>
      </c>
    </row>
    <row r="2608" spans="1:4" x14ac:dyDescent="0.2">
      <c r="A2608" s="5">
        <v>2547</v>
      </c>
      <c r="B2608" s="138">
        <f>'Acct Summary 7-8'!G13</f>
        <v>195019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317672</v>
      </c>
      <c r="C2612" s="2" t="s">
        <v>573</v>
      </c>
      <c r="D2612" s="2" t="str">
        <f t="shared" si="39"/>
        <v>Error?</v>
      </c>
    </row>
    <row r="2613" spans="1:4" x14ac:dyDescent="0.2">
      <c r="A2613" s="5">
        <v>2552</v>
      </c>
      <c r="B2613" s="138">
        <f>'Acct Summary 7-8'!G20</f>
        <v>137412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1065913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1065913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1054122</v>
      </c>
      <c r="C2634" s="2" t="s">
        <v>573</v>
      </c>
      <c r="D2634" s="2" t="str">
        <f t="shared" si="40"/>
        <v>Error?</v>
      </c>
    </row>
    <row r="2635" spans="1:4" x14ac:dyDescent="0.2">
      <c r="A2635" s="5">
        <v>2574</v>
      </c>
      <c r="B2635" s="138">
        <f>'Acct Summary 7-8'!E17</f>
        <v>1054122</v>
      </c>
      <c r="C2635" s="2" t="s">
        <v>573</v>
      </c>
      <c r="D2635" s="2" t="str">
        <f t="shared" si="40"/>
        <v>Error?</v>
      </c>
    </row>
    <row r="2636" spans="1:4" x14ac:dyDescent="0.2">
      <c r="A2636" s="5">
        <v>2575</v>
      </c>
      <c r="B2636" s="138">
        <f>'Acct Summary 7-8'!E20</f>
        <v>11791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229196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229196</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229196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257372</v>
      </c>
      <c r="C2789" s="2" t="s">
        <v>573</v>
      </c>
      <c r="D2789" s="2" t="str">
        <f t="shared" si="42"/>
        <v>Error?</v>
      </c>
    </row>
    <row r="2790" spans="1:4" x14ac:dyDescent="0.2">
      <c r="A2790" s="5">
        <v>2729</v>
      </c>
      <c r="B2790" s="138">
        <f>'Expenditures 15-22'!E102</f>
        <v>257372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1243763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1271072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235871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1271072</v>
      </c>
      <c r="D2912" s="2" t="str">
        <f t="shared" si="44"/>
        <v>Error?</v>
      </c>
    </row>
    <row r="2913" spans="1:4" x14ac:dyDescent="0.2">
      <c r="A2913" s="5">
        <v>2852</v>
      </c>
      <c r="B2913" s="138">
        <f>'Assets-Liab 5-6'!I41</f>
        <v>1271072</v>
      </c>
      <c r="C2913" s="2" t="s">
        <v>573</v>
      </c>
      <c r="D2913" s="2" t="str">
        <f t="shared" si="44"/>
        <v>Error?</v>
      </c>
    </row>
    <row r="2914" spans="1:4" x14ac:dyDescent="0.2">
      <c r="A2914" s="5">
        <v>2853</v>
      </c>
      <c r="B2914" s="138">
        <f>'Assets-Liab 5-6'!L33</f>
        <v>235871</v>
      </c>
      <c r="D2914" s="2" t="str">
        <f t="shared" si="44"/>
        <v>Error?</v>
      </c>
    </row>
    <row r="2915" spans="1:4" x14ac:dyDescent="0.2">
      <c r="A2915" s="10">
        <v>2854</v>
      </c>
      <c r="D2915" s="2" t="str">
        <f t="shared" si="44"/>
        <v>OK</v>
      </c>
    </row>
    <row r="2916" spans="1:4" x14ac:dyDescent="0.2">
      <c r="A2916" s="5">
        <v>2855</v>
      </c>
      <c r="B2916" s="138">
        <f>'Assets-Liab 5-6'!L34</f>
        <v>235871</v>
      </c>
      <c r="C2916" s="2" t="s">
        <v>573</v>
      </c>
      <c r="D2916" s="2" t="str">
        <f t="shared" si="44"/>
        <v>Error?</v>
      </c>
    </row>
    <row r="2917" spans="1:4" x14ac:dyDescent="0.2">
      <c r="A2917" s="5">
        <v>2856</v>
      </c>
      <c r="B2917" s="138">
        <f>'Assets-Liab 5-6'!L41</f>
        <v>235871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254372</v>
      </c>
      <c r="D2950" s="2" t="str">
        <f t="shared" si="45"/>
        <v>Error?</v>
      </c>
    </row>
    <row r="2951" spans="1:4" x14ac:dyDescent="0.2">
      <c r="A2951" s="5">
        <v>2890</v>
      </c>
      <c r="B2951" s="138">
        <f>'Expenditures 15-22'!E80</f>
        <v>3000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254372</v>
      </c>
      <c r="C2974" s="2" t="s">
        <v>573</v>
      </c>
      <c r="D2974" s="2" t="str">
        <f t="shared" si="45"/>
        <v>Error?</v>
      </c>
    </row>
    <row r="2975" spans="1:4" x14ac:dyDescent="0.2">
      <c r="A2975" s="5">
        <v>2914</v>
      </c>
      <c r="B2975" s="138">
        <f>'Expenditures 15-22'!K80</f>
        <v>3000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178439</v>
      </c>
      <c r="D3055" s="2" t="str">
        <f t="shared" si="46"/>
        <v>Error?</v>
      </c>
    </row>
    <row r="3056" spans="1:4" x14ac:dyDescent="0.2">
      <c r="A3056" s="5">
        <v>2995</v>
      </c>
      <c r="B3056" s="138">
        <f>'Expenditures 15-22'!D10</f>
        <v>46444</v>
      </c>
      <c r="D3056" s="2" t="str">
        <f t="shared" si="46"/>
        <v>Error?</v>
      </c>
    </row>
    <row r="3057" spans="1:4" x14ac:dyDescent="0.2">
      <c r="A3057" s="5">
        <v>2996</v>
      </c>
      <c r="B3057" s="138">
        <f>'Expenditures 15-22'!E10</f>
        <v>104</v>
      </c>
      <c r="D3057" s="2" t="str">
        <f t="shared" si="46"/>
        <v>Error?</v>
      </c>
    </row>
    <row r="3058" spans="1:4" x14ac:dyDescent="0.2">
      <c r="A3058" s="5">
        <v>2997</v>
      </c>
      <c r="B3058" s="138">
        <f>'Expenditures 15-22'!F10</f>
        <v>109551</v>
      </c>
      <c r="D3058" s="2" t="str">
        <f t="shared" si="46"/>
        <v>Error?</v>
      </c>
    </row>
    <row r="3059" spans="1:4" x14ac:dyDescent="0.2">
      <c r="A3059" s="5">
        <v>2998</v>
      </c>
      <c r="B3059" s="138">
        <f>'Expenditures 15-22'!G10</f>
        <v>1944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336482</v>
      </c>
      <c r="C3062" s="2" t="s">
        <v>573</v>
      </c>
      <c r="D3062" s="2" t="str">
        <f t="shared" si="46"/>
        <v>Error?</v>
      </c>
    </row>
    <row r="3063" spans="1:4" x14ac:dyDescent="0.2">
      <c r="A3063" s="10">
        <v>3002</v>
      </c>
      <c r="D3063" s="2" t="str">
        <f t="shared" si="46"/>
        <v>OK</v>
      </c>
    </row>
    <row r="3064" spans="1:4" x14ac:dyDescent="0.2">
      <c r="A3064" s="5">
        <v>3003</v>
      </c>
      <c r="B3064" s="138">
        <f>'Expenditures 15-22'!D219</f>
        <v>2496</v>
      </c>
      <c r="D3064" s="2" t="str">
        <f t="shared" si="46"/>
        <v>Error?</v>
      </c>
    </row>
    <row r="3065" spans="1:4" x14ac:dyDescent="0.2">
      <c r="A3065" s="5">
        <v>3004</v>
      </c>
      <c r="B3065" s="138">
        <f>'Expenditures 15-22'!K219</f>
        <v>2496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85432</v>
      </c>
      <c r="C3225" s="2" t="s">
        <v>573</v>
      </c>
      <c r="D3225" s="2" t="str">
        <f t="shared" si="49"/>
        <v>Error?</v>
      </c>
    </row>
    <row r="3226" spans="1:4" x14ac:dyDescent="0.2">
      <c r="A3226" s="5">
        <v>3165</v>
      </c>
      <c r="B3226" s="138">
        <f>'Acct Summary 7-8'!I8</f>
        <v>85432</v>
      </c>
      <c r="C3226" s="2" t="s">
        <v>573</v>
      </c>
      <c r="D3226" s="2" t="str">
        <f t="shared" si="49"/>
        <v>Error?</v>
      </c>
    </row>
    <row r="3227" spans="1:4" x14ac:dyDescent="0.2">
      <c r="A3227" s="5">
        <v>3166</v>
      </c>
      <c r="B3227" s="138">
        <f>'Acct Summary 7-8'!I20</f>
        <v>85432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125305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194217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137412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11791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229196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85432</v>
      </c>
      <c r="C3320" s="2" t="s">
        <v>573</v>
      </c>
      <c r="D3320" s="2" t="str">
        <f t="shared" si="50"/>
        <v>Error?</v>
      </c>
    </row>
    <row r="3321" spans="1:4" x14ac:dyDescent="0.2">
      <c r="A3321" s="5">
        <v>3260</v>
      </c>
      <c r="B3321" s="138">
        <f>'Acct Summary 7-8'!I79</f>
        <v>1185640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1271072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881246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201731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1771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442293</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1091490</v>
      </c>
      <c r="C3380" s="2" t="s">
        <v>573</v>
      </c>
      <c r="D3380" s="2" t="str">
        <f t="shared" si="51"/>
        <v>Error?</v>
      </c>
    </row>
    <row r="3381" spans="1:4" x14ac:dyDescent="0.2">
      <c r="A3381" s="5">
        <v>3320</v>
      </c>
      <c r="B3381" s="138">
        <f>'Expenditures 15-22'!K19</f>
        <v>442293</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67948</v>
      </c>
      <c r="D3387" s="2" t="str">
        <f t="shared" si="51"/>
        <v>Error?</v>
      </c>
    </row>
    <row r="3388" spans="1:4" x14ac:dyDescent="0.2">
      <c r="A3388" s="5">
        <v>3327</v>
      </c>
      <c r="B3388" s="138">
        <f>'Expenditures 15-22'!D217</f>
        <v>34455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67948</v>
      </c>
      <c r="C3390" s="2" t="s">
        <v>573</v>
      </c>
      <c r="D3390" s="2" t="str">
        <f t="shared" si="51"/>
        <v>Error?</v>
      </c>
    </row>
    <row r="3391" spans="1:4" x14ac:dyDescent="0.2">
      <c r="A3391" s="5">
        <v>3330</v>
      </c>
      <c r="B3391" s="138">
        <f>'Expenditures 15-22'!K217</f>
        <v>34455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486528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28162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3040</v>
      </c>
      <c r="D3417" s="2" t="str">
        <f t="shared" si="52"/>
        <v>Error?</v>
      </c>
    </row>
    <row r="3418" spans="1:4" x14ac:dyDescent="0.2">
      <c r="A3418" s="10">
        <v>3357</v>
      </c>
      <c r="D3418" s="2" t="str">
        <f t="shared" si="52"/>
        <v>OK</v>
      </c>
    </row>
    <row r="3419" spans="1:4" x14ac:dyDescent="0.2">
      <c r="A3419" s="5">
        <v>3358</v>
      </c>
      <c r="B3419" s="138">
        <f>'Assets-Liab 5-6'!F4</f>
        <v>14743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67192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36600</v>
      </c>
      <c r="D3425" s="2" t="str">
        <f t="shared" si="52"/>
        <v>Error?</v>
      </c>
    </row>
    <row r="3426" spans="1:4" x14ac:dyDescent="0.2">
      <c r="A3426" s="10">
        <v>3365</v>
      </c>
      <c r="D3426" s="2" t="str">
        <f t="shared" si="52"/>
        <v>OK</v>
      </c>
    </row>
    <row r="3427" spans="1:4" x14ac:dyDescent="0.2">
      <c r="A3427" s="5">
        <v>3366</v>
      </c>
      <c r="B3427" s="138">
        <f>'Assets-Liab 5-6'!I4</f>
        <v>27309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235871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213384</v>
      </c>
      <c r="C3446" s="2" t="s">
        <v>573</v>
      </c>
      <c r="D3446" s="2" t="str">
        <f t="shared" si="52"/>
        <v>Error?</v>
      </c>
    </row>
    <row r="3447" spans="1:4" x14ac:dyDescent="0.2">
      <c r="A3447" s="5">
        <v>3386</v>
      </c>
      <c r="B3447" s="138">
        <f>'Tax Sched 23'!D16</f>
        <v>182678</v>
      </c>
      <c r="C3447" s="2" t="s">
        <v>573</v>
      </c>
      <c r="D3447" s="2" t="str">
        <f t="shared" si="52"/>
        <v>Error?</v>
      </c>
    </row>
    <row r="3448" spans="1:4" x14ac:dyDescent="0.2">
      <c r="A3448" s="5">
        <v>3387</v>
      </c>
      <c r="B3448" s="138">
        <f>'Tax Sched 23'!C16</f>
        <v>30706</v>
      </c>
      <c r="D3448" s="2" t="str">
        <f t="shared" si="52"/>
        <v>Error?</v>
      </c>
    </row>
    <row r="3449" spans="1:4" x14ac:dyDescent="0.2">
      <c r="A3449" s="5">
        <v>3388</v>
      </c>
      <c r="B3449" s="138">
        <f>'Tax Sched 23'!F16</f>
        <v>169300</v>
      </c>
      <c r="C3449" s="2" t="s">
        <v>573</v>
      </c>
      <c r="D3449" s="2" t="str">
        <f t="shared" si="52"/>
        <v>Error?</v>
      </c>
    </row>
    <row r="3450" spans="1:4" x14ac:dyDescent="0.2">
      <c r="A3450" s="5">
        <v>3389</v>
      </c>
      <c r="B3450" s="138">
        <f>'Tax Sched 23'!E16</f>
        <v>200006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22531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245459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267990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267990</v>
      </c>
      <c r="D3567" s="2" t="str">
        <f t="shared" si="54"/>
        <v>Error?</v>
      </c>
    </row>
    <row r="3568" spans="1:4" x14ac:dyDescent="0.2">
      <c r="A3568" s="5">
        <v>3507</v>
      </c>
      <c r="B3568" s="138">
        <f>'Assets-Liab 5-6'!K41</f>
        <v>267990</v>
      </c>
      <c r="C3568" s="2" t="s">
        <v>573</v>
      </c>
      <c r="D3568" s="2" t="str">
        <f t="shared" si="54"/>
        <v>Error?</v>
      </c>
    </row>
    <row r="3569" spans="1:4" x14ac:dyDescent="0.2">
      <c r="A3569" s="5">
        <v>3508</v>
      </c>
      <c r="B3569" s="138">
        <f>'Acct Summary 7-8'!K4</f>
        <v>90310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90310</v>
      </c>
      <c r="C3571" s="2" t="s">
        <v>573</v>
      </c>
      <c r="D3571" s="2" t="str">
        <f t="shared" si="54"/>
        <v>Error?</v>
      </c>
    </row>
    <row r="3572" spans="1:4" x14ac:dyDescent="0.2">
      <c r="A3572" s="5">
        <v>3511</v>
      </c>
      <c r="B3572" s="138">
        <f>'Acct Summary 7-8'!K13</f>
        <v>13338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13338</v>
      </c>
      <c r="C3575" s="2" t="s">
        <v>573</v>
      </c>
      <c r="D3575" s="2" t="str">
        <f t="shared" si="54"/>
        <v>Error?</v>
      </c>
    </row>
    <row r="3576" spans="1:4" x14ac:dyDescent="0.2">
      <c r="A3576" s="5">
        <v>3515</v>
      </c>
      <c r="B3576" s="138">
        <f>'Acct Summary 7-8'!K20</f>
        <v>76972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76972</v>
      </c>
      <c r="C3588" s="2" t="s">
        <v>573</v>
      </c>
      <c r="D3588" s="2" t="str">
        <f t="shared" si="55"/>
        <v>Error?</v>
      </c>
    </row>
    <row r="3589" spans="1:4" x14ac:dyDescent="0.2">
      <c r="A3589" s="5">
        <v>3528</v>
      </c>
      <c r="B3589" s="138">
        <f>'Acct Summary 7-8'!K79</f>
        <v>191018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267990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3924</v>
      </c>
      <c r="D3632" s="2" t="str">
        <f t="shared" si="55"/>
        <v>Error?</v>
      </c>
    </row>
    <row r="3633" spans="1:4" x14ac:dyDescent="0.2">
      <c r="A3633" s="5">
        <v>3572</v>
      </c>
      <c r="B3633" s="138">
        <f>'Expenditures 15-22'!E350</f>
        <v>3924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3924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80</v>
      </c>
      <c r="D3639" s="2" t="str">
        <f t="shared" si="55"/>
        <v>Error?</v>
      </c>
    </row>
    <row r="3640" spans="1:4" x14ac:dyDescent="0.2">
      <c r="A3640" s="5">
        <v>3579</v>
      </c>
      <c r="B3640" s="138">
        <f>'Expenditures 15-22'!F350</f>
        <v>80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80</v>
      </c>
      <c r="C3642" s="2" t="s">
        <v>573</v>
      </c>
      <c r="D3642" s="2" t="str">
        <f t="shared" si="55"/>
        <v>Error?</v>
      </c>
    </row>
    <row r="3643" spans="1:4" x14ac:dyDescent="0.2">
      <c r="A3643" s="5">
        <v>3582</v>
      </c>
      <c r="B3643" s="138">
        <f>'Expenditures 15-22'!F367</f>
        <v>80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9334</v>
      </c>
      <c r="D3646" s="2" t="str">
        <f t="shared" si="55"/>
        <v>Error?</v>
      </c>
    </row>
    <row r="3647" spans="1:4" x14ac:dyDescent="0.2">
      <c r="A3647" s="5">
        <v>3586</v>
      </c>
      <c r="B3647" s="138">
        <f>'Expenditures 15-22'!G350</f>
        <v>9334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9334</v>
      </c>
      <c r="C3649" s="2" t="s">
        <v>573</v>
      </c>
      <c r="D3649" s="2" t="str">
        <f t="shared" si="56"/>
        <v>Error?</v>
      </c>
    </row>
    <row r="3650" spans="1:4" x14ac:dyDescent="0.2">
      <c r="A3650" s="5">
        <v>3589</v>
      </c>
      <c r="B3650" s="138">
        <f>'Expenditures 15-22'!G367</f>
        <v>9334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13338</v>
      </c>
      <c r="C3669" s="2" t="s">
        <v>573</v>
      </c>
      <c r="D3669" s="2" t="str">
        <f t="shared" si="56"/>
        <v>Error?</v>
      </c>
    </row>
    <row r="3670" spans="1:4" x14ac:dyDescent="0.2">
      <c r="A3670" s="5">
        <v>3609</v>
      </c>
      <c r="B3670" s="138">
        <f>'Expenditures 15-22'!K350</f>
        <v>13338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13338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13338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76972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85432</v>
      </c>
      <c r="C3725" s="2" t="s">
        <v>573</v>
      </c>
      <c r="D3725" s="2" t="str">
        <f t="shared" si="57"/>
        <v>Error?</v>
      </c>
    </row>
    <row r="3726" spans="1:4" x14ac:dyDescent="0.2">
      <c r="A3726" s="5">
        <v>3665</v>
      </c>
      <c r="B3726" s="138">
        <f>'Tax Sched 23'!D13</f>
        <v>71986</v>
      </c>
      <c r="C3726" s="2" t="s">
        <v>573</v>
      </c>
      <c r="D3726" s="2" t="str">
        <f t="shared" si="57"/>
        <v>Error?</v>
      </c>
    </row>
    <row r="3727" spans="1:4" x14ac:dyDescent="0.2">
      <c r="A3727" s="5">
        <v>3666</v>
      </c>
      <c r="B3727" s="138">
        <f>'Tax Sched 23'!C13</f>
        <v>13446</v>
      </c>
      <c r="D3727" s="2" t="str">
        <f t="shared" si="57"/>
        <v>Error?</v>
      </c>
    </row>
    <row r="3728" spans="1:4" x14ac:dyDescent="0.2">
      <c r="A3728" s="5">
        <v>3667</v>
      </c>
      <c r="B3728" s="138">
        <f>'Tax Sched 23'!F13</f>
        <v>74124</v>
      </c>
      <c r="C3728" s="2" t="s">
        <v>573</v>
      </c>
      <c r="D3728" s="2" t="str">
        <f t="shared" si="57"/>
        <v>Error?</v>
      </c>
    </row>
    <row r="3729" spans="1:4" x14ac:dyDescent="0.2">
      <c r="A3729" s="5">
        <v>3668</v>
      </c>
      <c r="B3729" s="138">
        <f>'Tax Sched 23'!E13</f>
        <v>87570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4471569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14765227</v>
      </c>
      <c r="C4122" s="2" t="s">
        <v>573</v>
      </c>
      <c r="D4122" s="2" t="str">
        <f t="shared" si="63"/>
        <v>Error?</v>
      </c>
    </row>
    <row r="4123" spans="1:4" x14ac:dyDescent="0.2">
      <c r="A4123" s="5">
        <v>4062</v>
      </c>
      <c r="B4123" s="138">
        <f>'Acct Summary 7-8'!D10</f>
        <v>940153</v>
      </c>
      <c r="C4123" s="2" t="s">
        <v>573</v>
      </c>
      <c r="D4123" s="2" t="str">
        <f t="shared" si="63"/>
        <v>Error?</v>
      </c>
    </row>
    <row r="4124" spans="1:4" x14ac:dyDescent="0.2">
      <c r="A4124" s="5">
        <v>4063</v>
      </c>
      <c r="B4124" s="138">
        <f>'Acct Summary 7-8'!E10</f>
        <v>1065913</v>
      </c>
      <c r="C4124" s="2" t="s">
        <v>573</v>
      </c>
      <c r="D4124" s="2" t="str">
        <f t="shared" si="63"/>
        <v>Error?</v>
      </c>
    </row>
    <row r="4125" spans="1:4" x14ac:dyDescent="0.2">
      <c r="A4125" s="5">
        <v>4064</v>
      </c>
      <c r="B4125" s="138">
        <f>'Acct Summary 7-8'!F10</f>
        <v>619869</v>
      </c>
      <c r="C4125" s="2" t="s">
        <v>573</v>
      </c>
      <c r="D4125" s="2" t="str">
        <f t="shared" si="63"/>
        <v>Error?</v>
      </c>
    </row>
    <row r="4126" spans="1:4" x14ac:dyDescent="0.2">
      <c r="A4126" s="5">
        <v>4065</v>
      </c>
      <c r="B4126" s="138">
        <f>'Acct Summary 7-8'!G10</f>
        <v>455084</v>
      </c>
      <c r="C4126" s="2" t="s">
        <v>573</v>
      </c>
      <c r="D4126" s="2" t="str">
        <f t="shared" si="63"/>
        <v>Error?</v>
      </c>
    </row>
    <row r="4127" spans="1:4" x14ac:dyDescent="0.2">
      <c r="A4127" s="5">
        <v>4066</v>
      </c>
      <c r="B4127" s="138">
        <f>'Acct Summary 7-8'!H10</f>
        <v>229196</v>
      </c>
      <c r="C4127" s="2" t="s">
        <v>573</v>
      </c>
      <c r="D4127" s="2" t="str">
        <f t="shared" si="63"/>
        <v>Error?</v>
      </c>
    </row>
    <row r="4128" spans="1:4" x14ac:dyDescent="0.2">
      <c r="A4128" s="5">
        <v>4067</v>
      </c>
      <c r="B4128" s="138">
        <f>'Acct Summary 7-8'!I10</f>
        <v>85432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90310</v>
      </c>
      <c r="C4130" s="2" t="s">
        <v>573</v>
      </c>
      <c r="D4130" s="2" t="str">
        <f t="shared" si="63"/>
        <v>Error?</v>
      </c>
    </row>
    <row r="4131" spans="1:4" x14ac:dyDescent="0.2">
      <c r="A4131" s="5">
        <v>4070</v>
      </c>
      <c r="B4131" s="138">
        <f>'Acct Summary 7-8'!C18</f>
        <v>4471569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14639922</v>
      </c>
      <c r="C4136" s="2" t="s">
        <v>573</v>
      </c>
      <c r="D4136" s="2" t="str">
        <f t="shared" si="63"/>
        <v>Error?</v>
      </c>
    </row>
    <row r="4137" spans="1:4" x14ac:dyDescent="0.2">
      <c r="A4137" s="5">
        <v>4076</v>
      </c>
      <c r="B4137" s="138">
        <f>'Acct Summary 7-8'!D19</f>
        <v>745936</v>
      </c>
      <c r="C4137" s="2" t="s">
        <v>573</v>
      </c>
      <c r="D4137" s="2" t="str">
        <f t="shared" si="63"/>
        <v>Error?</v>
      </c>
    </row>
    <row r="4138" spans="1:4" x14ac:dyDescent="0.2">
      <c r="A4138" s="5">
        <v>4077</v>
      </c>
      <c r="B4138" s="138">
        <f>'Acct Summary 7-8'!E19</f>
        <v>1054122</v>
      </c>
      <c r="C4138" s="2" t="s">
        <v>573</v>
      </c>
      <c r="D4138" s="2" t="str">
        <f t="shared" si="63"/>
        <v>Error?</v>
      </c>
    </row>
    <row r="4139" spans="1:4" x14ac:dyDescent="0.2">
      <c r="A4139" s="5">
        <v>4078</v>
      </c>
      <c r="B4139" s="138">
        <f>'Acct Summary 7-8'!F19</f>
        <v>619245</v>
      </c>
      <c r="C4139" s="2" t="s">
        <v>573</v>
      </c>
      <c r="D4139" s="2" t="str">
        <f t="shared" si="63"/>
        <v>Error?</v>
      </c>
    </row>
    <row r="4140" spans="1:4" x14ac:dyDescent="0.2">
      <c r="A4140" s="5">
        <v>4079</v>
      </c>
      <c r="B4140" s="138">
        <f>'Acct Summary 7-8'!G19</f>
        <v>317672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13338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3855000</v>
      </c>
      <c r="C4171" s="2" t="s">
        <v>573</v>
      </c>
      <c r="D4171" s="2" t="str">
        <f t="shared" si="64"/>
        <v>Error?</v>
      </c>
    </row>
    <row r="4172" spans="1:4" x14ac:dyDescent="0.2">
      <c r="A4172" s="5">
        <v>4111</v>
      </c>
      <c r="B4172" s="138">
        <f>'Short-Term Long-Term Debt 24'!J49</f>
        <v>3457783</v>
      </c>
      <c r="C4172" s="2" t="s">
        <v>573</v>
      </c>
      <c r="D4172" s="2" t="str">
        <f t="shared" si="64"/>
        <v>Error?</v>
      </c>
    </row>
    <row r="4173" spans="1:4" x14ac:dyDescent="0.2">
      <c r="A4173" s="5">
        <v>4112</v>
      </c>
      <c r="B4173" s="138">
        <f>'Short-Term Long-Term Debt 24'!H49</f>
        <v>945000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1924</v>
      </c>
    </row>
    <row r="4236" spans="1:5" x14ac:dyDescent="0.2">
      <c r="A4236" s="10">
        <v>4175</v>
      </c>
      <c r="D4236" s="2" t="str">
        <f t="shared" si="65"/>
        <v>OK</v>
      </c>
      <c r="E4236" s="4" t="s">
        <v>1924</v>
      </c>
    </row>
    <row r="4237" spans="1:5" x14ac:dyDescent="0.2">
      <c r="A4237" s="10">
        <v>4176</v>
      </c>
      <c r="D4237" s="2" t="str">
        <f t="shared" si="65"/>
        <v>OK</v>
      </c>
      <c r="E4237" s="4" t="s">
        <v>1924</v>
      </c>
    </row>
    <row r="4238" spans="1:5" x14ac:dyDescent="0.2">
      <c r="A4238" s="10">
        <v>4177</v>
      </c>
      <c r="D4238" s="2" t="str">
        <f t="shared" si="65"/>
        <v>OK</v>
      </c>
      <c r="E4238" s="4" t="s">
        <v>1924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3400.0000000000005</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4150</v>
      </c>
      <c r="C4268" s="2" t="s">
        <v>573</v>
      </c>
      <c r="D4268" s="2" t="str">
        <f t="shared" si="65"/>
        <v>Error?</v>
      </c>
    </row>
    <row r="4269" spans="1:5" x14ac:dyDescent="0.2">
      <c r="A4269" s="12">
        <v>4208</v>
      </c>
      <c r="B4269" s="138">
        <f>'FP Info 3'!J16</f>
        <v>3456229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600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1089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11869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1924</v>
      </c>
    </row>
    <row r="4400" spans="1:5" x14ac:dyDescent="0.2">
      <c r="A4400" s="10">
        <v>4339</v>
      </c>
      <c r="D4400" s="2" t="str">
        <f t="shared" si="67"/>
        <v>OK</v>
      </c>
      <c r="E4400" s="4" t="s">
        <v>1924</v>
      </c>
    </row>
    <row r="4401" spans="1:5" x14ac:dyDescent="0.2">
      <c r="A4401" s="10">
        <v>4340</v>
      </c>
      <c r="D4401" s="2" t="str">
        <f t="shared" si="67"/>
        <v>OK</v>
      </c>
      <c r="E4401" s="4" t="s">
        <v>1924</v>
      </c>
    </row>
    <row r="4402" spans="1:5" x14ac:dyDescent="0.2">
      <c r="A4402" s="10">
        <v>4341</v>
      </c>
      <c r="D4402" s="2" t="str">
        <f t="shared" si="67"/>
        <v>OK</v>
      </c>
      <c r="E4402" s="4" t="s">
        <v>1924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12476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175140820</v>
      </c>
      <c r="D4995" s="2" t="str">
        <f t="shared" si="77"/>
        <v>Error?</v>
      </c>
    </row>
    <row r="4996" spans="1:4" x14ac:dyDescent="0.2">
      <c r="A4996" s="12">
        <v>4935</v>
      </c>
      <c r="B4996" s="138">
        <f>'FP Info 3'!H31</f>
        <v>24169433.160000004</v>
      </c>
      <c r="D4996" s="2" t="str">
        <f t="shared" si="77"/>
        <v>Error?</v>
      </c>
    </row>
    <row r="4997" spans="1:4" x14ac:dyDescent="0.2">
      <c r="A4997" s="12">
        <v>4936</v>
      </c>
      <c r="B4997" s="138">
        <f>'FP Info 3'!H37</f>
        <v>3855000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85432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5799419</v>
      </c>
      <c r="D5061" s="2" t="str">
        <f t="shared" si="78"/>
        <v>Error?</v>
      </c>
    </row>
    <row r="5062" spans="1:4" x14ac:dyDescent="0.2">
      <c r="A5062" s="10">
        <v>5001</v>
      </c>
      <c r="D5062" s="2" t="str">
        <f t="shared" si="78"/>
        <v>OK</v>
      </c>
    </row>
    <row r="5063" spans="1:4" x14ac:dyDescent="0.2">
      <c r="A5063" s="5">
        <v>5002</v>
      </c>
      <c r="B5063" s="138">
        <f>'Revenues 9-14'!C7</f>
        <v>68346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5953197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383216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383216</v>
      </c>
      <c r="C5071" s="2" t="s">
        <v>573</v>
      </c>
      <c r="D5071" s="2" t="str">
        <f t="shared" si="78"/>
        <v>Error?</v>
      </c>
    </row>
    <row r="5072" spans="1:4" x14ac:dyDescent="0.2">
      <c r="A5072" s="5">
        <v>5011</v>
      </c>
      <c r="B5072" s="138">
        <f>'Revenues 9-14'!C20</f>
        <v>24585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24585</v>
      </c>
      <c r="C5087" s="2" t="s">
        <v>573</v>
      </c>
      <c r="D5087" s="2" t="str">
        <f t="shared" si="78"/>
        <v>Error?</v>
      </c>
    </row>
    <row r="5088" spans="1:4" x14ac:dyDescent="0.2">
      <c r="A5088" s="5">
        <v>5027</v>
      </c>
      <c r="B5088" s="138">
        <f>'Revenues 9-14'!C65</f>
        <v>100401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100401</v>
      </c>
      <c r="C5090" s="2" t="s">
        <v>573</v>
      </c>
      <c r="D5090" s="2" t="str">
        <f t="shared" si="78"/>
        <v>Error?</v>
      </c>
    </row>
    <row r="5091" spans="1:4" x14ac:dyDescent="0.2">
      <c r="A5091" s="5">
        <v>5030</v>
      </c>
      <c r="B5091" s="138">
        <f>'Revenues 9-14'!C70</f>
        <v>5796</v>
      </c>
      <c r="D5091" s="2" t="str">
        <f t="shared" si="78"/>
        <v>Error?</v>
      </c>
    </row>
    <row r="5092" spans="1:4" x14ac:dyDescent="0.2">
      <c r="A5092" s="5">
        <v>5031</v>
      </c>
      <c r="B5092" s="138">
        <f>'Revenues 9-14'!C71</f>
        <v>48332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1106</v>
      </c>
      <c r="D5094" s="2" t="str">
        <f t="shared" si="78"/>
        <v>Error?</v>
      </c>
    </row>
    <row r="5095" spans="1:4" x14ac:dyDescent="0.2">
      <c r="A5095" s="5">
        <v>5034</v>
      </c>
      <c r="B5095" s="138">
        <f>'Revenues 9-14'!C74</f>
        <v>6894</v>
      </c>
      <c r="D5095" s="2" t="str">
        <f t="shared" si="78"/>
        <v>Error?</v>
      </c>
    </row>
    <row r="5096" spans="1:4" x14ac:dyDescent="0.2">
      <c r="A5096" s="5">
        <v>5035</v>
      </c>
      <c r="B5096" s="138">
        <f>'Revenues 9-14'!C75</f>
        <v>165684</v>
      </c>
      <c r="C5096" s="2" t="s">
        <v>573</v>
      </c>
      <c r="D5096" s="2" t="str">
        <f t="shared" si="78"/>
        <v>Error?</v>
      </c>
    </row>
    <row r="5097" spans="1:4" x14ac:dyDescent="0.2">
      <c r="A5097" s="5">
        <v>5036</v>
      </c>
      <c r="B5097" s="138">
        <f>'Revenues 9-14'!C77</f>
        <v>14628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5073</v>
      </c>
      <c r="D5101" s="2" t="str">
        <f t="shared" si="78"/>
        <v>Error?</v>
      </c>
    </row>
    <row r="5102" spans="1:4" x14ac:dyDescent="0.2">
      <c r="A5102" s="5">
        <v>5041</v>
      </c>
      <c r="B5102" s="138">
        <f>'Revenues 9-14'!C82</f>
        <v>19701</v>
      </c>
      <c r="C5102" s="2" t="s">
        <v>573</v>
      </c>
      <c r="D5102" s="2" t="str">
        <f t="shared" si="78"/>
        <v>Error?</v>
      </c>
    </row>
    <row r="5103" spans="1:4" x14ac:dyDescent="0.2">
      <c r="A5103" s="5">
        <v>5042</v>
      </c>
      <c r="B5103" s="138">
        <f>'Revenues 9-14'!C84</f>
        <v>78131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78131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27898</v>
      </c>
      <c r="D5118" s="2" t="str">
        <f t="shared" si="78"/>
        <v>Error?</v>
      </c>
    </row>
    <row r="5119" spans="1:4" x14ac:dyDescent="0.2">
      <c r="A5119" s="5">
        <v>5058</v>
      </c>
      <c r="B5119" s="138">
        <f>'Revenues 9-14'!C107</f>
        <v>37465</v>
      </c>
      <c r="D5119" s="2" t="str">
        <f t="shared" ref="D5119:D5182" si="79">IF(ISBLANK(B5119),"OK",IF(A5119-B5119=0,"OK","Error?"))</f>
        <v>Error?</v>
      </c>
    </row>
    <row r="5120" spans="1:4" x14ac:dyDescent="0.2">
      <c r="A5120" s="5">
        <v>5059</v>
      </c>
      <c r="B5120" s="138">
        <f>'Revenues 9-14'!C108</f>
        <v>80148</v>
      </c>
      <c r="C5120" s="2" t="s">
        <v>573</v>
      </c>
      <c r="D5120" s="2" t="str">
        <f t="shared" si="79"/>
        <v>Error?</v>
      </c>
    </row>
    <row r="5121" spans="1:4" x14ac:dyDescent="0.2">
      <c r="A5121" s="5">
        <v>5060</v>
      </c>
      <c r="B5121" s="138">
        <f>'Revenues 9-14'!C109</f>
        <v>6805063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2565185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2565185</v>
      </c>
      <c r="C5132" s="2" t="s">
        <v>573</v>
      </c>
      <c r="D5132" s="2" t="str">
        <f t="shared" si="79"/>
        <v>Error?</v>
      </c>
    </row>
    <row r="5133" spans="1:4" x14ac:dyDescent="0.2">
      <c r="A5133" s="5">
        <v>5072</v>
      </c>
      <c r="B5133" s="138">
        <f>'Revenues 9-14'!C125</f>
        <v>166085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75389</v>
      </c>
      <c r="D5137" s="2" t="str">
        <f t="shared" si="79"/>
        <v>Error?</v>
      </c>
    </row>
    <row r="5138" spans="1:4" x14ac:dyDescent="0.2">
      <c r="A5138" s="10">
        <v>5077</v>
      </c>
      <c r="D5138" s="2" t="str">
        <f t="shared" si="79"/>
        <v>OK</v>
      </c>
    </row>
    <row r="5139" spans="1:4" x14ac:dyDescent="0.2">
      <c r="A5139" s="5">
        <v>5078</v>
      </c>
      <c r="B5139" s="138">
        <f>'Revenues 9-14'!C129</f>
        <v>7742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249216</v>
      </c>
      <c r="C5147" s="2" t="s">
        <v>573</v>
      </c>
      <c r="D5147" s="2" t="str">
        <f t="shared" si="79"/>
        <v>Error?</v>
      </c>
    </row>
    <row r="5148" spans="1:4" x14ac:dyDescent="0.2">
      <c r="A5148" s="5">
        <v>5087</v>
      </c>
      <c r="B5148" s="138">
        <f>'Revenues 9-14'!C134</f>
        <v>16379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2640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21319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3380</v>
      </c>
      <c r="D5167" s="2" t="str">
        <f t="shared" si="79"/>
        <v>Error?</v>
      </c>
    </row>
    <row r="5168" spans="1:4" x14ac:dyDescent="0.2">
      <c r="A5168" s="5">
        <v>5107</v>
      </c>
      <c r="B5168" s="138">
        <f>'Revenues 9-14'!C148</f>
        <v>16894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217672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1924</v>
      </c>
    </row>
    <row r="5200" spans="1:5" x14ac:dyDescent="0.2">
      <c r="A5200" s="10">
        <v>5139</v>
      </c>
      <c r="D5200" s="2" t="str">
        <f t="shared" si="80"/>
        <v>OK</v>
      </c>
      <c r="E5200" s="4" t="s">
        <v>1924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510415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3075600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178940</v>
      </c>
      <c r="D5239" s="2" t="str">
        <f t="shared" si="80"/>
        <v>Error?</v>
      </c>
    </row>
    <row r="5240" spans="1:4" x14ac:dyDescent="0.2">
      <c r="A5240" s="5">
        <v>5179</v>
      </c>
      <c r="B5240" s="138">
        <f>'Revenues 9-14'!C192</f>
        <v>1861</v>
      </c>
      <c r="D5240" s="2" t="str">
        <f t="shared" si="80"/>
        <v>Error?</v>
      </c>
    </row>
    <row r="5241" spans="1:4" x14ac:dyDescent="0.2">
      <c r="A5241" s="5">
        <v>5180</v>
      </c>
      <c r="B5241" s="138">
        <f>'Revenues 9-14'!C193</f>
        <v>38173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218974</v>
      </c>
      <c r="C5246" s="2" t="s">
        <v>573</v>
      </c>
      <c r="D5246" s="2" t="str">
        <f t="shared" si="80"/>
        <v>Error?</v>
      </c>
    </row>
    <row r="5247" spans="1:4" x14ac:dyDescent="0.2">
      <c r="A5247" s="5">
        <v>5186</v>
      </c>
      <c r="B5247" s="138">
        <f>'Revenues 9-14'!C200</f>
        <v>85850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86450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4368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77769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82137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412995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412995</v>
      </c>
      <c r="C5326" s="2" t="s">
        <v>573</v>
      </c>
      <c r="D5326" s="2" t="str">
        <f t="shared" si="82"/>
        <v>Error?</v>
      </c>
    </row>
    <row r="5327" spans="1:5" x14ac:dyDescent="0.2">
      <c r="A5327" s="5">
        <v>5266</v>
      </c>
      <c r="B5327" s="138">
        <f>'Revenues 9-14'!C268</f>
        <v>10293658</v>
      </c>
      <c r="C5327" s="2" t="s">
        <v>573</v>
      </c>
      <c r="D5327" s="2" t="str">
        <f t="shared" si="82"/>
        <v>Error?</v>
      </c>
    </row>
    <row r="5328" spans="1:5" x14ac:dyDescent="0.2">
      <c r="A5328" s="5">
        <v>5267</v>
      </c>
      <c r="B5328" s="138">
        <f>'Revenues 9-14'!D5</f>
        <v>939745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939745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408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940153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940153</v>
      </c>
      <c r="C5508" s="2" t="s">
        <v>573</v>
      </c>
      <c r="D5508" s="2" t="str">
        <f t="shared" si="85"/>
        <v>Error?</v>
      </c>
    </row>
    <row r="5509" spans="1:4" x14ac:dyDescent="0.2">
      <c r="A5509" s="5">
        <v>5448</v>
      </c>
      <c r="B5509" s="138">
        <f>'Revenues 9-14'!E5</f>
        <v>1056030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1056030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9883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9883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1065913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1065913</v>
      </c>
      <c r="C5552" s="2" t="s">
        <v>573</v>
      </c>
      <c r="D5552" s="2" t="str">
        <f t="shared" si="85"/>
        <v>Error?</v>
      </c>
    </row>
    <row r="5553" spans="1:4" x14ac:dyDescent="0.2">
      <c r="A5553" s="5">
        <v>5492</v>
      </c>
      <c r="B5553" s="138">
        <f>'Revenues 9-14'!F5</f>
        <v>341724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341724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500</v>
      </c>
      <c r="D5586" s="2" t="str">
        <f t="shared" si="86"/>
        <v>Error?</v>
      </c>
    </row>
    <row r="5587" spans="1:4" x14ac:dyDescent="0.2">
      <c r="A5587" s="5">
        <v>5526</v>
      </c>
      <c r="B5587" s="138">
        <f>'Revenues 9-14'!F108</f>
        <v>500</v>
      </c>
      <c r="C5587" s="2" t="s">
        <v>573</v>
      </c>
      <c r="D5587" s="2" t="str">
        <f t="shared" si="86"/>
        <v>Error?</v>
      </c>
    </row>
    <row r="5588" spans="1:4" x14ac:dyDescent="0.2">
      <c r="A5588" s="5">
        <v>5527</v>
      </c>
      <c r="B5588" s="138">
        <f>'Revenues 9-14'!F109</f>
        <v>342224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185403</v>
      </c>
      <c r="D5615" s="2" t="str">
        <f t="shared" si="86"/>
        <v>Error?</v>
      </c>
    </row>
    <row r="5616" spans="1:4" x14ac:dyDescent="0.2">
      <c r="A5616" s="10">
        <v>5555</v>
      </c>
      <c r="D5616" s="2" t="str">
        <f t="shared" si="86"/>
        <v>OK</v>
      </c>
    </row>
    <row r="5617" spans="1:5" x14ac:dyDescent="0.2">
      <c r="A5617" s="5">
        <v>5556</v>
      </c>
      <c r="B5617" s="138">
        <f>'Revenues 9-14'!F153</f>
        <v>92242</v>
      </c>
      <c r="D5617" s="2" t="str">
        <f t="shared" si="86"/>
        <v>Error?</v>
      </c>
    </row>
    <row r="5618" spans="1:5" x14ac:dyDescent="0.2">
      <c r="A5618" s="5">
        <v>5557</v>
      </c>
      <c r="B5618" s="138">
        <f>'Revenues 9-14'!F155</f>
        <v>277645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1924</v>
      </c>
    </row>
    <row r="5631" spans="1:5" x14ac:dyDescent="0.2">
      <c r="A5631" s="10">
        <v>5570</v>
      </c>
      <c r="D5631" s="2" t="str">
        <f t="shared" ref="D5631:D5694" si="87">IF(ISBLANK(B5631),"OK",IF(A5631-B5631=0,"OK","Error?"))</f>
        <v>OK</v>
      </c>
      <c r="E5631" s="4" t="s">
        <v>1924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277645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277645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619869</v>
      </c>
      <c r="C5720" s="2" t="s">
        <v>573</v>
      </c>
      <c r="D5720" s="2" t="str">
        <f t="shared" si="88"/>
        <v>Error?</v>
      </c>
    </row>
    <row r="5721" spans="1:4" x14ac:dyDescent="0.2">
      <c r="A5721" s="5">
        <v>5660</v>
      </c>
      <c r="B5721" s="138">
        <f>'Revenues 9-14'!G5</f>
        <v>221062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213384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434446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v>
      </c>
      <c r="C5730" s="2" t="s">
        <v>573</v>
      </c>
      <c r="D5730" s="2" t="str">
        <f t="shared" si="88"/>
        <v>Error?</v>
      </c>
    </row>
    <row r="5731" spans="1:4" x14ac:dyDescent="0.2">
      <c r="A5731" s="5">
        <v>5670</v>
      </c>
      <c r="B5731" s="138">
        <f>'Revenues 9-14'!G65</f>
        <v>13138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13138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1924</v>
      </c>
    </row>
    <row r="5768" spans="1:5" x14ac:dyDescent="0.2">
      <c r="A5768" s="10">
        <v>5707</v>
      </c>
      <c r="D5768" s="2" t="str">
        <f t="shared" si="89"/>
        <v>OK</v>
      </c>
      <c r="E5768" s="4" t="s">
        <v>1924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455084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229196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229196</v>
      </c>
      <c r="C5915" s="2" t="s">
        <v>573</v>
      </c>
      <c r="D5915" s="2" t="str">
        <f t="shared" si="91"/>
        <v>Error?</v>
      </c>
    </row>
    <row r="5916" spans="1:4" x14ac:dyDescent="0.2">
      <c r="A5916" s="5">
        <v>5855</v>
      </c>
      <c r="B5916" s="138">
        <f>'Revenues 9-14'!I5</f>
        <v>85432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85432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85432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85432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85432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4878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4878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90310</v>
      </c>
      <c r="C6023" s="2" t="s">
        <v>573</v>
      </c>
      <c r="D6023" s="2" t="str">
        <f t="shared" si="93"/>
        <v>Error?</v>
      </c>
    </row>
    <row r="6024" spans="1:5" x14ac:dyDescent="0.2">
      <c r="A6024" s="5">
        <v>5963</v>
      </c>
      <c r="B6024" s="138">
        <f>'Revenues 9-14'!G109</f>
        <v>455084</v>
      </c>
      <c r="C6024" s="2" t="s">
        <v>573</v>
      </c>
      <c r="D6024" s="2" t="str">
        <f t="shared" si="93"/>
        <v>Error?</v>
      </c>
    </row>
    <row r="6025" spans="1:5" x14ac:dyDescent="0.2">
      <c r="A6025" s="5">
        <v>5964</v>
      </c>
      <c r="B6025" s="138">
        <f>'Revenues 9-14'!H109</f>
        <v>229196</v>
      </c>
      <c r="C6025" s="2" t="s">
        <v>573</v>
      </c>
      <c r="D6025" s="2" t="str">
        <f t="shared" si="93"/>
        <v>Error?</v>
      </c>
    </row>
    <row r="6026" spans="1:5" x14ac:dyDescent="0.2">
      <c r="A6026" s="5">
        <v>5965</v>
      </c>
      <c r="B6026" s="138">
        <f>'Revenues 9-14'!I109</f>
        <v>85432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90310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103556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1079.8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350748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350748</v>
      </c>
      <c r="D6215" s="2" t="str">
        <f t="shared" si="96"/>
        <v>Error?</v>
      </c>
      <c r="E6215" s="2" t="s">
        <v>190</v>
      </c>
    </row>
    <row r="6216" spans="1:5" x14ac:dyDescent="0.2">
      <c r="A6216">
        <v>6155</v>
      </c>
      <c r="B6216" s="138">
        <f>'Assets-Liab 5-6'!J41</f>
        <v>350748</v>
      </c>
      <c r="D6216" s="2" t="str">
        <f t="shared" si="96"/>
        <v>Error?</v>
      </c>
      <c r="E6216" s="2" t="s">
        <v>190</v>
      </c>
    </row>
    <row r="6217" spans="1:5" x14ac:dyDescent="0.2">
      <c r="A6217">
        <v>6156</v>
      </c>
      <c r="B6217" s="138">
        <f>'Assets-Liab 5-6'!J4</f>
        <v>33053</v>
      </c>
      <c r="D6217" s="2" t="str">
        <f t="shared" si="96"/>
        <v>Error?</v>
      </c>
      <c r="E6217" s="2" t="s">
        <v>190</v>
      </c>
    </row>
    <row r="6218" spans="1:5" x14ac:dyDescent="0.2">
      <c r="A6218">
        <v>6157</v>
      </c>
      <c r="B6218" s="138">
        <f>'Assets-Liab 5-6'!J5</f>
        <v>317695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643798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643798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643798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629224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629224</v>
      </c>
      <c r="D6229" s="2" t="str">
        <f t="shared" si="96"/>
        <v>Error?</v>
      </c>
      <c r="E6229" s="2" t="s">
        <v>190</v>
      </c>
    </row>
    <row r="6230" spans="1:5" x14ac:dyDescent="0.2">
      <c r="A6230">
        <v>6169</v>
      </c>
      <c r="B6230" s="138">
        <f>'Acct Summary 7-8'!J20</f>
        <v>14574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14574</v>
      </c>
      <c r="D6263" s="2" t="str">
        <f t="shared" si="96"/>
        <v>Error?</v>
      </c>
      <c r="E6263" s="2" t="s">
        <v>190</v>
      </c>
    </row>
    <row r="6264" spans="1:5" x14ac:dyDescent="0.2">
      <c r="A6264">
        <v>6203</v>
      </c>
      <c r="B6264" s="138">
        <f>'Acct Summary 7-8'!J79</f>
        <v>336174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350748</v>
      </c>
      <c r="D6266" s="2" t="str">
        <f t="shared" si="96"/>
        <v>Error?</v>
      </c>
      <c r="E6266" s="2" t="s">
        <v>190</v>
      </c>
    </row>
    <row r="6267" spans="1:5" x14ac:dyDescent="0.2">
      <c r="A6267">
        <v>6206</v>
      </c>
      <c r="B6267" s="138">
        <f>'Acct Summary 7-8'!C82</f>
        <v>125305</v>
      </c>
      <c r="D6267" s="2" t="str">
        <f t="shared" si="96"/>
        <v>Error?</v>
      </c>
      <c r="E6267" s="2" t="s">
        <v>190</v>
      </c>
    </row>
    <row r="6268" spans="1:5" x14ac:dyDescent="0.2">
      <c r="A6268">
        <v>6207</v>
      </c>
      <c r="B6268" s="138">
        <f>'Acct Summary 7-8'!D82</f>
        <v>194217</v>
      </c>
      <c r="D6268" s="2" t="str">
        <f t="shared" si="96"/>
        <v>Error?</v>
      </c>
      <c r="E6268" s="2" t="s">
        <v>190</v>
      </c>
    </row>
    <row r="6269" spans="1:5" x14ac:dyDescent="0.2">
      <c r="A6269">
        <v>6208</v>
      </c>
      <c r="B6269" s="138">
        <f>'Acct Summary 7-8'!E82</f>
        <v>11791</v>
      </c>
      <c r="D6269" s="2" t="str">
        <f t="shared" si="96"/>
        <v>Error?</v>
      </c>
      <c r="E6269" s="2" t="s">
        <v>190</v>
      </c>
    </row>
    <row r="6270" spans="1:5" x14ac:dyDescent="0.2">
      <c r="A6270">
        <v>6209</v>
      </c>
      <c r="B6270" s="138">
        <f>'Acct Summary 7-8'!F82</f>
        <v>624</v>
      </c>
      <c r="D6270" s="2" t="str">
        <f t="shared" si="96"/>
        <v>Error?</v>
      </c>
      <c r="E6270" s="2" t="s">
        <v>190</v>
      </c>
    </row>
    <row r="6271" spans="1:5" x14ac:dyDescent="0.2">
      <c r="A6271">
        <v>6210</v>
      </c>
      <c r="B6271" s="138">
        <f>'Acct Summary 7-8'!G82</f>
        <v>137412</v>
      </c>
      <c r="D6271" s="2" t="str">
        <f t="shared" ref="D6271:D6334" si="97">IF(ISBLANK(B6271),"OK",IF(A6271-B6271=0,"OK","Error?"))</f>
        <v>Error?</v>
      </c>
      <c r="E6271" s="2" t="s">
        <v>190</v>
      </c>
    </row>
    <row r="6272" spans="1:5" x14ac:dyDescent="0.2">
      <c r="A6272">
        <v>6211</v>
      </c>
      <c r="B6272" s="138">
        <f>'Acct Summary 7-8'!H82</f>
        <v>229196</v>
      </c>
      <c r="D6272" s="2" t="str">
        <f t="shared" si="97"/>
        <v>Error?</v>
      </c>
      <c r="E6272" s="2" t="s">
        <v>190</v>
      </c>
    </row>
    <row r="6273" spans="1:5" x14ac:dyDescent="0.2">
      <c r="A6273">
        <v>6212</v>
      </c>
      <c r="B6273" s="138">
        <f>'Acct Summary 7-8'!I82</f>
        <v>85432</v>
      </c>
      <c r="D6273" s="2" t="str">
        <f t="shared" si="97"/>
        <v>Error?</v>
      </c>
      <c r="E6273" s="2" t="s">
        <v>190</v>
      </c>
    </row>
    <row r="6274" spans="1:5" x14ac:dyDescent="0.2">
      <c r="A6274">
        <v>6213</v>
      </c>
      <c r="B6274" s="138">
        <f>'Acct Summary 7-8'!J82</f>
        <v>14574</v>
      </c>
      <c r="D6274" s="2" t="str">
        <f t="shared" si="97"/>
        <v>Error?</v>
      </c>
      <c r="E6274" s="2" t="s">
        <v>190</v>
      </c>
    </row>
    <row r="6275" spans="1:5" x14ac:dyDescent="0.2">
      <c r="A6275">
        <v>6214</v>
      </c>
      <c r="B6275" s="138">
        <f>'Acct Summary 7-8'!K82</f>
        <v>76972</v>
      </c>
      <c r="D6275" s="2" t="str">
        <f t="shared" si="97"/>
        <v>Error?</v>
      </c>
      <c r="E6275" s="2" t="s">
        <v>190</v>
      </c>
    </row>
    <row r="6276" spans="1:5" x14ac:dyDescent="0.2">
      <c r="A6276">
        <v>6215</v>
      </c>
      <c r="B6276" s="138">
        <f>'Acct Summary 7-8'!C83</f>
        <v>0.18265608965388563</v>
      </c>
      <c r="D6276" s="2" t="str">
        <f t="shared" si="97"/>
        <v>Error?</v>
      </c>
      <c r="E6276" s="2" t="s">
        <v>190</v>
      </c>
    </row>
    <row r="6277" spans="1:5" x14ac:dyDescent="0.2">
      <c r="A6277">
        <v>6216</v>
      </c>
      <c r="B6277" s="138">
        <f>'Acct Summary 7-8'!D83</f>
        <v>0.18498301772138395</v>
      </c>
      <c r="D6277" s="2" t="str">
        <f t="shared" si="97"/>
        <v>Error?</v>
      </c>
      <c r="E6277" s="2" t="s">
        <v>190</v>
      </c>
    </row>
    <row r="6278" spans="1:5" x14ac:dyDescent="0.2">
      <c r="A6278">
        <v>6217</v>
      </c>
      <c r="B6278" s="138">
        <f>'Acct Summary 7-8'!E83</f>
        <v>2.968402661517508E-2</v>
      </c>
      <c r="D6278" s="2" t="str">
        <f t="shared" si="97"/>
        <v>Error?</v>
      </c>
      <c r="E6278" s="2" t="s">
        <v>190</v>
      </c>
    </row>
    <row r="6279" spans="1:5" x14ac:dyDescent="0.2">
      <c r="A6279">
        <v>6218</v>
      </c>
      <c r="B6279" s="138">
        <f>'Acct Summary 7-8'!F83</f>
        <v>1.3890651191056558E-3</v>
      </c>
      <c r="D6279" s="2" t="str">
        <f t="shared" si="97"/>
        <v>Error?</v>
      </c>
      <c r="E6279" s="2" t="s">
        <v>190</v>
      </c>
    </row>
    <row r="6280" spans="1:5" x14ac:dyDescent="0.2">
      <c r="A6280">
        <v>6219</v>
      </c>
      <c r="B6280" s="138">
        <f>'Acct Summary 7-8'!G83</f>
        <v>0.22407942220606006</v>
      </c>
      <c r="D6280" s="2" t="str">
        <f t="shared" si="97"/>
        <v>Error?</v>
      </c>
      <c r="E6280" s="2" t="s">
        <v>190</v>
      </c>
    </row>
    <row r="6281" spans="1:5" x14ac:dyDescent="0.2">
      <c r="A6281">
        <v>6220</v>
      </c>
      <c r="B6281" s="138">
        <f>'Acct Summary 7-8'!H83</f>
        <v>0.82861894432393346</v>
      </c>
      <c r="D6281" s="2" t="str">
        <f t="shared" si="97"/>
        <v>Error?</v>
      </c>
      <c r="E6281" s="2" t="s">
        <v>190</v>
      </c>
    </row>
    <row r="6282" spans="1:5" x14ac:dyDescent="0.2">
      <c r="A6282">
        <v>6221</v>
      </c>
      <c r="B6282" s="138">
        <f>'Acct Summary 7-8'!I83</f>
        <v>6.7212557589184568E-2</v>
      </c>
      <c r="D6282" s="2" t="str">
        <f t="shared" si="97"/>
        <v>Error?</v>
      </c>
      <c r="E6282" s="2" t="s">
        <v>190</v>
      </c>
    </row>
    <row r="6283" spans="1:5" x14ac:dyDescent="0.2">
      <c r="A6283">
        <v>6222</v>
      </c>
      <c r="B6283" s="138">
        <f>'Acct Summary 7-8'!J83</f>
        <v>4.1551199151527593E-2</v>
      </c>
      <c r="D6283" s="2" t="str">
        <f t="shared" si="97"/>
        <v>Error?</v>
      </c>
      <c r="E6283" s="2" t="s">
        <v>190</v>
      </c>
    </row>
    <row r="6284" spans="1:5" x14ac:dyDescent="0.2">
      <c r="A6284">
        <v>6223</v>
      </c>
      <c r="B6284" s="138">
        <f>'Acct Summary 7-8'!K83</f>
        <v>0.2872196723758349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630624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630624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13174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13174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29958</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14785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643798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2300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1923</v>
      </c>
    </row>
    <row r="6383" spans="1:6" x14ac:dyDescent="0.2">
      <c r="A6383" s="129">
        <v>6322</v>
      </c>
      <c r="D6383" s="2" t="str">
        <f t="shared" si="98"/>
        <v>OK</v>
      </c>
      <c r="E6383" s="2" t="s">
        <v>190</v>
      </c>
      <c r="F6383" s="1" t="s">
        <v>1923</v>
      </c>
    </row>
    <row r="6384" spans="1:6" x14ac:dyDescent="0.2">
      <c r="A6384" s="129">
        <v>6323</v>
      </c>
      <c r="D6384" s="2" t="str">
        <f t="shared" si="98"/>
        <v>OK</v>
      </c>
      <c r="E6384" s="2" t="s">
        <v>190</v>
      </c>
      <c r="F6384" s="1" t="s">
        <v>1923</v>
      </c>
    </row>
    <row r="6385" spans="1:6" x14ac:dyDescent="0.2">
      <c r="A6385" s="129">
        <v>6324</v>
      </c>
      <c r="D6385" s="2" t="str">
        <f t="shared" si="98"/>
        <v>OK</v>
      </c>
      <c r="E6385" s="2" t="s">
        <v>190</v>
      </c>
      <c r="F6385" s="1" t="s">
        <v>1923</v>
      </c>
    </row>
    <row r="6386" spans="1:6" x14ac:dyDescent="0.2">
      <c r="A6386" s="129">
        <v>6325</v>
      </c>
      <c r="D6386" s="2" t="str">
        <f t="shared" si="98"/>
        <v>OK</v>
      </c>
      <c r="E6386" s="2" t="s">
        <v>190</v>
      </c>
      <c r="F6386" s="1" t="s">
        <v>1923</v>
      </c>
    </row>
    <row r="6387" spans="1:6" x14ac:dyDescent="0.2">
      <c r="A6387" s="129">
        <v>6326</v>
      </c>
      <c r="D6387" s="2" t="str">
        <f t="shared" si="98"/>
        <v>OK</v>
      </c>
      <c r="E6387" s="2" t="s">
        <v>190</v>
      </c>
      <c r="F6387" s="1" t="s">
        <v>1923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1923</v>
      </c>
    </row>
    <row r="6411" spans="1:6" x14ac:dyDescent="0.2">
      <c r="A6411" s="129">
        <v>6350</v>
      </c>
      <c r="D6411" s="2" t="str">
        <f t="shared" si="99"/>
        <v>OK</v>
      </c>
      <c r="E6411" s="2" t="s">
        <v>190</v>
      </c>
      <c r="F6411" s="1" t="s">
        <v>1923</v>
      </c>
    </row>
    <row r="6412" spans="1:6" x14ac:dyDescent="0.2">
      <c r="A6412" s="129">
        <v>6351</v>
      </c>
      <c r="D6412" s="2" t="str">
        <f t="shared" si="99"/>
        <v>OK</v>
      </c>
      <c r="E6412" s="2" t="s">
        <v>190</v>
      </c>
      <c r="F6412" s="1" t="s">
        <v>1923</v>
      </c>
    </row>
    <row r="6413" spans="1:6" x14ac:dyDescent="0.2">
      <c r="A6413" s="129">
        <v>6352</v>
      </c>
      <c r="D6413" s="2" t="str">
        <f t="shared" si="99"/>
        <v>OK</v>
      </c>
      <c r="E6413" s="2" t="s">
        <v>190</v>
      </c>
      <c r="F6413" s="1" t="s">
        <v>1923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94792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1923</v>
      </c>
    </row>
    <row r="6842" spans="1:5" x14ac:dyDescent="0.2">
      <c r="A6842" s="129">
        <v>6781</v>
      </c>
      <c r="D6842" s="2" t="str">
        <f t="shared" si="105"/>
        <v>OK</v>
      </c>
      <c r="E6842" s="1" t="s">
        <v>1923</v>
      </c>
    </row>
    <row r="6843" spans="1:5" x14ac:dyDescent="0.2">
      <c r="A6843" s="129">
        <v>6782</v>
      </c>
      <c r="D6843" s="2" t="str">
        <f t="shared" si="105"/>
        <v>OK</v>
      </c>
      <c r="E6843" s="1" t="s">
        <v>1923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134670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17423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106853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1800</v>
      </c>
      <c r="D6940" s="2" t="str">
        <f t="shared" si="107"/>
        <v>Error?</v>
      </c>
    </row>
    <row r="6941" spans="1:4" x14ac:dyDescent="0.2">
      <c r="A6941">
        <v>6880</v>
      </c>
      <c r="B6941" s="138">
        <f>'Expenditures 15-22'!L52</f>
        <v>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1950</v>
      </c>
      <c r="D6981" s="2" t="str">
        <f t="shared" si="108"/>
        <v>Error?</v>
      </c>
    </row>
    <row r="6982" spans="1:4" x14ac:dyDescent="0.2">
      <c r="A6982">
        <v>6921</v>
      </c>
      <c r="B6982" s="138">
        <f>'Expenditures 15-22'!K85</f>
        <v>1950</v>
      </c>
      <c r="D6982" s="2" t="str">
        <f t="shared" si="108"/>
        <v>Error?</v>
      </c>
    </row>
    <row r="6983" spans="1:4" x14ac:dyDescent="0.2">
      <c r="A6983">
        <v>6922</v>
      </c>
      <c r="B6983" s="138">
        <f>'Expenditures 15-22'!H86</f>
        <v>50757</v>
      </c>
      <c r="D6983" s="2" t="str">
        <f t="shared" si="108"/>
        <v>Error?</v>
      </c>
    </row>
    <row r="6984" spans="1:4" x14ac:dyDescent="0.2">
      <c r="A6984">
        <v>6923</v>
      </c>
      <c r="B6984" s="138">
        <f>'Expenditures 15-22'!K86</f>
        <v>50757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25450</v>
      </c>
      <c r="D6987" s="2" t="str">
        <f t="shared" si="108"/>
        <v>Error?</v>
      </c>
    </row>
    <row r="6988" spans="1:4" x14ac:dyDescent="0.2">
      <c r="A6988">
        <v>6927</v>
      </c>
      <c r="B6988" s="138">
        <f>'Expenditures 15-22'!K88</f>
        <v>25450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78157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9000</v>
      </c>
      <c r="D7004" s="2" t="str">
        <f t="shared" si="108"/>
        <v>Error?</v>
      </c>
    </row>
    <row r="7005" spans="1:4" x14ac:dyDescent="0.2">
      <c r="A7005">
        <v>6944</v>
      </c>
      <c r="B7005" s="138">
        <f>'Expenditures 15-22'!K97</f>
        <v>9000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9000</v>
      </c>
      <c r="D7012" s="2" t="str">
        <f t="shared" si="108"/>
        <v>Error?</v>
      </c>
    </row>
    <row r="7013" spans="1:4" x14ac:dyDescent="0.2">
      <c r="A7013">
        <v>6952</v>
      </c>
      <c r="B7013" s="138">
        <f>'Expenditures 15-22'!K100</f>
        <v>9000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629224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643798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3389</v>
      </c>
      <c r="D7073" s="2" t="str">
        <f t="shared" si="109"/>
        <v>Error?</v>
      </c>
    </row>
    <row r="7074" spans="1:4" x14ac:dyDescent="0.2">
      <c r="A7074">
        <v>7013</v>
      </c>
      <c r="B7074" s="138">
        <f>'Expenditures 15-22'!K216</f>
        <v>3389</v>
      </c>
      <c r="D7074" s="2" t="str">
        <f t="shared" si="109"/>
        <v>Error?</v>
      </c>
    </row>
    <row r="7075" spans="1:4" x14ac:dyDescent="0.2">
      <c r="A7075">
        <v>7014</v>
      </c>
      <c r="B7075" s="138">
        <f>'Expenditures 15-22'!D218</f>
        <v>1834</v>
      </c>
      <c r="D7075" s="2" t="str">
        <f t="shared" si="109"/>
        <v>Error?</v>
      </c>
    </row>
    <row r="7076" spans="1:4" x14ac:dyDescent="0.2">
      <c r="A7076">
        <v>7015</v>
      </c>
      <c r="B7076" s="138">
        <f>'Expenditures 15-22'!K218</f>
        <v>1834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1085</v>
      </c>
      <c r="D7079" s="2" t="str">
        <f t="shared" si="109"/>
        <v>Error?</v>
      </c>
    </row>
    <row r="7080" spans="1:4" x14ac:dyDescent="0.2">
      <c r="A7080">
        <v>7019</v>
      </c>
      <c r="B7080" s="138">
        <f>'Expenditures 15-22'!K226</f>
        <v>1085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50566</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50566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8204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8204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353074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106080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9978</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469132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4451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4451</v>
      </c>
      <c r="D7198" s="2" t="str">
        <f t="shared" si="111"/>
        <v>Error?</v>
      </c>
    </row>
    <row r="7199" spans="1:4" x14ac:dyDescent="0.2">
      <c r="A7199">
        <v>7138</v>
      </c>
      <c r="B7199" s="138">
        <f>'Expenditures 15-22'!C330</f>
        <v>353074</v>
      </c>
      <c r="D7199" s="2" t="str">
        <f t="shared" si="111"/>
        <v>Error?</v>
      </c>
    </row>
    <row r="7200" spans="1:4" x14ac:dyDescent="0.2">
      <c r="A7200">
        <v>7139</v>
      </c>
      <c r="B7200" s="138">
        <f>'Expenditures 15-22'!D330</f>
        <v>50566</v>
      </c>
      <c r="D7200" s="2" t="str">
        <f t="shared" si="111"/>
        <v>Error?</v>
      </c>
    </row>
    <row r="7201" spans="1:4" x14ac:dyDescent="0.2">
      <c r="A7201">
        <v>7140</v>
      </c>
      <c r="B7201" s="138">
        <f>'Expenditures 15-22'!E330</f>
        <v>215606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9978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629224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353074</v>
      </c>
      <c r="D7216" s="2" t="str">
        <f t="shared" si="111"/>
        <v>Error?</v>
      </c>
    </row>
    <row r="7217" spans="1:4" x14ac:dyDescent="0.2">
      <c r="A7217">
        <v>7156</v>
      </c>
      <c r="B7217" s="138">
        <f>'Expenditures 15-22'!D342</f>
        <v>50566</v>
      </c>
      <c r="D7217" s="2" t="str">
        <f t="shared" si="111"/>
        <v>Error?</v>
      </c>
    </row>
    <row r="7218" spans="1:4" x14ac:dyDescent="0.2">
      <c r="A7218">
        <v>7157</v>
      </c>
      <c r="B7218" s="138">
        <f>'Expenditures 15-22'!E342</f>
        <v>215606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9978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629224</v>
      </c>
      <c r="D7224" s="2" t="str">
        <f t="shared" si="111"/>
        <v>Error?</v>
      </c>
    </row>
    <row r="7225" spans="1:4" x14ac:dyDescent="0.2">
      <c r="A7225">
        <v>7164</v>
      </c>
      <c r="B7225" s="138">
        <f>'Expenditures 15-22'!K343</f>
        <v>14574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27172</v>
      </c>
      <c r="D7246" s="2" t="str">
        <f t="shared" si="112"/>
        <v>Error?</v>
      </c>
    </row>
    <row r="7247" spans="1:4" x14ac:dyDescent="0.2">
      <c r="A7247">
        <f t="shared" si="113"/>
        <v>7186</v>
      </c>
      <c r="B7247" s="138">
        <f>'Expenditures 15-22'!E7</f>
        <v>639</v>
      </c>
      <c r="D7247" s="2" t="str">
        <f t="shared" si="112"/>
        <v>Error?</v>
      </c>
    </row>
    <row r="7248" spans="1:4" x14ac:dyDescent="0.2">
      <c r="A7248">
        <f t="shared" si="113"/>
        <v>7187</v>
      </c>
      <c r="B7248" s="138">
        <f>'Expenditures 15-22'!F7</f>
        <v>6107</v>
      </c>
      <c r="D7248" s="2" t="str">
        <f t="shared" si="112"/>
        <v>Error?</v>
      </c>
    </row>
    <row r="7249" spans="1:4" x14ac:dyDescent="0.2">
      <c r="A7249">
        <f t="shared" si="113"/>
        <v>7188</v>
      </c>
      <c r="B7249" s="138">
        <f>'Expenditures 15-22'!G7</f>
        <v>5960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15009</v>
      </c>
      <c r="D7251" s="2" t="str">
        <f t="shared" si="112"/>
        <v>Error?</v>
      </c>
    </row>
    <row r="7252" spans="1:4" x14ac:dyDescent="0.2">
      <c r="A7252">
        <f t="shared" si="113"/>
        <v>7191</v>
      </c>
      <c r="B7252" s="138">
        <f>'Expenditures 15-22'!D9</f>
        <v>2414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78211</v>
      </c>
      <c r="D7263" s="2" t="str">
        <f t="shared" si="112"/>
        <v>Error?</v>
      </c>
    </row>
    <row r="7264" spans="1:4" x14ac:dyDescent="0.2">
      <c r="A7264">
        <f t="shared" si="113"/>
        <v>7203</v>
      </c>
      <c r="B7264" s="138">
        <f>'Expenditures 15-22'!D17</f>
        <v>20961</v>
      </c>
      <c r="D7264" s="2" t="str">
        <f t="shared" si="112"/>
        <v>Error?</v>
      </c>
    </row>
    <row r="7265" spans="1:5" x14ac:dyDescent="0.2">
      <c r="A7265">
        <f t="shared" si="113"/>
        <v>7204</v>
      </c>
      <c r="B7265" s="138">
        <f>'Expenditures 15-22'!E17</f>
        <v>7681</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459237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96871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96871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14785</v>
      </c>
      <c r="D7712" s="2" t="str">
        <f t="shared" si="126"/>
        <v>Error?</v>
      </c>
      <c r="E7712" s="2" t="s">
        <v>827</v>
      </c>
    </row>
    <row r="7713" spans="1:6" x14ac:dyDescent="0.2">
      <c r="A7713">
        <v>7652</v>
      </c>
      <c r="B7713" s="138">
        <f>'Rest Tax Levies-Tort Im 25'!J8</f>
        <v>199238</v>
      </c>
      <c r="D7713" s="2" t="str">
        <f t="shared" si="126"/>
        <v>Error?</v>
      </c>
      <c r="E7713" s="2" t="s">
        <v>827</v>
      </c>
    </row>
    <row r="7714" spans="1:6" x14ac:dyDescent="0.2">
      <c r="A7714">
        <v>7653</v>
      </c>
      <c r="B7714" s="138">
        <f>'Rest Tax Levies-Tort Im 25'!K9</f>
        <v>16894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199238</v>
      </c>
      <c r="D7718" s="2" t="str">
        <f t="shared" si="126"/>
        <v>Error?</v>
      </c>
      <c r="E7718" s="2" t="s">
        <v>827</v>
      </c>
    </row>
    <row r="7719" spans="1:6" x14ac:dyDescent="0.2">
      <c r="A7719">
        <v>7658</v>
      </c>
      <c r="B7719" s="138">
        <f>'Rest Tax Levies-Tort Im 25'!K12</f>
        <v>31679</v>
      </c>
      <c r="D7719" s="2" t="str">
        <f t="shared" si="126"/>
        <v>Error?</v>
      </c>
      <c r="E7719" s="2" t="s">
        <v>827</v>
      </c>
    </row>
    <row r="7720" spans="1:6" x14ac:dyDescent="0.2">
      <c r="A7720">
        <v>7659</v>
      </c>
      <c r="B7720" s="138">
        <f>'Rest Tax Levies-Tort Im 25'!H14</f>
        <v>68346</v>
      </c>
      <c r="D7720" s="2" t="str">
        <f t="shared" si="126"/>
        <v>Error?</v>
      </c>
      <c r="E7720" s="2" t="s">
        <v>827</v>
      </c>
    </row>
    <row r="7721" spans="1:6" x14ac:dyDescent="0.2">
      <c r="A7721">
        <v>7660</v>
      </c>
      <c r="B7721" s="138">
        <f>'Rest Tax Levies-Tort Im 25'!K14</f>
        <v>31679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199238</v>
      </c>
      <c r="D7731" s="2" t="str">
        <f t="shared" si="126"/>
        <v>Error?</v>
      </c>
      <c r="E7731" s="2" t="s">
        <v>827</v>
      </c>
    </row>
    <row r="7732" spans="1:6" x14ac:dyDescent="0.2">
      <c r="A7732">
        <v>7671</v>
      </c>
      <c r="B7732" s="138">
        <f>'Rest Tax Levies-Tort Im 25'!J24</f>
        <v>199238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19686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179552</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1840</v>
      </c>
    </row>
    <row r="7775" spans="1:5" x14ac:dyDescent="0.2">
      <c r="A7775">
        <v>7714</v>
      </c>
      <c r="B7775" s="138">
        <f>'Expenditures 15-22'!H133</f>
        <v>0</v>
      </c>
      <c r="D7775" s="2" t="str">
        <f t="shared" si="127"/>
        <v>Error?</v>
      </c>
      <c r="E7775" s="4" t="s">
        <v>1840</v>
      </c>
    </row>
    <row r="7776" spans="1:5" x14ac:dyDescent="0.2">
      <c r="A7776">
        <v>7715</v>
      </c>
      <c r="B7776" s="138">
        <f>'Expenditures 15-22'!K133</f>
        <v>0</v>
      </c>
      <c r="D7776" s="2" t="str">
        <f t="shared" si="127"/>
        <v>Error?</v>
      </c>
      <c r="E7776" s="4" t="s">
        <v>1840</v>
      </c>
    </row>
    <row r="7777" spans="1:5" x14ac:dyDescent="0.2">
      <c r="A7777">
        <v>7716</v>
      </c>
      <c r="B7777" s="138">
        <f>'Expenditures 15-22'!H157</f>
        <v>0</v>
      </c>
      <c r="D7777" s="2" t="str">
        <f t="shared" si="127"/>
        <v>Error?</v>
      </c>
      <c r="E7777" s="4" t="s">
        <v>1840</v>
      </c>
    </row>
    <row r="7778" spans="1:5" x14ac:dyDescent="0.2">
      <c r="A7778">
        <v>7717</v>
      </c>
      <c r="B7778" s="138">
        <f>'Expenditures 15-22'!K157</f>
        <v>0</v>
      </c>
      <c r="D7778" s="2" t="str">
        <f t="shared" si="127"/>
        <v>Error?</v>
      </c>
      <c r="E7778" s="4" t="s">
        <v>1840</v>
      </c>
    </row>
    <row r="7779" spans="1:5" x14ac:dyDescent="0.2">
      <c r="A7779">
        <v>7718</v>
      </c>
      <c r="B7779" s="138">
        <f>'Expenditures 15-22'!H158</f>
        <v>0</v>
      </c>
      <c r="D7779" s="2" t="str">
        <f t="shared" si="127"/>
        <v>Error?</v>
      </c>
      <c r="E7779" s="4" t="s">
        <v>1840</v>
      </c>
    </row>
    <row r="7780" spans="1:5" x14ac:dyDescent="0.2">
      <c r="A7780">
        <v>7719</v>
      </c>
      <c r="B7780" s="138">
        <f>'Expenditures 15-22'!K158</f>
        <v>0</v>
      </c>
      <c r="D7780" s="2" t="str">
        <f t="shared" si="127"/>
        <v>Error?</v>
      </c>
      <c r="E7780" s="4" t="s">
        <v>1840</v>
      </c>
    </row>
    <row r="7781" spans="1:5" x14ac:dyDescent="0.2">
      <c r="A7781">
        <v>7720</v>
      </c>
      <c r="B7781" s="138">
        <f>'Expenditures 15-22'!H159</f>
        <v>0</v>
      </c>
      <c r="D7781" s="2" t="str">
        <f t="shared" si="127"/>
        <v>Error?</v>
      </c>
      <c r="E7781" s="4" t="s">
        <v>1840</v>
      </c>
    </row>
    <row r="7782" spans="1:5" x14ac:dyDescent="0.2">
      <c r="A7782">
        <v>7721</v>
      </c>
      <c r="B7782" s="138">
        <f>'Expenditures 15-22'!K159</f>
        <v>0</v>
      </c>
      <c r="D7782" s="2" t="str">
        <f t="shared" si="127"/>
        <v>Error?</v>
      </c>
      <c r="E7782" s="4" t="s">
        <v>1840</v>
      </c>
    </row>
    <row r="7783" spans="1:5" x14ac:dyDescent="0.2">
      <c r="A7783">
        <v>7722</v>
      </c>
      <c r="B7783" s="138">
        <f>'Expenditures 15-22'!D282</f>
        <v>0</v>
      </c>
      <c r="D7783" s="2" t="str">
        <f t="shared" si="127"/>
        <v>Error?</v>
      </c>
      <c r="E7783" s="4" t="s">
        <v>1840</v>
      </c>
    </row>
    <row r="7784" spans="1:5" x14ac:dyDescent="0.2">
      <c r="A7784">
        <v>7723</v>
      </c>
      <c r="B7784" s="138">
        <f>'Expenditures 15-22'!K282</f>
        <v>0</v>
      </c>
      <c r="D7784" s="2" t="str">
        <f t="shared" si="127"/>
        <v>Error?</v>
      </c>
      <c r="E7784" s="4" t="s">
        <v>1840</v>
      </c>
    </row>
    <row r="7785" spans="1:5" x14ac:dyDescent="0.2">
      <c r="A7785">
        <v>7724</v>
      </c>
      <c r="B7785" s="138">
        <f>'Expenditures 15-22'!H332</f>
        <v>0</v>
      </c>
      <c r="D7785" s="2" t="str">
        <f t="shared" si="127"/>
        <v>Error?</v>
      </c>
      <c r="E7785" s="4" t="s">
        <v>1840</v>
      </c>
    </row>
    <row r="7786" spans="1:5" x14ac:dyDescent="0.2">
      <c r="A7786">
        <v>7725</v>
      </c>
      <c r="B7786" s="138">
        <f>'Expenditures 15-22'!K332</f>
        <v>0</v>
      </c>
      <c r="D7786" s="2" t="str">
        <f t="shared" si="127"/>
        <v>Error?</v>
      </c>
      <c r="E7786" s="4" t="s">
        <v>1840</v>
      </c>
    </row>
    <row r="7787" spans="1:5" x14ac:dyDescent="0.2">
      <c r="A7787">
        <v>7726</v>
      </c>
      <c r="B7787" s="138">
        <f>'Expenditures 15-22'!H333</f>
        <v>0</v>
      </c>
      <c r="D7787" s="2" t="str">
        <f t="shared" si="127"/>
        <v>Error?</v>
      </c>
      <c r="E7787" s="4" t="s">
        <v>1840</v>
      </c>
    </row>
    <row r="7788" spans="1:5" x14ac:dyDescent="0.2">
      <c r="A7788">
        <v>7727</v>
      </c>
      <c r="B7788" s="138">
        <f>'Expenditures 15-22'!K333</f>
        <v>0</v>
      </c>
      <c r="D7788" s="2" t="str">
        <f t="shared" si="127"/>
        <v>Error?</v>
      </c>
      <c r="E7788" s="4" t="s">
        <v>1840</v>
      </c>
    </row>
    <row r="7789" spans="1:5" x14ac:dyDescent="0.2">
      <c r="A7789">
        <v>7728</v>
      </c>
      <c r="B7789" s="138">
        <f>'Expenditures 15-22'!H334</f>
        <v>0</v>
      </c>
      <c r="D7789" s="2" t="str">
        <f t="shared" si="127"/>
        <v>Error?</v>
      </c>
      <c r="E7789" s="4" t="s">
        <v>1840</v>
      </c>
    </row>
    <row r="7790" spans="1:5" x14ac:dyDescent="0.2">
      <c r="A7790">
        <v>7729</v>
      </c>
      <c r="B7790" s="138">
        <f>'Expenditures 15-22'!K334</f>
        <v>0</v>
      </c>
      <c r="D7790" s="2" t="str">
        <f t="shared" si="127"/>
        <v>Error?</v>
      </c>
      <c r="E7790" s="4" t="s">
        <v>1840</v>
      </c>
    </row>
    <row r="7791" spans="1:5" x14ac:dyDescent="0.2">
      <c r="A7791">
        <v>7730</v>
      </c>
      <c r="B7791" s="138">
        <f>'Expenditures 15-22'!H354</f>
        <v>0</v>
      </c>
      <c r="D7791" s="2" t="str">
        <f t="shared" si="127"/>
        <v>Error?</v>
      </c>
      <c r="E7791" s="4" t="s">
        <v>1840</v>
      </c>
    </row>
    <row r="7792" spans="1:5" x14ac:dyDescent="0.2">
      <c r="A7792">
        <v>7731</v>
      </c>
      <c r="B7792" s="138">
        <f>'Expenditures 15-22'!K354</f>
        <v>0</v>
      </c>
      <c r="D7792" s="2" t="str">
        <f t="shared" si="127"/>
        <v>Error?</v>
      </c>
      <c r="E7792" s="4" t="s">
        <v>1840</v>
      </c>
    </row>
    <row r="7793" spans="1:5" x14ac:dyDescent="0.2">
      <c r="A7793">
        <v>7732</v>
      </c>
      <c r="B7793" s="138">
        <f>'Expenditures 15-22'!H355</f>
        <v>0</v>
      </c>
      <c r="D7793" s="2" t="str">
        <f t="shared" si="127"/>
        <v>Error?</v>
      </c>
      <c r="E7793" s="4" t="s">
        <v>1840</v>
      </c>
    </row>
    <row r="7794" spans="1:5" x14ac:dyDescent="0.2">
      <c r="A7794">
        <v>7733</v>
      </c>
      <c r="B7794" s="138">
        <f>'Expenditures 15-22'!K355</f>
        <v>0</v>
      </c>
      <c r="D7794" s="2" t="str">
        <f t="shared" si="127"/>
        <v>Error?</v>
      </c>
      <c r="E7794" s="4" t="s">
        <v>1840</v>
      </c>
    </row>
    <row r="7795" spans="1:5" x14ac:dyDescent="0.2">
      <c r="A7795">
        <v>7734</v>
      </c>
      <c r="B7795" s="138">
        <f>'Expenditures 15-22'!E138</f>
        <v>0</v>
      </c>
      <c r="D7795" s="2" t="str">
        <f t="shared" si="127"/>
        <v>Error?</v>
      </c>
      <c r="E7795" s="4" t="s">
        <v>1840</v>
      </c>
    </row>
    <row r="7796" spans="1:5" x14ac:dyDescent="0.2">
      <c r="A7796">
        <v>7735</v>
      </c>
      <c r="B7796" s="138">
        <f>'Acct Summary 7-8'!J15</f>
        <v>0</v>
      </c>
      <c r="D7796" s="2" t="str">
        <f t="shared" si="127"/>
        <v>Error?</v>
      </c>
      <c r="E7796" s="4" t="s">
        <v>1840</v>
      </c>
    </row>
    <row r="7797" spans="1:5" x14ac:dyDescent="0.2">
      <c r="A7797">
        <v>7736</v>
      </c>
      <c r="B7797" s="138">
        <f>'Contracts Paid in CY 29'!D141</f>
        <v>0</v>
      </c>
      <c r="D7797" s="2" t="str">
        <f t="shared" si="127"/>
        <v>Error?</v>
      </c>
      <c r="E7797" s="4" t="s">
        <v>1889</v>
      </c>
    </row>
    <row r="7798" spans="1:5" x14ac:dyDescent="0.2">
      <c r="A7798">
        <v>7737</v>
      </c>
      <c r="B7798" s="138">
        <f>'Contracts Paid in CY 29'!F141</f>
        <v>0</v>
      </c>
      <c r="D7798" s="2" t="str">
        <f t="shared" si="127"/>
        <v>Error?</v>
      </c>
      <c r="E7798" s="4" t="s">
        <v>1889</v>
      </c>
    </row>
    <row r="7799" spans="1:5" x14ac:dyDescent="0.2">
      <c r="A7799">
        <v>7738</v>
      </c>
      <c r="B7799" s="138">
        <f>'Contracts Paid in CY 29'!G141</f>
        <v>0</v>
      </c>
      <c r="D7799" s="2" t="str">
        <f t="shared" si="127"/>
        <v>Error?</v>
      </c>
      <c r="E7799" s="4" t="s">
        <v>1889</v>
      </c>
    </row>
    <row r="7800" spans="1:5" x14ac:dyDescent="0.2">
      <c r="A7800">
        <v>7739</v>
      </c>
      <c r="D7800" s="2" t="str">
        <f t="shared" si="127"/>
        <v>OK</v>
      </c>
    </row>
    <row r="7801" spans="1:5" x14ac:dyDescent="0.2">
      <c r="A7801">
        <v>7740</v>
      </c>
      <c r="B7801" s="138">
        <f>'Revenues 9-14'!C120</f>
        <v>0</v>
      </c>
      <c r="D7801" s="2" t="str">
        <f t="shared" si="127"/>
        <v>Error?</v>
      </c>
      <c r="E7801" s="4" t="s">
        <v>1925</v>
      </c>
    </row>
    <row r="7802" spans="1:5" x14ac:dyDescent="0.2">
      <c r="A7802">
        <v>7741</v>
      </c>
      <c r="B7802" s="138">
        <f>'Revenues 9-14'!D120</f>
        <v>0</v>
      </c>
      <c r="D7802" s="2" t="str">
        <f t="shared" si="127"/>
        <v>Error?</v>
      </c>
      <c r="E7802" s="4" t="s">
        <v>1925</v>
      </c>
    </row>
    <row r="7803" spans="1:5" x14ac:dyDescent="0.2">
      <c r="A7803">
        <v>7742</v>
      </c>
      <c r="B7803" s="138">
        <f>'Revenues 9-14'!E120</f>
        <v>0</v>
      </c>
      <c r="D7803" s="2" t="str">
        <f t="shared" si="127"/>
        <v>Error?</v>
      </c>
      <c r="E7803" s="4" t="s">
        <v>1925</v>
      </c>
    </row>
    <row r="7804" spans="1:5" x14ac:dyDescent="0.2">
      <c r="A7804">
        <v>7743</v>
      </c>
      <c r="B7804" s="138">
        <f>'Revenues 9-14'!F120</f>
        <v>0</v>
      </c>
      <c r="D7804" s="2" t="str">
        <f t="shared" si="127"/>
        <v>Error?</v>
      </c>
      <c r="E7804" s="4" t="s">
        <v>1925</v>
      </c>
    </row>
    <row r="7805" spans="1:5" x14ac:dyDescent="0.2">
      <c r="A7805">
        <v>7744</v>
      </c>
      <c r="B7805" s="138">
        <f>'Revenues 9-14'!G120</f>
        <v>0</v>
      </c>
      <c r="D7805" s="2" t="str">
        <f t="shared" si="127"/>
        <v>Error?</v>
      </c>
      <c r="E7805" s="4" t="s">
        <v>1925</v>
      </c>
    </row>
    <row r="7806" spans="1:5" x14ac:dyDescent="0.2">
      <c r="A7806">
        <v>7745</v>
      </c>
      <c r="B7806" s="138">
        <f>'Revenues 9-14'!H120</f>
        <v>0</v>
      </c>
      <c r="D7806" s="2" t="str">
        <f t="shared" si="127"/>
        <v>Error?</v>
      </c>
      <c r="E7806" s="4" t="s">
        <v>1925</v>
      </c>
    </row>
    <row r="7807" spans="1:5" x14ac:dyDescent="0.2">
      <c r="A7807">
        <v>7746</v>
      </c>
      <c r="B7807" s="138">
        <f>'Revenues 9-14'!J120</f>
        <v>0</v>
      </c>
      <c r="D7807" s="2" t="str">
        <f t="shared" ref="D7807:D7816" si="128">IF(ISBLANK(B7807),"OK",IF(A7807-B7807=0,"OK","Error?"))</f>
        <v>Error?</v>
      </c>
      <c r="E7807" s="4" t="s">
        <v>1925</v>
      </c>
    </row>
    <row r="7808" spans="1:5" x14ac:dyDescent="0.2">
      <c r="A7808">
        <v>7747</v>
      </c>
      <c r="B7808" s="138">
        <f>'Revenues 9-14'!K120</f>
        <v>0</v>
      </c>
      <c r="D7808" s="2" t="str">
        <f t="shared" si="128"/>
        <v>Error?</v>
      </c>
      <c r="E7808" s="4" t="s">
        <v>1925</v>
      </c>
    </row>
    <row r="7809" spans="1:5" x14ac:dyDescent="0.2">
      <c r="A7809">
        <v>7748</v>
      </c>
      <c r="B7809" s="138">
        <f>'Revenues 9-14'!C261</f>
        <v>0</v>
      </c>
      <c r="D7809" s="2" t="str">
        <f t="shared" si="128"/>
        <v>Error?</v>
      </c>
      <c r="E7809" s="4" t="s">
        <v>1926</v>
      </c>
    </row>
    <row r="7810" spans="1:5" x14ac:dyDescent="0.2">
      <c r="A7810">
        <v>7749</v>
      </c>
      <c r="B7810" s="138">
        <f>'Revenues 9-14'!D261</f>
        <v>0</v>
      </c>
      <c r="D7810" s="2" t="str">
        <f t="shared" si="128"/>
        <v>Error?</v>
      </c>
      <c r="E7810" s="4" t="s">
        <v>1926</v>
      </c>
    </row>
    <row r="7811" spans="1:5" x14ac:dyDescent="0.2">
      <c r="A7811">
        <v>7750</v>
      </c>
      <c r="B7811" s="138">
        <f>'Revenues 9-14'!F261</f>
        <v>0</v>
      </c>
      <c r="D7811" s="2" t="str">
        <f t="shared" si="128"/>
        <v>Error?</v>
      </c>
      <c r="E7811" s="4" t="s">
        <v>1926</v>
      </c>
    </row>
    <row r="7812" spans="1:5" x14ac:dyDescent="0.2">
      <c r="A7812">
        <v>7751</v>
      </c>
      <c r="B7812" s="138">
        <f>'Revenues 9-14'!G261</f>
        <v>0</v>
      </c>
      <c r="D7812" s="2" t="str">
        <f t="shared" si="128"/>
        <v>Error?</v>
      </c>
      <c r="E7812" s="4" t="s">
        <v>1926</v>
      </c>
    </row>
    <row r="7813" spans="1:5" x14ac:dyDescent="0.2">
      <c r="A7813">
        <v>7752</v>
      </c>
      <c r="B7813" s="138">
        <f>'Revenues 9-14'!C262</f>
        <v>0</v>
      </c>
      <c r="D7813" s="2" t="str">
        <f t="shared" si="128"/>
        <v>Error?</v>
      </c>
      <c r="E7813" s="4" t="s">
        <v>1927</v>
      </c>
    </row>
    <row r="7814" spans="1:5" x14ac:dyDescent="0.2">
      <c r="A7814">
        <v>7753</v>
      </c>
      <c r="B7814" s="138">
        <f>'Revenues 9-14'!D262</f>
        <v>0</v>
      </c>
      <c r="D7814" s="2" t="str">
        <f t="shared" si="128"/>
        <v>Error?</v>
      </c>
      <c r="E7814" s="4" t="s">
        <v>1927</v>
      </c>
    </row>
    <row r="7815" spans="1:5" x14ac:dyDescent="0.2">
      <c r="A7815">
        <v>7754</v>
      </c>
      <c r="B7815" s="138">
        <f>'Revenues 9-14'!F262</f>
        <v>0</v>
      </c>
      <c r="D7815" s="2" t="str">
        <f t="shared" si="128"/>
        <v>Error?</v>
      </c>
      <c r="E7815" s="4" t="s">
        <v>1927</v>
      </c>
    </row>
    <row r="7816" spans="1:5" x14ac:dyDescent="0.2">
      <c r="A7816">
        <v>7755</v>
      </c>
      <c r="B7816" s="138">
        <f>'Revenues 9-14'!G262</f>
        <v>0</v>
      </c>
      <c r="D7816" s="2" t="str">
        <f t="shared" si="128"/>
        <v>Error?</v>
      </c>
      <c r="E7816" s="4" t="s">
        <v>1927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6" t="s">
        <v>1190</v>
      </c>
      <c r="B3" s="2416"/>
      <c r="C3" s="2416"/>
      <c r="D3" s="2416"/>
      <c r="E3" s="2416"/>
      <c r="F3" s="2416"/>
      <c r="G3" s="2416"/>
      <c r="H3" s="2416"/>
      <c r="I3" s="2416"/>
      <c r="J3" s="2416"/>
      <c r="K3" s="2416"/>
      <c r="L3" s="2416"/>
    </row>
    <row r="4" spans="1:29" ht="13.5" customHeight="1" x14ac:dyDescent="0.2">
      <c r="A4" s="2385" t="s">
        <v>1973</v>
      </c>
      <c r="B4" s="2406"/>
      <c r="C4" s="2406"/>
      <c r="D4" s="2406"/>
      <c r="E4" s="2406"/>
      <c r="F4" s="2406"/>
      <c r="G4" s="2406"/>
      <c r="H4" s="2406"/>
      <c r="I4" s="2406"/>
      <c r="J4" s="2406"/>
      <c r="K4" s="2406"/>
      <c r="L4" s="240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7" t="str">
        <f>COVER!A17</f>
        <v>El Paso-Gridley CUSD 11</v>
      </c>
      <c r="B7" s="2408"/>
      <c r="C7" s="2408"/>
      <c r="D7" s="2409"/>
      <c r="E7" s="2410">
        <f>COVER!A13</f>
        <v>53102011026</v>
      </c>
      <c r="F7" s="2411"/>
      <c r="G7" s="2417" t="str">
        <f>COVER!T23</f>
        <v>066-004933</v>
      </c>
      <c r="H7" s="2418"/>
      <c r="I7" s="2418"/>
      <c r="J7" s="2418"/>
      <c r="K7" s="2418"/>
      <c r="L7" s="241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20"/>
      <c r="B9" s="2421"/>
      <c r="C9" s="2421"/>
      <c r="D9" s="2421"/>
      <c r="E9" s="2421"/>
      <c r="F9" s="2422"/>
      <c r="G9" s="2391" t="str">
        <f>COVER!T13</f>
        <v>Phillips &amp; Associates, CPAs, P.C.</v>
      </c>
      <c r="H9" s="2423"/>
      <c r="I9" s="2423"/>
      <c r="J9" s="2423"/>
      <c r="K9" s="2423"/>
      <c r="L9" s="2424"/>
    </row>
    <row r="10" spans="1:29" ht="13.5" customHeight="1" x14ac:dyDescent="0.2">
      <c r="A10" s="2397" t="str">
        <f>COVER!A38</f>
        <v>Brian Kurz</v>
      </c>
      <c r="B10" s="2398"/>
      <c r="C10" s="2398"/>
      <c r="D10" s="2398"/>
      <c r="E10" s="2398"/>
      <c r="F10" s="2399"/>
      <c r="G10" s="2391" t="str">
        <f>COVER!T17</f>
        <v>1600 Hunt Dr., Ste B</v>
      </c>
      <c r="H10" s="2392"/>
      <c r="I10" s="2392"/>
      <c r="J10" s="2392"/>
      <c r="K10" s="2392"/>
      <c r="L10" s="2393"/>
    </row>
    <row r="11" spans="1:29" ht="13.5" customHeight="1" x14ac:dyDescent="0.2">
      <c r="A11" s="1181" t="s">
        <v>1519</v>
      </c>
      <c r="B11" s="1182"/>
      <c r="C11" s="1183"/>
      <c r="D11" s="1188"/>
      <c r="E11" s="1183"/>
      <c r="F11" s="1187"/>
      <c r="G11" s="2391" t="str">
        <f>COVER!T19</f>
        <v>Normal</v>
      </c>
      <c r="H11" s="2392"/>
      <c r="I11" s="2392"/>
      <c r="J11" s="2392"/>
      <c r="K11" s="2392"/>
      <c r="L11" s="2393"/>
    </row>
    <row r="12" spans="1:29" ht="13.5" customHeight="1" x14ac:dyDescent="0.2">
      <c r="A12" s="2400" t="s">
        <v>1518</v>
      </c>
      <c r="B12" s="2401"/>
      <c r="C12" s="2401"/>
      <c r="D12" s="2401"/>
      <c r="E12" s="2401"/>
      <c r="F12" s="2402"/>
      <c r="G12" s="2394"/>
      <c r="H12" s="2395"/>
      <c r="I12" s="2395"/>
      <c r="J12" s="2395"/>
      <c r="K12" s="2395"/>
      <c r="L12" s="2396"/>
    </row>
    <row r="13" spans="1:29" ht="13.5" customHeight="1" x14ac:dyDescent="0.2">
      <c r="A13" s="2391"/>
      <c r="B13" s="2392"/>
      <c r="C13" s="2392"/>
      <c r="D13" s="2392"/>
      <c r="E13" s="2392"/>
      <c r="F13" s="2393"/>
      <c r="G13" s="2386" t="s">
        <v>1520</v>
      </c>
      <c r="H13" s="2387"/>
      <c r="I13" s="2403" t="str">
        <f>COVER!T25</f>
        <v>rwp6505@aol.com</v>
      </c>
      <c r="J13" s="2404"/>
      <c r="K13" s="2404"/>
      <c r="L13" s="2405"/>
    </row>
    <row r="14" spans="1:29" ht="13.5" customHeight="1" x14ac:dyDescent="0.2">
      <c r="A14" s="2391" t="str">
        <f>COVER!A19</f>
        <v>97 West Fifth Street</v>
      </c>
      <c r="B14" s="2392"/>
      <c r="C14" s="2392"/>
      <c r="D14" s="2392"/>
      <c r="E14" s="2392"/>
      <c r="F14" s="2393"/>
      <c r="G14" s="1192" t="s">
        <v>1185</v>
      </c>
      <c r="H14" s="1190"/>
      <c r="I14" s="1190"/>
      <c r="J14" s="1190"/>
      <c r="K14" s="1190"/>
      <c r="L14" s="1191"/>
    </row>
    <row r="15" spans="1:29" ht="13.5" customHeight="1" x14ac:dyDescent="0.2">
      <c r="A15" s="2391" t="str">
        <f>COVER!A21</f>
        <v>El Paso</v>
      </c>
      <c r="B15" s="2392"/>
      <c r="C15" s="2392"/>
      <c r="D15" s="2392"/>
      <c r="E15" s="2392"/>
      <c r="F15" s="2393"/>
      <c r="G15" s="2388" t="str">
        <f>COVER!T15</f>
        <v>Richard W. Phillips</v>
      </c>
      <c r="H15" s="2389"/>
      <c r="I15" s="2389"/>
      <c r="J15" s="2389"/>
      <c r="K15" s="2389"/>
      <c r="L15" s="2390"/>
    </row>
    <row r="16" spans="1:29" ht="12.2" customHeight="1" x14ac:dyDescent="0.2">
      <c r="A16" s="2413">
        <f>COVER!A25</f>
        <v>61738</v>
      </c>
      <c r="B16" s="2414"/>
      <c r="C16" s="2414"/>
      <c r="D16" s="2414"/>
      <c r="E16" s="2414"/>
      <c r="F16" s="2415"/>
      <c r="G16" s="2425"/>
      <c r="H16" s="2426"/>
      <c r="I16" s="2426"/>
      <c r="J16" s="2426"/>
      <c r="K16" s="2426"/>
      <c r="L16" s="2427"/>
    </row>
    <row r="17" spans="1:13" ht="12.2" customHeight="1" x14ac:dyDescent="0.2">
      <c r="A17" s="2428"/>
      <c r="B17" s="2414"/>
      <c r="C17" s="2414"/>
      <c r="D17" s="2414"/>
      <c r="E17" s="2414"/>
      <c r="F17" s="2415"/>
      <c r="G17" s="1192" t="s">
        <v>1184</v>
      </c>
      <c r="H17" s="1190"/>
      <c r="I17" s="1190"/>
      <c r="J17" s="1190"/>
      <c r="K17" s="1194" t="s">
        <v>1183</v>
      </c>
      <c r="L17" s="1187"/>
      <c r="M17" s="1180"/>
    </row>
    <row r="18" spans="1:13" ht="12.2" customHeight="1" x14ac:dyDescent="0.2">
      <c r="A18" s="2397"/>
      <c r="B18" s="2398"/>
      <c r="C18" s="2398"/>
      <c r="D18" s="2398"/>
      <c r="E18" s="2398"/>
      <c r="F18" s="2399"/>
      <c r="G18" s="2407" t="str">
        <f>COVER!T21</f>
        <v>309-452-2417</v>
      </c>
      <c r="H18" s="2408"/>
      <c r="I18" s="2408"/>
      <c r="J18" s="2408"/>
      <c r="K18" s="2407" t="str">
        <f>COVER!X21</f>
        <v>309-888-9261</v>
      </c>
      <c r="L18" s="241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1684</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1685</v>
      </c>
    </row>
    <row r="27" spans="1:13" s="1195" customFormat="1" ht="9" customHeight="1" x14ac:dyDescent="0.2">
      <c r="B27" s="1200"/>
      <c r="C27" s="1199"/>
    </row>
    <row r="28" spans="1:13" s="1195" customFormat="1" ht="12.2" customHeight="1" x14ac:dyDescent="0.2">
      <c r="A28" s="1202"/>
      <c r="B28" s="1198"/>
      <c r="C28" s="1199" t="s">
        <v>1686</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1687</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1821</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9" t="str">
        <f>'Single Audit Cover'!A7</f>
        <v>El Paso-Gridley CUSD 11</v>
      </c>
      <c r="B1" s="2406"/>
      <c r="C1" s="2406"/>
      <c r="D1" s="2406"/>
    </row>
    <row r="2" spans="1:11" s="1209" customFormat="1" ht="12.75" x14ac:dyDescent="0.2">
      <c r="A2" s="2430">
        <f>'Single Audit Cover'!E7</f>
        <v>53102011026</v>
      </c>
      <c r="B2" s="2431"/>
      <c r="C2" s="2431"/>
      <c r="D2" s="2431"/>
    </row>
    <row r="3" spans="1:11" s="1209" customFormat="1" ht="12.75" x14ac:dyDescent="0.2">
      <c r="A3" s="2429" t="s">
        <v>1513</v>
      </c>
      <c r="B3" s="2406"/>
      <c r="C3" s="2406"/>
      <c r="D3" s="2406"/>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1688</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1689</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1690</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1691</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1712</v>
      </c>
      <c r="E24" s="1222"/>
      <c r="F24" s="1222"/>
      <c r="G24" s="1222"/>
      <c r="H24" s="1222"/>
      <c r="I24" s="1222"/>
      <c r="J24" s="1222"/>
      <c r="K24" s="1222"/>
    </row>
    <row r="25" spans="1:11" x14ac:dyDescent="0.2">
      <c r="A25" s="1216"/>
      <c r="B25" s="1225"/>
      <c r="D25" s="1224" t="s">
        <v>1692</v>
      </c>
      <c r="E25" s="1222"/>
      <c r="F25" s="1222"/>
      <c r="G25" s="1222"/>
      <c r="H25" s="1222"/>
      <c r="I25" s="1222"/>
      <c r="J25" s="1222"/>
      <c r="K25" s="1222"/>
    </row>
    <row r="26" spans="1:11" x14ac:dyDescent="0.2">
      <c r="A26" s="1216"/>
      <c r="B26" s="1225"/>
      <c r="D26" s="1229" t="s">
        <v>1693</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0"/>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1694</v>
      </c>
    </row>
    <row r="57" spans="1:4" ht="10.5" customHeight="1" x14ac:dyDescent="0.2">
      <c r="A57" s="1216"/>
      <c r="D57" s="1231" t="s">
        <v>1695</v>
      </c>
    </row>
    <row r="58" spans="1:4" x14ac:dyDescent="0.2">
      <c r="A58" s="1216"/>
      <c r="C58" s="1238"/>
      <c r="D58" s="1231" t="s">
        <v>1696</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1697</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1698</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1699</v>
      </c>
    </row>
    <row r="70" spans="1:4" x14ac:dyDescent="0.2">
      <c r="A70" s="1216"/>
      <c r="D70" s="1240" t="s">
        <v>1206</v>
      </c>
    </row>
    <row r="71" spans="1:4" ht="3" customHeight="1" x14ac:dyDescent="0.2">
      <c r="A71" s="1216"/>
      <c r="D71" s="1215"/>
    </row>
    <row r="72" spans="1:4" x14ac:dyDescent="0.2">
      <c r="A72" s="1216"/>
      <c r="B72" s="1219"/>
      <c r="C72" s="1220">
        <f>C56+1</f>
        <v>18</v>
      </c>
      <c r="D72" s="1241" t="s">
        <v>1700</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1701</v>
      </c>
    </row>
    <row r="77" spans="1:4" ht="3" customHeight="1" x14ac:dyDescent="0.2">
      <c r="A77" s="1216"/>
      <c r="B77" s="1223"/>
      <c r="C77" s="1220"/>
      <c r="D77" s="1242"/>
    </row>
    <row r="78" spans="1:4" x14ac:dyDescent="0.2">
      <c r="A78" s="1216"/>
      <c r="B78" s="1219"/>
      <c r="C78" s="1220">
        <f>C76+1</f>
        <v>21</v>
      </c>
      <c r="D78" s="1215" t="s">
        <v>1702</v>
      </c>
    </row>
    <row r="79" spans="1:4" ht="3" customHeight="1" x14ac:dyDescent="0.2">
      <c r="A79" s="1216"/>
      <c r="B79" s="1223"/>
      <c r="C79" s="1220"/>
      <c r="D79" s="1215"/>
    </row>
    <row r="80" spans="1:4" x14ac:dyDescent="0.2">
      <c r="A80" s="1216"/>
      <c r="B80" s="1219"/>
      <c r="C80" s="1220">
        <f>C78+1</f>
        <v>22</v>
      </c>
      <c r="D80" s="1243" t="s">
        <v>1703</v>
      </c>
    </row>
    <row r="81" spans="1:4" ht="3" customHeight="1" x14ac:dyDescent="0.2">
      <c r="A81" s="1216"/>
      <c r="B81" s="1223"/>
      <c r="C81" s="1220"/>
      <c r="D81" s="1243"/>
    </row>
    <row r="82" spans="1:4" x14ac:dyDescent="0.2">
      <c r="A82" s="1216"/>
      <c r="B82" s="1219"/>
      <c r="C82" s="1220">
        <f>C80+1</f>
        <v>23</v>
      </c>
      <c r="D82" s="1242" t="s">
        <v>1704</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1705</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1706</v>
      </c>
    </row>
    <row r="97" spans="1:4" ht="3" customHeight="1" x14ac:dyDescent="0.2">
      <c r="A97" s="1216"/>
      <c r="B97" s="1223"/>
      <c r="C97" s="1220"/>
      <c r="D97" s="1231"/>
    </row>
    <row r="98" spans="1:4" x14ac:dyDescent="0.2">
      <c r="A98" s="1216"/>
      <c r="B98" s="1219"/>
      <c r="C98" s="1220">
        <f>C96+1</f>
        <v>29</v>
      </c>
      <c r="D98" s="1245" t="s">
        <v>1707</v>
      </c>
    </row>
    <row r="99" spans="1:4" ht="3" customHeight="1" x14ac:dyDescent="0.2">
      <c r="A99" s="1216"/>
      <c r="B99" s="1223"/>
      <c r="C99" s="1220"/>
      <c r="D99" s="1245"/>
    </row>
    <row r="100" spans="1:4" x14ac:dyDescent="0.2">
      <c r="A100" s="1216"/>
      <c r="B100" s="1219"/>
      <c r="C100" s="1220">
        <f>C98+1</f>
        <v>30</v>
      </c>
      <c r="D100" s="1231" t="s">
        <v>1708</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0"/>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1709</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1710</v>
      </c>
    </row>
    <row r="118" spans="1:4" ht="3" customHeight="1" x14ac:dyDescent="0.2">
      <c r="A118" s="1216"/>
      <c r="B118" s="1223"/>
      <c r="C118" s="1220"/>
      <c r="D118" s="1231"/>
    </row>
    <row r="119" spans="1:4" x14ac:dyDescent="0.2">
      <c r="A119" s="1216"/>
      <c r="B119" s="1219"/>
      <c r="C119" s="1220">
        <f>C117+1</f>
        <v>38</v>
      </c>
      <c r="D119" s="1231" t="s">
        <v>1711</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1822</v>
      </c>
    </row>
    <row r="124" spans="1:4" x14ac:dyDescent="0.2">
      <c r="A124" s="1216"/>
      <c r="B124" s="310"/>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2" customWidth="1"/>
    <col min="3" max="3" width="1.28515625" style="1252" customWidth="1"/>
    <col min="4" max="4" width="24.42578125" style="1253" customWidth="1"/>
    <col min="5" max="5" width="5" style="315" customWidth="1"/>
    <col min="6" max="16384" width="15.7109375" style="315"/>
  </cols>
  <sheetData>
    <row r="1" spans="1:5" x14ac:dyDescent="0.2">
      <c r="A1" s="2433" t="str">
        <f>'Single Audit Cover'!A7</f>
        <v>El Paso-Gridley CUSD 11</v>
      </c>
      <c r="B1" s="2433"/>
      <c r="C1" s="2433"/>
      <c r="D1" s="2433"/>
      <c r="E1" s="2433"/>
    </row>
    <row r="2" spans="1:5" x14ac:dyDescent="0.2">
      <c r="A2" s="2434">
        <f>'Single Audit Cover'!E7</f>
        <v>53102011026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4" t="s">
        <v>1243</v>
      </c>
    </row>
    <row r="10" spans="1:5" x14ac:dyDescent="0.2">
      <c r="A10" s="1255" t="s">
        <v>1242</v>
      </c>
      <c r="B10" s="1256" t="s">
        <v>1241</v>
      </c>
      <c r="C10" s="1256"/>
      <c r="D10" s="1257">
        <f>SUM('Acct Summary 7-8'!C7:K7)</f>
        <v>412995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1713</v>
      </c>
      <c r="B14" s="1256"/>
      <c r="C14" s="1256"/>
      <c r="D14" s="1258">
        <f>'ICR Computation 30'!E11</f>
        <v>0</v>
      </c>
    </row>
    <row r="15" spans="1:5" x14ac:dyDescent="0.2">
      <c r="A15" s="1255"/>
      <c r="B15" s="1256"/>
      <c r="C15" s="1256"/>
    </row>
    <row r="16" spans="1:5" x14ac:dyDescent="0.2">
      <c r="A16" s="1255" t="s">
        <v>1829</v>
      </c>
      <c r="B16" s="1256"/>
      <c r="C16" s="1256"/>
    </row>
    <row r="17" spans="1:4" x14ac:dyDescent="0.2">
      <c r="A17" s="1255" t="s">
        <v>2045</v>
      </c>
      <c r="B17" s="1256" t="s">
        <v>1236</v>
      </c>
      <c r="C17" s="1256"/>
      <c r="D17" s="1258">
        <f>-SUM('Revenues 9-14'!C264:D264,'Revenues 9-14'!F264:G264)</f>
        <v>-11869</v>
      </c>
    </row>
    <row r="19" spans="1:4" ht="13.5" thickBot="1" x14ac:dyDescent="0.25">
      <c r="A19" s="1259" t="s">
        <v>1235</v>
      </c>
      <c r="D19" s="1260">
        <f>SUM(D10:D17)</f>
        <v>401126</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5"/>
      <c r="B24" s="2435"/>
      <c r="D24" s="1262"/>
    </row>
    <row r="25" spans="1:4" x14ac:dyDescent="0.2">
      <c r="A25" s="2432"/>
      <c r="B25" s="2432"/>
      <c r="D25" s="1262"/>
    </row>
    <row r="26" spans="1:4" x14ac:dyDescent="0.2">
      <c r="A26" s="2432"/>
      <c r="B26" s="2432"/>
      <c r="D26" s="1262"/>
    </row>
    <row r="27" spans="1:4" x14ac:dyDescent="0.2">
      <c r="A27" s="2432"/>
      <c r="B27" s="2432"/>
      <c r="D27" s="1262"/>
    </row>
    <row r="28" spans="1:4" x14ac:dyDescent="0.2">
      <c r="A28" s="2432"/>
      <c r="B28" s="2432"/>
      <c r="D28" s="1262"/>
    </row>
    <row r="29" spans="1:4" x14ac:dyDescent="0.2">
      <c r="A29" s="2432"/>
      <c r="B29" s="2432"/>
      <c r="D29" s="1262"/>
    </row>
    <row r="30" spans="1:4" x14ac:dyDescent="0.2">
      <c r="A30" s="2432"/>
      <c r="B30" s="2432"/>
      <c r="D30" s="1262"/>
    </row>
    <row r="32" spans="1:4" x14ac:dyDescent="0.2">
      <c r="A32" s="1254" t="s">
        <v>1233</v>
      </c>
      <c r="D32" s="1257">
        <f>SUM(D19:D30)</f>
        <v>401126</v>
      </c>
    </row>
    <row r="33" spans="1:4" x14ac:dyDescent="0.2">
      <c r="D33" s="1263"/>
    </row>
    <row r="34" spans="1:4" x14ac:dyDescent="0.2">
      <c r="A34" s="315" t="s">
        <v>1232</v>
      </c>
    </row>
    <row r="35" spans="1:4" x14ac:dyDescent="0.2">
      <c r="A35" s="315" t="s">
        <v>1231</v>
      </c>
      <c r="B35" s="1252" t="s">
        <v>1230</v>
      </c>
      <c r="D35" s="1264"/>
    </row>
    <row r="37" spans="1:4" x14ac:dyDescent="0.2">
      <c r="A37" s="1254" t="s">
        <v>1229</v>
      </c>
    </row>
    <row r="39" spans="1:4" ht="13.35" customHeight="1" x14ac:dyDescent="0.2">
      <c r="A39" s="1261" t="s">
        <v>1228</v>
      </c>
    </row>
    <row r="40" spans="1:4" x14ac:dyDescent="0.2">
      <c r="A40" s="2432"/>
      <c r="B40" s="2432"/>
      <c r="D40" s="1262"/>
    </row>
    <row r="41" spans="1:4" x14ac:dyDescent="0.2">
      <c r="A41" s="2432"/>
      <c r="B41" s="2432"/>
      <c r="D41" s="1265"/>
    </row>
    <row r="42" spans="1:4" x14ac:dyDescent="0.2">
      <c r="A42" s="2432"/>
      <c r="B42" s="2432"/>
      <c r="D42" s="1265"/>
    </row>
    <row r="43" spans="1:4" x14ac:dyDescent="0.2">
      <c r="A43" s="2432"/>
      <c r="B43" s="2432"/>
      <c r="D43" s="1265"/>
    </row>
    <row r="44" spans="1:4" x14ac:dyDescent="0.2">
      <c r="A44" s="2432"/>
      <c r="B44" s="2432"/>
      <c r="D44" s="1265"/>
    </row>
    <row r="45" spans="1:4" x14ac:dyDescent="0.2">
      <c r="A45" s="2432"/>
      <c r="B45" s="2432"/>
      <c r="D45" s="1265"/>
    </row>
    <row r="47" spans="1:4" x14ac:dyDescent="0.2">
      <c r="B47" s="1266" t="s">
        <v>1227</v>
      </c>
      <c r="C47" s="1266"/>
      <c r="D47" s="1267">
        <f>SUM(D35:D45)</f>
        <v>0</v>
      </c>
    </row>
    <row r="49" spans="2:4" x14ac:dyDescent="0.2">
      <c r="B49" s="1266" t="s">
        <v>1226</v>
      </c>
      <c r="C49" s="1266"/>
      <c r="D49" s="1267">
        <f>D32-D47</f>
        <v>401126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1" customWidth="1"/>
    <col min="4" max="4" width="12.7109375" style="1352" customWidth="1"/>
    <col min="5" max="6" width="11.7109375" style="315"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5" customWidth="1"/>
    <col min="14" max="14" width="2.7109375" style="315" customWidth="1"/>
    <col min="15" max="16384" width="33.5703125" style="315"/>
  </cols>
  <sheetData>
    <row r="1" spans="2:14" ht="11.85" customHeight="1" x14ac:dyDescent="0.2">
      <c r="B1" s="2416" t="str">
        <f>'Single Audit Cover'!A7</f>
        <v>El Paso-Gridley CUSD 11</v>
      </c>
      <c r="C1" s="2437"/>
      <c r="D1" s="2437"/>
      <c r="E1" s="2437"/>
      <c r="F1" s="2437"/>
      <c r="G1" s="2437"/>
      <c r="H1" s="2437"/>
      <c r="I1" s="2437"/>
      <c r="J1" s="2437"/>
      <c r="K1" s="2437"/>
      <c r="L1" s="2437"/>
      <c r="M1" s="2437"/>
    </row>
    <row r="2" spans="2:14" ht="15" x14ac:dyDescent="0.2">
      <c r="B2" s="2438">
        <f>'Single Audit Cover'!E7</f>
        <v>53102011026</v>
      </c>
      <c r="C2" s="2438"/>
      <c r="D2" s="2438"/>
      <c r="E2" s="2438"/>
      <c r="F2" s="2438"/>
      <c r="G2" s="2438"/>
      <c r="H2" s="2438"/>
      <c r="I2" s="2438"/>
      <c r="J2" s="2438"/>
      <c r="K2" s="2438"/>
      <c r="L2" s="2438"/>
      <c r="M2" s="2438"/>
      <c r="N2" s="1296"/>
    </row>
    <row r="3" spans="2:14" ht="15" x14ac:dyDescent="0.2">
      <c r="B3" s="2439" t="s">
        <v>1219</v>
      </c>
      <c r="C3" s="2439"/>
      <c r="D3" s="2439"/>
      <c r="E3" s="2439"/>
      <c r="F3" s="2439"/>
      <c r="G3" s="2439"/>
      <c r="H3" s="2439"/>
      <c r="I3" s="2439"/>
      <c r="J3" s="2439"/>
      <c r="K3" s="2439"/>
      <c r="L3" s="2439"/>
      <c r="M3" s="2439"/>
      <c r="N3" s="1296"/>
    </row>
    <row r="4" spans="2:14" ht="15" x14ac:dyDescent="0.2">
      <c r="B4" s="2440" t="str">
        <f>'Single Audit Cover'!A4</f>
        <v>Year Ending June 30, 2019</v>
      </c>
      <c r="C4" s="2440"/>
      <c r="D4" s="2440"/>
      <c r="E4" s="2440"/>
      <c r="F4" s="2440"/>
      <c r="G4" s="2440"/>
      <c r="H4" s="2440"/>
      <c r="I4" s="2440"/>
      <c r="J4" s="2440"/>
      <c r="K4" s="2440"/>
      <c r="L4" s="2440"/>
      <c r="M4" s="2440"/>
      <c r="N4" s="1296"/>
    </row>
    <row r="6" spans="2:14" x14ac:dyDescent="0.2">
      <c r="B6" s="1297"/>
      <c r="C6" s="1298"/>
      <c r="D6" s="1299" t="s">
        <v>1265</v>
      </c>
      <c r="E6" s="1300" t="s">
        <v>527</v>
      </c>
      <c r="F6" s="1301"/>
      <c r="G6" s="1302" t="s">
        <v>1720</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1824</v>
      </c>
      <c r="I8" s="1313" t="s">
        <v>1262</v>
      </c>
      <c r="J8" s="1312" t="s">
        <v>1974</v>
      </c>
      <c r="K8" s="1313" t="s">
        <v>1261</v>
      </c>
      <c r="L8" s="1314" t="s">
        <v>1257</v>
      </c>
      <c r="M8" s="1315" t="s">
        <v>30</v>
      </c>
    </row>
    <row r="9" spans="2:14" ht="14.25" x14ac:dyDescent="0.2">
      <c r="B9" s="1319" t="s">
        <v>1259</v>
      </c>
      <c r="C9" s="1307" t="s">
        <v>1721</v>
      </c>
      <c r="D9" s="1308" t="s">
        <v>1722</v>
      </c>
      <c r="E9" s="1316" t="s">
        <v>1824</v>
      </c>
      <c r="F9" s="1317" t="s">
        <v>1974</v>
      </c>
      <c r="G9" s="1318" t="s">
        <v>1824</v>
      </c>
      <c r="H9" s="1311" t="s">
        <v>1582</v>
      </c>
      <c r="I9" s="1313" t="s">
        <v>1974</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1723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1825</v>
      </c>
      <c r="C32" s="1346"/>
      <c r="D32" s="1347"/>
      <c r="E32" s="1348"/>
      <c r="F32" s="1348"/>
      <c r="G32" s="1348"/>
      <c r="H32" s="1348"/>
      <c r="I32" s="315"/>
      <c r="J32" s="315"/>
    </row>
    <row r="33" spans="2:13" x14ac:dyDescent="0.2">
      <c r="B33" s="1271"/>
      <c r="C33" s="1349"/>
      <c r="D33" s="1350"/>
      <c r="E33" s="1272"/>
      <c r="F33" s="1272"/>
      <c r="G33" s="315"/>
      <c r="H33" s="315"/>
      <c r="I33" s="315"/>
      <c r="J33" s="315"/>
    </row>
    <row r="34" spans="2:13" ht="13.5" customHeight="1" x14ac:dyDescent="0.2">
      <c r="B34" s="1270" t="s">
        <v>1246</v>
      </c>
      <c r="G34" s="315"/>
      <c r="H34" s="315"/>
      <c r="I34" s="315"/>
      <c r="J34" s="315"/>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5"/>
      <c r="H36" s="315"/>
      <c r="I36" s="315"/>
      <c r="J36" s="315"/>
    </row>
    <row r="37" spans="2:13" ht="11.25" customHeight="1" x14ac:dyDescent="0.2">
      <c r="B37" s="1358" t="s">
        <v>1724</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1725</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1726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1727</v>
      </c>
      <c r="C45" s="1362"/>
      <c r="D45" s="1363"/>
      <c r="E45" s="1294"/>
      <c r="F45" s="1294"/>
      <c r="G45" s="1294"/>
      <c r="H45" s="1294"/>
      <c r="I45" s="1294"/>
      <c r="J45" s="1294"/>
      <c r="K45" s="1364"/>
      <c r="L45" s="1364"/>
      <c r="M45" s="1294"/>
    </row>
    <row r="46" spans="2:13" ht="11.25" customHeight="1" x14ac:dyDescent="0.2">
      <c r="B46" s="1294" t="s">
        <v>1586</v>
      </c>
      <c r="G46" s="315"/>
      <c r="H46" s="315"/>
      <c r="I46" s="315"/>
      <c r="J46" s="315"/>
    </row>
    <row r="47" spans="2:13" ht="11.1" customHeight="1" x14ac:dyDescent="0.2">
      <c r="B47" s="1294"/>
      <c r="G47" s="315"/>
      <c r="H47" s="315"/>
      <c r="I47" s="315"/>
      <c r="J47" s="315"/>
    </row>
    <row r="48" spans="2:13" ht="11.1" customHeight="1" x14ac:dyDescent="0.2">
      <c r="B48" s="1294"/>
      <c r="G48" s="315"/>
      <c r="H48" s="315"/>
      <c r="I48" s="315"/>
      <c r="J48" s="315"/>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2" customWidth="1"/>
    <col min="4" max="4" width="16.7109375" style="1252" customWidth="1"/>
    <col min="5" max="5" width="7.5703125" style="315" customWidth="1"/>
    <col min="6" max="6" width="2.7109375" style="315" customWidth="1"/>
    <col min="7" max="7" width="3.28515625" style="315" customWidth="1"/>
    <col min="8" max="16384" width="8" style="315"/>
  </cols>
  <sheetData>
    <row r="1" spans="1:7" ht="13.5" customHeight="1" x14ac:dyDescent="0.2">
      <c r="A1" s="2450" t="str">
        <f>'Single Audit Cover'!A7</f>
        <v>El Paso-Gridley CUSD 11</v>
      </c>
      <c r="B1" s="2450"/>
      <c r="C1" s="2450"/>
      <c r="D1" s="2450"/>
      <c r="E1" s="2450"/>
      <c r="F1" s="2450"/>
    </row>
    <row r="2" spans="1:7" ht="13.5" customHeight="1" x14ac:dyDescent="0.2">
      <c r="A2" s="2438">
        <f>'Single Audit Cover'!E7</f>
        <v>53102011026</v>
      </c>
      <c r="B2" s="2438"/>
      <c r="C2" s="2438"/>
      <c r="D2" s="2438"/>
      <c r="E2" s="2438"/>
      <c r="F2" s="2438"/>
      <c r="G2" s="1269"/>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5"/>
      <c r="D5" s="315"/>
    </row>
    <row r="6" spans="1:7" ht="13.5" customHeight="1" x14ac:dyDescent="0.2">
      <c r="A6" s="1270" t="s">
        <v>1714</v>
      </c>
      <c r="C6" s="315"/>
      <c r="D6" s="315"/>
    </row>
    <row r="7" spans="1:7" ht="60.95" customHeight="1" x14ac:dyDescent="0.2">
      <c r="A7" s="2449" t="s">
        <v>1715</v>
      </c>
      <c r="B7" s="2449"/>
      <c r="C7" s="2449"/>
      <c r="D7" s="2449"/>
      <c r="E7" s="2449"/>
      <c r="F7" s="2449"/>
    </row>
    <row r="8" spans="1:7" ht="12" customHeight="1" x14ac:dyDescent="0.2">
      <c r="A8" s="1270"/>
      <c r="B8" s="1276"/>
      <c r="C8" s="1276"/>
      <c r="D8" s="1276"/>
    </row>
    <row r="9" spans="1:7" ht="15" customHeight="1" x14ac:dyDescent="0.2">
      <c r="A9" s="1271" t="s">
        <v>1716</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49" t="s">
        <v>1717</v>
      </c>
      <c r="B13" s="2449"/>
      <c r="C13" s="2449"/>
      <c r="D13" s="2449"/>
      <c r="E13" s="2449"/>
      <c r="F13" s="2449"/>
    </row>
    <row r="14" spans="1:7" ht="9.75" customHeight="1" x14ac:dyDescent="0.2">
      <c r="C14" s="1254"/>
      <c r="D14" s="1254"/>
    </row>
    <row r="15" spans="1:7" ht="13.5" customHeight="1" x14ac:dyDescent="0.2">
      <c r="C15" s="1843" t="s">
        <v>1270</v>
      </c>
      <c r="D15" s="2447" t="s">
        <v>1269</v>
      </c>
      <c r="E15" s="2447"/>
      <c r="F15" s="2447"/>
    </row>
    <row r="16" spans="1:7" ht="13.5" customHeight="1" x14ac:dyDescent="0.2">
      <c r="A16" s="1276"/>
      <c r="B16" s="1270" t="s">
        <v>1268</v>
      </c>
      <c r="C16" s="1843" t="s">
        <v>1267</v>
      </c>
      <c r="D16" s="2448" t="s">
        <v>1588</v>
      </c>
      <c r="E16" s="2448"/>
      <c r="F16" s="2448"/>
    </row>
    <row r="17" spans="1:6" ht="20.45" customHeight="1" x14ac:dyDescent="0.2">
      <c r="A17" s="1277"/>
      <c r="B17" s="1278"/>
      <c r="C17" s="1279"/>
      <c r="D17" s="2442"/>
      <c r="E17" s="2442"/>
      <c r="F17" s="2442"/>
    </row>
    <row r="18" spans="1:6" ht="20.65" customHeight="1" x14ac:dyDescent="0.2">
      <c r="A18" s="1277"/>
      <c r="B18" s="1278"/>
      <c r="C18" s="1279"/>
      <c r="D18" s="2442"/>
      <c r="E18" s="2442"/>
      <c r="F18" s="2442"/>
    </row>
    <row r="19" spans="1:6" ht="20.65" customHeight="1" x14ac:dyDescent="0.2">
      <c r="A19" s="1277"/>
      <c r="B19" s="1278"/>
      <c r="C19" s="1279"/>
      <c r="D19" s="2442"/>
      <c r="E19" s="2442"/>
      <c r="F19" s="2442"/>
    </row>
    <row r="20" spans="1:6" ht="20.65" customHeight="1" x14ac:dyDescent="0.2">
      <c r="A20" s="1277"/>
      <c r="B20" s="1278"/>
      <c r="C20" s="1279"/>
      <c r="D20" s="2442"/>
      <c r="E20" s="2442"/>
      <c r="F20" s="2442"/>
    </row>
    <row r="21" spans="1:6" ht="20.65" customHeight="1" x14ac:dyDescent="0.2">
      <c r="A21" s="1277"/>
      <c r="B21" s="1278"/>
      <c r="C21" s="1279"/>
      <c r="D21" s="2442"/>
      <c r="E21" s="2442"/>
      <c r="F21" s="2442"/>
    </row>
    <row r="22" spans="1:6" ht="20.65" customHeight="1" x14ac:dyDescent="0.2">
      <c r="A22" s="1277"/>
      <c r="B22" s="1278"/>
      <c r="C22" s="1279"/>
      <c r="D22" s="2442"/>
      <c r="E22" s="2442"/>
      <c r="F22" s="2442"/>
    </row>
    <row r="23" spans="1:6" ht="20.65" customHeight="1" x14ac:dyDescent="0.2">
      <c r="A23" s="1277"/>
      <c r="B23" s="1278"/>
      <c r="C23" s="1279"/>
      <c r="D23" s="2442"/>
      <c r="E23" s="2442"/>
      <c r="F23" s="2442"/>
    </row>
    <row r="24" spans="1:6" ht="20.65" customHeight="1" x14ac:dyDescent="0.2">
      <c r="A24" s="1277"/>
      <c r="B24" s="1278"/>
      <c r="C24" s="1279"/>
      <c r="D24" s="2442"/>
      <c r="E24" s="2442"/>
      <c r="F24" s="2442"/>
    </row>
    <row r="25" spans="1:6" ht="20.65" customHeight="1" x14ac:dyDescent="0.2">
      <c r="A25" s="1277"/>
      <c r="B25" s="1278"/>
      <c r="C25" s="1279"/>
      <c r="D25" s="2442"/>
      <c r="E25" s="2442"/>
      <c r="F25" s="2442"/>
    </row>
    <row r="26" spans="1:6" ht="20.65" customHeight="1" x14ac:dyDescent="0.2">
      <c r="A26" s="1277"/>
      <c r="B26" s="1278"/>
      <c r="C26" s="1279"/>
      <c r="D26" s="2442"/>
      <c r="E26" s="2442"/>
      <c r="F26" s="2442"/>
    </row>
    <row r="27" spans="1:6" ht="20.65" customHeight="1" x14ac:dyDescent="0.2">
      <c r="A27" s="1277"/>
      <c r="B27" s="1278"/>
      <c r="C27" s="1279"/>
      <c r="D27" s="2442"/>
      <c r="E27" s="2442"/>
      <c r="F27" s="2442"/>
    </row>
    <row r="28" spans="1:6" ht="20.65" customHeight="1" x14ac:dyDescent="0.2">
      <c r="A28" s="1277"/>
      <c r="B28" s="1278"/>
      <c r="C28" s="1279"/>
      <c r="D28" s="2442"/>
      <c r="E28" s="2442"/>
      <c r="F28" s="2442"/>
    </row>
    <row r="29" spans="1:6" ht="20.65" customHeight="1" x14ac:dyDescent="0.2">
      <c r="A29" s="1277"/>
      <c r="B29" s="1278"/>
      <c r="C29" s="1279"/>
      <c r="D29" s="2442"/>
      <c r="E29" s="2442"/>
      <c r="F29" s="2442"/>
    </row>
    <row r="30" spans="1:6" ht="12" customHeight="1" x14ac:dyDescent="0.2">
      <c r="A30" s="325"/>
      <c r="B30" s="325"/>
      <c r="C30" s="1459"/>
      <c r="D30" s="1900"/>
      <c r="E30" s="1280"/>
    </row>
    <row r="31" spans="1:6" ht="12" customHeight="1" x14ac:dyDescent="0.2">
      <c r="A31" s="1281" t="s">
        <v>1549</v>
      </c>
      <c r="B31" s="325"/>
      <c r="C31" s="1459"/>
      <c r="D31" s="1900"/>
      <c r="E31" s="1280"/>
    </row>
    <row r="32" spans="1:6" ht="30" customHeight="1" x14ac:dyDescent="0.2">
      <c r="A32" s="2443" t="s">
        <v>1718</v>
      </c>
      <c r="B32" s="2443"/>
      <c r="C32" s="2443"/>
      <c r="D32" s="2443"/>
      <c r="E32" s="2443"/>
      <c r="F32" s="2443"/>
    </row>
    <row r="33" spans="1:6" ht="13.5" customHeight="1" x14ac:dyDescent="0.2">
      <c r="A33" s="325" t="s">
        <v>1434</v>
      </c>
      <c r="B33" s="325"/>
      <c r="C33" s="1282">
        <v>0</v>
      </c>
      <c r="D33" s="1900"/>
      <c r="E33" s="1280"/>
    </row>
    <row r="34" spans="1:6" ht="13.5" customHeight="1" x14ac:dyDescent="0.2">
      <c r="A34" s="325" t="s">
        <v>1823</v>
      </c>
      <c r="B34" s="325"/>
      <c r="C34" s="1283">
        <v>0</v>
      </c>
      <c r="D34" s="1900" t="s">
        <v>1589</v>
      </c>
      <c r="E34" s="2444">
        <f>+C33+C34</f>
        <v>0</v>
      </c>
      <c r="F34" s="2445"/>
    </row>
    <row r="35" spans="1:6" ht="12" customHeight="1" x14ac:dyDescent="0.2">
      <c r="A35" s="325"/>
      <c r="B35" s="325"/>
      <c r="C35" s="1901"/>
      <c r="D35" s="1900"/>
      <c r="E35" s="1284"/>
      <c r="F35" s="1285"/>
    </row>
    <row r="36" spans="1:6" ht="13.5" customHeight="1" x14ac:dyDescent="0.2">
      <c r="A36" s="1281" t="s">
        <v>1550</v>
      </c>
      <c r="B36" s="325"/>
      <c r="C36" s="1459"/>
      <c r="D36" s="1900"/>
      <c r="E36" s="1280"/>
    </row>
    <row r="37" spans="1:6" ht="14.25" customHeight="1" x14ac:dyDescent="0.2">
      <c r="A37" s="325" t="s">
        <v>1484</v>
      </c>
      <c r="B37" s="325"/>
      <c r="C37" s="1902"/>
      <c r="D37" s="1900"/>
      <c r="E37" s="1280"/>
    </row>
    <row r="38" spans="1:6" ht="14.25" customHeight="1" x14ac:dyDescent="0.2">
      <c r="A38" s="325"/>
      <c r="B38" s="325" t="s">
        <v>1435</v>
      </c>
      <c r="C38" s="1286"/>
      <c r="D38" s="1900"/>
      <c r="E38" s="1280"/>
    </row>
    <row r="39" spans="1:6" ht="14.25" customHeight="1" x14ac:dyDescent="0.2">
      <c r="A39" s="325"/>
      <c r="B39" s="325" t="s">
        <v>1436</v>
      </c>
      <c r="C39" s="1286"/>
      <c r="D39" s="1900"/>
      <c r="E39" s="1280"/>
    </row>
    <row r="40" spans="1:6" ht="14.25" customHeight="1" x14ac:dyDescent="0.2">
      <c r="A40" s="325"/>
      <c r="B40" s="325" t="s">
        <v>1437</v>
      </c>
      <c r="C40" s="1286"/>
      <c r="D40" s="1900"/>
      <c r="E40" s="1280"/>
    </row>
    <row r="41" spans="1:6" ht="14.25" customHeight="1" x14ac:dyDescent="0.2">
      <c r="A41" s="325"/>
      <c r="B41" s="325" t="s">
        <v>1438</v>
      </c>
      <c r="C41" s="1286"/>
      <c r="D41" s="1900"/>
      <c r="E41" s="1280"/>
    </row>
    <row r="42" spans="1:6" ht="14.25" customHeight="1" x14ac:dyDescent="0.2">
      <c r="A42" s="325" t="s">
        <v>1439</v>
      </c>
      <c r="B42" s="325"/>
      <c r="C42" s="1898"/>
      <c r="D42" s="1900"/>
      <c r="E42" s="1280"/>
    </row>
    <row r="43" spans="1:6" ht="14.25" customHeight="1" x14ac:dyDescent="0.2">
      <c r="A43" s="325" t="s">
        <v>1440</v>
      </c>
      <c r="B43" s="325"/>
      <c r="C43" s="1287"/>
      <c r="D43" s="1900"/>
      <c r="E43" s="1280"/>
    </row>
    <row r="44" spans="1:6" ht="14.25" customHeight="1" x14ac:dyDescent="0.2">
      <c r="A44" s="325"/>
      <c r="B44" s="325"/>
      <c r="C44" s="1902" t="s">
        <v>1441</v>
      </c>
      <c r="D44" s="1900"/>
      <c r="E44" s="1280"/>
    </row>
    <row r="45" spans="1:6" ht="13.5" customHeight="1" x14ac:dyDescent="0.2">
      <c r="B45" s="320"/>
      <c r="C45" s="1288"/>
      <c r="D45" s="1288"/>
    </row>
    <row r="46" spans="1:6" x14ac:dyDescent="0.2">
      <c r="A46" s="1289" t="s">
        <v>1719</v>
      </c>
      <c r="C46" s="315"/>
      <c r="D46" s="315"/>
    </row>
    <row r="47" spans="1:6" s="320" customFormat="1" ht="11.25" customHeight="1" x14ac:dyDescent="0.2">
      <c r="A47" s="1290"/>
      <c r="B47" s="1291"/>
      <c r="C47" s="1291"/>
      <c r="D47" s="1291"/>
      <c r="E47" s="1291"/>
      <c r="F47" s="1291"/>
    </row>
    <row r="48" spans="1:6" s="320" customFormat="1" ht="6" customHeight="1" x14ac:dyDescent="0.2">
      <c r="A48" s="1292"/>
    </row>
    <row r="49" spans="1:5" s="1294" customFormat="1" ht="23.25" customHeight="1" x14ac:dyDescent="0.2">
      <c r="A49" s="1293">
        <v>5</v>
      </c>
      <c r="B49" s="2446" t="s">
        <v>1590</v>
      </c>
      <c r="C49" s="2446"/>
      <c r="D49" s="2446"/>
      <c r="E49" s="1393"/>
    </row>
    <row r="50" spans="1:5" s="1294" customFormat="1" ht="3.75" customHeight="1" x14ac:dyDescent="0.2">
      <c r="A50" s="1293"/>
      <c r="B50" s="1842"/>
      <c r="C50" s="1842"/>
      <c r="D50" s="1842"/>
      <c r="E50" s="1393"/>
    </row>
    <row r="51" spans="1:5" s="1294" customFormat="1" ht="20.25" customHeight="1" x14ac:dyDescent="0.2">
      <c r="A51" s="1295">
        <v>6</v>
      </c>
      <c r="B51" s="2441" t="s">
        <v>1551</v>
      </c>
      <c r="C51" s="2441"/>
      <c r="D51" s="2441"/>
    </row>
    <row r="52" spans="1:5" ht="14.25" customHeight="1" x14ac:dyDescent="0.2">
      <c r="A52" s="1295"/>
      <c r="B52" s="2441"/>
      <c r="C52" s="2441"/>
      <c r="D52" s="244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topLeftCell="A74" workbookViewId="0">
      <selection activeCell="F120" sqref="F12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1" width="9.140625" style="202"/>
  </cols>
  <sheetData>
    <row r="1" spans="1:11" x14ac:dyDescent="0.2">
      <c r="E1" s="205"/>
      <c r="F1" s="206"/>
    </row>
    <row r="2" spans="1:11" x14ac:dyDescent="0.2">
      <c r="A2" s="2071" t="s">
        <v>1168</v>
      </c>
      <c r="B2" s="2071"/>
      <c r="C2" s="2071"/>
      <c r="D2" s="2071"/>
      <c r="E2" s="2071"/>
      <c r="F2" s="2071"/>
      <c r="G2" s="2071"/>
      <c r="H2" s="2071"/>
      <c r="I2" s="2071"/>
      <c r="J2" s="2071"/>
      <c r="K2" s="181"/>
    </row>
    <row r="3" spans="1:11" x14ac:dyDescent="0.2">
      <c r="A3" s="207"/>
      <c r="B3" s="207"/>
      <c r="C3" s="208"/>
      <c r="D3" s="209"/>
      <c r="E3" s="210"/>
      <c r="F3" s="181"/>
      <c r="G3" s="181"/>
      <c r="H3" s="181"/>
      <c r="I3" s="181"/>
      <c r="J3" s="181"/>
      <c r="K3" s="181"/>
    </row>
    <row r="4" spans="1:11" x14ac:dyDescent="0.2">
      <c r="A4" s="341" t="s">
        <v>2066</v>
      </c>
      <c r="B4" s="341"/>
      <c r="C4" s="341"/>
      <c r="D4" s="341"/>
      <c r="E4" s="341"/>
      <c r="F4" s="341"/>
      <c r="G4" s="341"/>
      <c r="H4" s="341"/>
      <c r="I4" s="341"/>
      <c r="J4" s="341"/>
      <c r="K4" s="341"/>
    </row>
    <row r="5" spans="1:11" x14ac:dyDescent="0.2">
      <c r="A5" s="236" t="s">
        <v>1624</v>
      </c>
      <c r="B5" s="341"/>
      <c r="C5" s="341"/>
      <c r="D5" s="341"/>
      <c r="E5" s="341"/>
      <c r="F5" s="341"/>
      <c r="G5" s="341"/>
      <c r="H5" s="341"/>
      <c r="I5" s="341"/>
      <c r="J5" s="341"/>
      <c r="K5" s="341"/>
    </row>
    <row r="6" spans="1:11" x14ac:dyDescent="0.2">
      <c r="A6" s="211"/>
      <c r="B6" s="212"/>
      <c r="C6" s="213"/>
      <c r="D6" s="212"/>
    </row>
    <row r="7" spans="1:11" ht="15" x14ac:dyDescent="0.2">
      <c r="A7" s="1934" t="s">
        <v>839</v>
      </c>
      <c r="B7" s="212"/>
      <c r="C7" s="213"/>
      <c r="D7" s="214"/>
    </row>
    <row r="8" spans="1:11" x14ac:dyDescent="0.2">
      <c r="A8" s="215"/>
      <c r="B8" s="216"/>
      <c r="D8" s="217"/>
    </row>
    <row r="9" spans="1:11" x14ac:dyDescent="0.2">
      <c r="A9" s="218"/>
      <c r="B9" s="219"/>
      <c r="C9" s="179">
        <v>1</v>
      </c>
      <c r="D9" s="220" t="s">
        <v>1558</v>
      </c>
      <c r="E9" s="181"/>
      <c r="F9" s="181"/>
      <c r="G9" s="181"/>
      <c r="H9" s="181"/>
      <c r="I9" s="181"/>
      <c r="J9" s="181"/>
      <c r="K9" s="181"/>
    </row>
    <row r="10" spans="1:11" x14ac:dyDescent="0.2">
      <c r="A10" s="221"/>
      <c r="B10" s="222"/>
      <c r="C10" s="223"/>
      <c r="D10" s="224" t="s">
        <v>2067</v>
      </c>
      <c r="E10" s="181"/>
      <c r="F10" s="181"/>
      <c r="G10" s="181"/>
      <c r="H10" s="181"/>
      <c r="I10" s="181"/>
      <c r="J10" s="181"/>
      <c r="K10" s="181"/>
    </row>
    <row r="11" spans="1:11" x14ac:dyDescent="0.2">
      <c r="A11" s="218"/>
      <c r="B11" s="225"/>
      <c r="C11" s="226">
        <v>2</v>
      </c>
      <c r="D11" s="227" t="s">
        <v>2068</v>
      </c>
      <c r="E11" s="181"/>
      <c r="F11" s="181"/>
      <c r="G11" s="181"/>
      <c r="H11" s="181"/>
      <c r="I11" s="181"/>
      <c r="J11" s="181"/>
      <c r="K11" s="181"/>
    </row>
    <row r="12" spans="1:11" x14ac:dyDescent="0.2">
      <c r="A12" s="218"/>
      <c r="B12" s="228"/>
      <c r="C12" s="226"/>
      <c r="D12" s="229"/>
      <c r="E12" s="181"/>
      <c r="F12" s="181"/>
      <c r="G12" s="181"/>
      <c r="H12" s="181"/>
      <c r="I12" s="181"/>
      <c r="J12" s="181"/>
      <c r="K12" s="181"/>
    </row>
    <row r="13" spans="1:11" x14ac:dyDescent="0.2">
      <c r="A13" s="218"/>
      <c r="B13" s="225"/>
      <c r="C13" s="226">
        <v>3</v>
      </c>
      <c r="D13" s="227" t="s">
        <v>2069</v>
      </c>
      <c r="E13" s="181"/>
      <c r="F13" s="181"/>
      <c r="G13" s="181"/>
      <c r="H13" s="181"/>
      <c r="I13" s="181"/>
      <c r="J13" s="181"/>
      <c r="K13" s="181"/>
    </row>
    <row r="14" spans="1:11" x14ac:dyDescent="0.2">
      <c r="A14" s="218"/>
      <c r="B14" s="225"/>
      <c r="C14" s="226">
        <v>4</v>
      </c>
      <c r="D14" s="227" t="s">
        <v>2070</v>
      </c>
      <c r="E14" s="181"/>
      <c r="F14" s="181"/>
      <c r="G14" s="181"/>
      <c r="H14" s="181"/>
      <c r="I14" s="181"/>
      <c r="J14" s="181"/>
      <c r="K14" s="181"/>
    </row>
    <row r="15" spans="1:11" x14ac:dyDescent="0.2">
      <c r="A15" s="218"/>
      <c r="B15" s="225"/>
      <c r="C15" s="226">
        <v>5</v>
      </c>
      <c r="D15" s="1937" t="s">
        <v>969</v>
      </c>
      <c r="E15" s="181"/>
      <c r="F15" s="181"/>
      <c r="G15" s="181"/>
      <c r="H15" s="181"/>
      <c r="I15" s="181"/>
      <c r="J15" s="181"/>
      <c r="K15" s="181"/>
    </row>
    <row r="16" spans="1:11" x14ac:dyDescent="0.2">
      <c r="A16" s="218"/>
      <c r="B16" s="225"/>
      <c r="C16" s="226">
        <v>6</v>
      </c>
      <c r="D16" s="1937" t="s">
        <v>1459</v>
      </c>
      <c r="E16" s="181"/>
      <c r="F16" s="181"/>
      <c r="G16" s="181"/>
      <c r="H16" s="181"/>
      <c r="I16" s="181"/>
      <c r="J16" s="181"/>
      <c r="K16" s="181"/>
    </row>
    <row r="17" spans="1:11" x14ac:dyDescent="0.2">
      <c r="A17" s="218"/>
      <c r="B17" s="228"/>
      <c r="C17" s="226"/>
      <c r="D17" s="231"/>
      <c r="E17" s="181"/>
      <c r="F17" s="181"/>
      <c r="G17" s="181"/>
      <c r="H17" s="181"/>
      <c r="I17" s="181"/>
      <c r="J17" s="181"/>
      <c r="K17" s="181"/>
    </row>
    <row r="18" spans="1:11" x14ac:dyDescent="0.2">
      <c r="A18" s="218"/>
      <c r="B18" s="225"/>
      <c r="C18" s="226">
        <v>7</v>
      </c>
      <c r="D18" s="1937" t="s">
        <v>1458</v>
      </c>
      <c r="E18" s="181"/>
      <c r="F18" s="181"/>
      <c r="G18" s="181"/>
      <c r="H18" s="181"/>
      <c r="I18" s="181"/>
      <c r="J18" s="181"/>
      <c r="K18" s="181"/>
    </row>
    <row r="19" spans="1:11" x14ac:dyDescent="0.2">
      <c r="A19" s="218"/>
      <c r="B19" s="228"/>
      <c r="C19" s="226"/>
      <c r="D19" s="231"/>
      <c r="E19" s="181"/>
      <c r="F19" s="181"/>
      <c r="G19" s="181"/>
      <c r="H19" s="181"/>
      <c r="I19" s="181"/>
      <c r="J19" s="181"/>
      <c r="K19" s="181"/>
    </row>
    <row r="20" spans="1:11" x14ac:dyDescent="0.2">
      <c r="A20" s="218"/>
      <c r="B20" s="225"/>
      <c r="C20" s="226">
        <v>8</v>
      </c>
      <c r="D20" s="1937" t="s">
        <v>2071</v>
      </c>
      <c r="E20" s="181"/>
      <c r="F20" s="181"/>
      <c r="G20" s="181"/>
      <c r="H20" s="181"/>
      <c r="I20" s="181"/>
      <c r="J20" s="181"/>
      <c r="K20" s="181"/>
    </row>
    <row r="21" spans="1:11" x14ac:dyDescent="0.2">
      <c r="A21" s="218"/>
      <c r="B21" s="228"/>
      <c r="C21" s="226"/>
      <c r="D21" s="232" t="s">
        <v>1555</v>
      </c>
      <c r="E21" s="181"/>
      <c r="F21" s="181"/>
      <c r="G21" s="181"/>
      <c r="H21" s="181"/>
      <c r="I21" s="181"/>
      <c r="J21" s="181"/>
      <c r="K21" s="181"/>
    </row>
    <row r="22" spans="1:11" x14ac:dyDescent="0.2">
      <c r="A22" s="218"/>
      <c r="B22" s="225"/>
      <c r="C22" s="226">
        <v>9</v>
      </c>
      <c r="D22" s="1937" t="s">
        <v>2072</v>
      </c>
      <c r="E22" s="181"/>
      <c r="F22" s="181"/>
      <c r="G22" s="181"/>
      <c r="H22" s="181"/>
      <c r="I22" s="181"/>
      <c r="J22" s="181"/>
      <c r="K22" s="181"/>
    </row>
    <row r="23" spans="1:11" x14ac:dyDescent="0.2">
      <c r="A23" s="218"/>
      <c r="B23" s="233"/>
      <c r="C23" s="226"/>
      <c r="D23" s="234" t="s">
        <v>1556</v>
      </c>
      <c r="E23" s="181"/>
      <c r="F23" s="181"/>
      <c r="G23" s="181"/>
      <c r="H23" s="181"/>
      <c r="I23" s="181"/>
      <c r="J23" s="181"/>
      <c r="K23" s="181"/>
    </row>
    <row r="24" spans="1:11" x14ac:dyDescent="0.2">
      <c r="A24" s="218"/>
      <c r="B24" s="225"/>
      <c r="C24" s="226">
        <v>10</v>
      </c>
      <c r="D24" s="1937" t="s">
        <v>2073</v>
      </c>
      <c r="E24" s="181"/>
      <c r="F24" s="181"/>
      <c r="G24" s="181"/>
      <c r="H24" s="181"/>
      <c r="I24" s="181"/>
      <c r="J24" s="181"/>
      <c r="K24" s="181"/>
    </row>
    <row r="25" spans="1:11" x14ac:dyDescent="0.2">
      <c r="A25" s="218"/>
      <c r="B25" s="225"/>
      <c r="C25" s="226">
        <v>11</v>
      </c>
      <c r="D25" s="1937" t="s">
        <v>2074</v>
      </c>
      <c r="E25" s="181"/>
      <c r="F25" s="181"/>
      <c r="G25" s="181"/>
      <c r="H25" s="181"/>
      <c r="I25" s="181"/>
      <c r="J25" s="181"/>
      <c r="K25" s="181"/>
    </row>
    <row r="26" spans="1:11" x14ac:dyDescent="0.2">
      <c r="A26" s="218"/>
      <c r="B26" s="233"/>
      <c r="C26" s="226"/>
      <c r="D26" s="234" t="s">
        <v>1557</v>
      </c>
      <c r="E26" s="181"/>
      <c r="F26" s="181"/>
      <c r="G26" s="181"/>
      <c r="H26" s="181"/>
      <c r="I26" s="181"/>
      <c r="J26" s="181"/>
      <c r="K26" s="181"/>
    </row>
    <row r="27" spans="1:11" x14ac:dyDescent="0.2">
      <c r="A27" s="218"/>
      <c r="B27" s="225"/>
      <c r="C27" s="226">
        <v>12</v>
      </c>
      <c r="D27" s="1937" t="s">
        <v>1559</v>
      </c>
      <c r="E27" s="181"/>
      <c r="F27" s="181"/>
      <c r="G27" s="181"/>
      <c r="H27" s="181"/>
      <c r="I27" s="181"/>
      <c r="J27" s="181"/>
      <c r="K27" s="181"/>
    </row>
    <row r="28" spans="1:11" x14ac:dyDescent="0.2">
      <c r="A28" s="218"/>
      <c r="B28" s="228"/>
      <c r="C28" s="226"/>
      <c r="D28" s="224"/>
      <c r="E28" s="181"/>
      <c r="F28" s="181"/>
      <c r="G28" s="181"/>
      <c r="H28" s="181"/>
      <c r="I28" s="181"/>
      <c r="J28" s="181"/>
      <c r="K28" s="181"/>
    </row>
    <row r="29" spans="1:11" x14ac:dyDescent="0.2">
      <c r="A29" s="218"/>
      <c r="B29" s="225"/>
      <c r="C29" s="226">
        <v>13</v>
      </c>
      <c r="D29" s="1937" t="s">
        <v>525</v>
      </c>
      <c r="E29" s="181"/>
      <c r="F29" s="181"/>
      <c r="G29" s="181"/>
      <c r="H29" s="181"/>
      <c r="I29" s="181"/>
      <c r="J29" s="181"/>
      <c r="K29" s="181"/>
    </row>
    <row r="30" spans="1:11" x14ac:dyDescent="0.2">
      <c r="A30" s="218"/>
      <c r="B30" s="228"/>
      <c r="C30" s="226"/>
      <c r="D30" s="224" t="s">
        <v>2075</v>
      </c>
      <c r="E30" s="181"/>
      <c r="F30" s="181"/>
      <c r="G30" s="181"/>
      <c r="H30" s="181"/>
      <c r="I30" s="181"/>
      <c r="J30" s="181"/>
      <c r="K30" s="181"/>
    </row>
    <row r="31" spans="1:11" x14ac:dyDescent="0.2">
      <c r="A31" s="218"/>
      <c r="B31" s="225"/>
      <c r="C31" s="226">
        <v>14</v>
      </c>
      <c r="D31" s="1937" t="s">
        <v>1930</v>
      </c>
      <c r="E31" s="181"/>
      <c r="F31" s="181"/>
      <c r="G31" s="181"/>
      <c r="H31" s="181"/>
      <c r="I31" s="181"/>
      <c r="J31" s="181"/>
      <c r="K31" s="181"/>
    </row>
    <row r="32" spans="1:11" x14ac:dyDescent="0.2">
      <c r="A32" s="218"/>
      <c r="B32" s="235"/>
      <c r="C32" s="226"/>
      <c r="D32" s="236" t="s">
        <v>2076</v>
      </c>
      <c r="E32" s="181"/>
      <c r="F32" s="181"/>
      <c r="G32" s="181"/>
      <c r="H32" s="181"/>
      <c r="I32" s="181"/>
      <c r="J32" s="181"/>
      <c r="K32" s="181"/>
    </row>
    <row r="33" spans="1:11" x14ac:dyDescent="0.2">
      <c r="A33" s="218"/>
      <c r="B33" s="235"/>
      <c r="C33" s="226"/>
      <c r="D33" s="237" t="s">
        <v>1169</v>
      </c>
      <c r="E33" s="181"/>
      <c r="F33" s="181"/>
      <c r="G33" s="181"/>
      <c r="H33" s="181"/>
      <c r="I33" s="181"/>
      <c r="J33" s="181"/>
      <c r="K33" s="181"/>
    </row>
    <row r="34" spans="1:11" x14ac:dyDescent="0.2">
      <c r="A34" s="218"/>
      <c r="B34" s="228"/>
      <c r="C34" s="226"/>
      <c r="D34" s="238"/>
      <c r="E34" s="181"/>
      <c r="F34" s="181"/>
      <c r="G34" s="181"/>
      <c r="H34" s="181"/>
      <c r="I34" s="181"/>
      <c r="J34" s="181"/>
      <c r="K34" s="181"/>
    </row>
    <row r="35" spans="1:11" x14ac:dyDescent="0.2">
      <c r="A35" s="2072" t="s">
        <v>2077</v>
      </c>
      <c r="B35" s="2073"/>
      <c r="C35" s="2073"/>
      <c r="D35" s="2073"/>
      <c r="E35" s="2074"/>
      <c r="F35" s="2074"/>
      <c r="G35" s="2074"/>
      <c r="H35" s="2074"/>
      <c r="I35" s="2074"/>
      <c r="J35" s="181"/>
      <c r="K35" s="181"/>
    </row>
    <row r="36" spans="1:11" x14ac:dyDescent="0.2">
      <c r="A36" s="218"/>
      <c r="B36" s="228"/>
      <c r="C36" s="226"/>
      <c r="D36" s="238"/>
      <c r="E36" s="181"/>
      <c r="F36" s="181"/>
      <c r="G36" s="181"/>
      <c r="H36" s="181"/>
      <c r="I36" s="181"/>
      <c r="J36" s="181"/>
      <c r="K36" s="181"/>
    </row>
    <row r="37" spans="1:11" x14ac:dyDescent="0.2">
      <c r="A37" s="218"/>
      <c r="B37" s="225"/>
      <c r="C37" s="226">
        <v>15</v>
      </c>
      <c r="D37" s="1937" t="s">
        <v>362</v>
      </c>
      <c r="E37" s="181"/>
      <c r="F37" s="181"/>
      <c r="G37" s="181"/>
      <c r="H37" s="181"/>
      <c r="I37" s="181"/>
      <c r="J37" s="181"/>
      <c r="K37" s="181"/>
    </row>
    <row r="38" spans="1:11" x14ac:dyDescent="0.2">
      <c r="A38" s="218"/>
      <c r="B38" s="228"/>
      <c r="C38" s="226"/>
      <c r="D38" s="239" t="s">
        <v>2078</v>
      </c>
      <c r="E38" s="181"/>
      <c r="F38" s="181"/>
      <c r="G38" s="181"/>
      <c r="H38" s="181"/>
      <c r="I38" s="181"/>
      <c r="J38" s="181"/>
      <c r="K38" s="181"/>
    </row>
    <row r="39" spans="1:11" x14ac:dyDescent="0.2">
      <c r="A39" s="218"/>
      <c r="B39" s="228"/>
      <c r="C39" s="226"/>
      <c r="D39" s="240"/>
      <c r="E39" s="181"/>
      <c r="F39" s="181"/>
      <c r="G39" s="181"/>
      <c r="H39" s="181"/>
      <c r="I39" s="181"/>
      <c r="J39" s="181"/>
      <c r="K39" s="181"/>
    </row>
    <row r="40" spans="1:11" x14ac:dyDescent="0.2">
      <c r="A40" s="218"/>
      <c r="B40" s="225"/>
      <c r="C40" s="226">
        <v>16</v>
      </c>
      <c r="D40" s="241" t="s">
        <v>364</v>
      </c>
      <c r="E40" s="181"/>
      <c r="F40" s="181"/>
      <c r="G40" s="181"/>
      <c r="H40" s="181"/>
      <c r="I40" s="181"/>
      <c r="J40" s="181"/>
      <c r="K40" s="181"/>
    </row>
    <row r="41" spans="1:11" x14ac:dyDescent="0.2">
      <c r="A41" s="218"/>
      <c r="B41" s="228"/>
      <c r="C41" s="226"/>
      <c r="D41" s="239" t="s">
        <v>609</v>
      </c>
      <c r="E41" s="181"/>
      <c r="F41" s="181"/>
      <c r="G41" s="181"/>
      <c r="H41" s="181"/>
      <c r="I41" s="181"/>
      <c r="J41" s="181"/>
      <c r="K41" s="181"/>
    </row>
    <row r="42" spans="1:11" x14ac:dyDescent="0.2">
      <c r="A42" s="218"/>
      <c r="B42" s="225"/>
      <c r="C42" s="226">
        <v>17</v>
      </c>
      <c r="D42" s="241" t="s">
        <v>2079</v>
      </c>
      <c r="E42" s="181"/>
      <c r="F42" s="181"/>
      <c r="G42" s="181"/>
      <c r="H42" s="181"/>
      <c r="I42" s="181"/>
      <c r="J42" s="181"/>
      <c r="K42" s="181"/>
    </row>
    <row r="43" spans="1:11" x14ac:dyDescent="0.2">
      <c r="A43" s="218"/>
      <c r="B43" s="228"/>
      <c r="C43" s="226"/>
      <c r="D43" s="239" t="s">
        <v>2080</v>
      </c>
      <c r="E43" s="181"/>
      <c r="F43" s="181"/>
      <c r="G43" s="181"/>
      <c r="H43" s="181"/>
      <c r="I43" s="181"/>
      <c r="J43" s="181"/>
      <c r="K43" s="181"/>
    </row>
    <row r="44" spans="1:11" x14ac:dyDescent="0.2">
      <c r="A44" s="218"/>
      <c r="B44" s="225"/>
      <c r="C44" s="226">
        <v>18</v>
      </c>
      <c r="D44" s="241" t="s">
        <v>301</v>
      </c>
      <c r="E44" s="181"/>
      <c r="F44" s="181"/>
      <c r="G44" s="181"/>
      <c r="H44" s="181"/>
      <c r="I44" s="181"/>
      <c r="J44" s="181"/>
      <c r="K44" s="181"/>
    </row>
    <row r="45" spans="1:11" x14ac:dyDescent="0.2">
      <c r="A45" s="218"/>
      <c r="B45" s="228"/>
      <c r="C45" s="226"/>
      <c r="D45" s="239" t="s">
        <v>188</v>
      </c>
      <c r="E45" s="181"/>
      <c r="F45" s="181"/>
      <c r="G45" s="181"/>
      <c r="H45" s="181"/>
      <c r="I45" s="181"/>
      <c r="J45" s="181"/>
      <c r="K45" s="181"/>
    </row>
    <row r="46" spans="1:11" x14ac:dyDescent="0.2">
      <c r="A46" s="218"/>
      <c r="B46" s="228"/>
      <c r="C46" s="226"/>
      <c r="D46" s="238"/>
      <c r="E46" s="181"/>
      <c r="F46" s="181"/>
      <c r="G46" s="181"/>
      <c r="H46" s="181"/>
      <c r="I46" s="181"/>
      <c r="J46" s="181"/>
      <c r="K46" s="181"/>
    </row>
    <row r="47" spans="1:11" x14ac:dyDescent="0.2">
      <c r="A47" s="2072" t="s">
        <v>313</v>
      </c>
      <c r="B47" s="2075"/>
      <c r="C47" s="2075"/>
      <c r="D47" s="2075"/>
      <c r="E47" s="2076"/>
      <c r="F47" s="2076"/>
      <c r="G47" s="2076"/>
      <c r="H47" s="2076"/>
      <c r="I47" s="2076"/>
      <c r="J47" s="181"/>
      <c r="K47" s="181"/>
    </row>
    <row r="48" spans="1:11" x14ac:dyDescent="0.2">
      <c r="A48" s="218"/>
      <c r="B48" s="228"/>
      <c r="C48" s="226"/>
      <c r="D48" s="238"/>
      <c r="E48" s="181"/>
      <c r="F48" s="181"/>
      <c r="G48" s="181"/>
      <c r="H48" s="181"/>
      <c r="I48" s="181"/>
      <c r="J48" s="181"/>
      <c r="K48" s="181"/>
    </row>
    <row r="49" spans="1:11" x14ac:dyDescent="0.2">
      <c r="A49" s="218"/>
      <c r="B49" s="225"/>
      <c r="C49" s="226">
        <v>19</v>
      </c>
      <c r="D49" s="242" t="s">
        <v>363</v>
      </c>
      <c r="E49" s="181"/>
      <c r="F49" s="181"/>
      <c r="G49" s="181"/>
      <c r="H49" s="181"/>
      <c r="I49" s="181"/>
      <c r="J49" s="181"/>
      <c r="K49" s="181"/>
    </row>
    <row r="50" spans="1:11" x14ac:dyDescent="0.2">
      <c r="A50" s="218"/>
      <c r="B50" s="225"/>
      <c r="C50" s="226">
        <v>20</v>
      </c>
      <c r="D50" s="242" t="s">
        <v>1625</v>
      </c>
      <c r="E50" s="181"/>
      <c r="F50" s="181"/>
      <c r="G50" s="181"/>
      <c r="H50" s="181"/>
      <c r="I50" s="181"/>
      <c r="J50" s="181"/>
      <c r="K50" s="181"/>
    </row>
    <row r="51" spans="1:11" x14ac:dyDescent="0.2">
      <c r="B51" s="243"/>
      <c r="C51" s="244">
        <v>21</v>
      </c>
      <c r="D51" s="217" t="s">
        <v>1049</v>
      </c>
    </row>
    <row r="52" spans="1:11" x14ac:dyDescent="0.2">
      <c r="B52" s="245"/>
      <c r="C52" s="244"/>
      <c r="D52" s="239" t="s">
        <v>840</v>
      </c>
    </row>
    <row r="53" spans="1:11" x14ac:dyDescent="0.2">
      <c r="A53" s="218"/>
      <c r="B53" s="219"/>
      <c r="C53" s="179">
        <v>22</v>
      </c>
      <c r="D53" s="246" t="s">
        <v>1462</v>
      </c>
      <c r="E53" s="247"/>
      <c r="F53" s="248"/>
      <c r="G53" s="248" t="s">
        <v>1461</v>
      </c>
      <c r="H53" s="249"/>
      <c r="I53" s="236" t="s">
        <v>1483</v>
      </c>
      <c r="J53" s="181"/>
      <c r="K53" s="181"/>
    </row>
    <row r="54" spans="1:11" x14ac:dyDescent="0.2">
      <c r="A54" s="218"/>
      <c r="B54" s="219"/>
      <c r="C54" s="179">
        <v>23</v>
      </c>
      <c r="D54" s="242" t="s">
        <v>1362</v>
      </c>
      <c r="E54" s="247"/>
      <c r="F54" s="248"/>
      <c r="G54" s="181"/>
      <c r="H54" s="181"/>
      <c r="I54" s="181"/>
      <c r="J54" s="181"/>
      <c r="K54" s="181"/>
    </row>
    <row r="55" spans="1:11" x14ac:dyDescent="0.2">
      <c r="A55" s="1934"/>
      <c r="B55" s="1935"/>
      <c r="C55" s="1935"/>
      <c r="D55" s="1937" t="s">
        <v>1778</v>
      </c>
      <c r="E55" s="1936"/>
      <c r="F55" s="1936"/>
      <c r="G55" s="1936"/>
      <c r="H55" s="1936"/>
      <c r="I55" s="1936"/>
      <c r="J55" s="181"/>
      <c r="K55" s="181"/>
    </row>
    <row r="56" spans="1:11" x14ac:dyDescent="0.2">
      <c r="A56" s="1934"/>
      <c r="B56" s="1935"/>
      <c r="C56" s="181"/>
      <c r="D56" s="181"/>
      <c r="E56" s="1936"/>
      <c r="F56" s="1936"/>
      <c r="G56" s="1936"/>
      <c r="H56" s="1936"/>
      <c r="I56" s="1936"/>
      <c r="J56" s="181"/>
      <c r="K56" s="181"/>
    </row>
    <row r="57" spans="1:11" x14ac:dyDescent="0.2">
      <c r="A57" s="251"/>
      <c r="B57" s="2077"/>
      <c r="C57" s="2078"/>
      <c r="D57" s="2078"/>
      <c r="E57" s="2078"/>
      <c r="F57" s="2078"/>
      <c r="G57" s="2078"/>
      <c r="H57" s="2078"/>
      <c r="I57" s="2078"/>
      <c r="J57" s="2079"/>
      <c r="K57" s="181"/>
    </row>
    <row r="58" spans="1:11" x14ac:dyDescent="0.2">
      <c r="A58" s="251"/>
      <c r="B58" s="2080"/>
      <c r="C58" s="2081"/>
      <c r="D58" s="2081"/>
      <c r="E58" s="2081"/>
      <c r="F58" s="2081"/>
      <c r="G58" s="2081"/>
      <c r="H58" s="2081"/>
      <c r="I58" s="2081"/>
      <c r="J58" s="2082"/>
      <c r="K58" s="181"/>
    </row>
    <row r="59" spans="1:11" x14ac:dyDescent="0.2">
      <c r="A59" s="251"/>
      <c r="B59" s="2080"/>
      <c r="C59" s="2081"/>
      <c r="D59" s="2081"/>
      <c r="E59" s="2081"/>
      <c r="F59" s="2081"/>
      <c r="G59" s="2081"/>
      <c r="H59" s="2081"/>
      <c r="I59" s="2081"/>
      <c r="J59" s="2082"/>
      <c r="K59" s="181"/>
    </row>
    <row r="60" spans="1:11" x14ac:dyDescent="0.2">
      <c r="A60" s="251"/>
      <c r="B60" s="2080"/>
      <c r="C60" s="2081"/>
      <c r="D60" s="2081"/>
      <c r="E60" s="2081"/>
      <c r="F60" s="2081"/>
      <c r="G60" s="2081"/>
      <c r="H60" s="2081"/>
      <c r="I60" s="2081"/>
      <c r="J60" s="2082"/>
      <c r="K60" s="181"/>
    </row>
    <row r="61" spans="1:11" x14ac:dyDescent="0.2">
      <c r="A61" s="251"/>
      <c r="B61" s="2080"/>
      <c r="C61" s="2081"/>
      <c r="D61" s="2081"/>
      <c r="E61" s="2081"/>
      <c r="F61" s="2081"/>
      <c r="G61" s="2081"/>
      <c r="H61" s="2081"/>
      <c r="I61" s="2081"/>
      <c r="J61" s="2082"/>
      <c r="K61" s="181"/>
    </row>
    <row r="62" spans="1:11" x14ac:dyDescent="0.2">
      <c r="A62" s="251"/>
      <c r="B62" s="2080"/>
      <c r="C62" s="2081"/>
      <c r="D62" s="2081"/>
      <c r="E62" s="2081"/>
      <c r="F62" s="2081"/>
      <c r="G62" s="2081"/>
      <c r="H62" s="2081"/>
      <c r="I62" s="2081"/>
      <c r="J62" s="2082"/>
      <c r="K62" s="181"/>
    </row>
    <row r="63" spans="1:11" x14ac:dyDescent="0.2">
      <c r="A63" s="251"/>
      <c r="B63" s="2080"/>
      <c r="C63" s="2081"/>
      <c r="D63" s="2081"/>
      <c r="E63" s="2081"/>
      <c r="F63" s="2081"/>
      <c r="G63" s="2081"/>
      <c r="H63" s="2081"/>
      <c r="I63" s="2081"/>
      <c r="J63" s="2082"/>
      <c r="K63" s="181"/>
    </row>
    <row r="64" spans="1:11" x14ac:dyDescent="0.2">
      <c r="A64" s="251"/>
      <c r="B64" s="2080"/>
      <c r="C64" s="2081"/>
      <c r="D64" s="2081"/>
      <c r="E64" s="2081"/>
      <c r="F64" s="2081"/>
      <c r="G64" s="2081"/>
      <c r="H64" s="2081"/>
      <c r="I64" s="2081"/>
      <c r="J64" s="2082"/>
      <c r="K64" s="181"/>
    </row>
    <row r="65" spans="1:11" x14ac:dyDescent="0.2">
      <c r="A65" s="251"/>
      <c r="B65" s="2080"/>
      <c r="C65" s="2081"/>
      <c r="D65" s="2081"/>
      <c r="E65" s="2081"/>
      <c r="F65" s="2081"/>
      <c r="G65" s="2081"/>
      <c r="H65" s="2081"/>
      <c r="I65" s="2081"/>
      <c r="J65" s="2082"/>
      <c r="K65" s="181"/>
    </row>
    <row r="66" spans="1:11" x14ac:dyDescent="0.2">
      <c r="A66" s="251"/>
      <c r="B66" s="2080"/>
      <c r="C66" s="2081"/>
      <c r="D66" s="2081"/>
      <c r="E66" s="2081"/>
      <c r="F66" s="2081"/>
      <c r="G66" s="2081"/>
      <c r="H66" s="2081"/>
      <c r="I66" s="2081"/>
      <c r="J66" s="2082"/>
      <c r="K66" s="181"/>
    </row>
    <row r="67" spans="1:11" x14ac:dyDescent="0.2">
      <c r="A67" s="252"/>
      <c r="B67" s="2083"/>
      <c r="C67" s="2084"/>
      <c r="D67" s="2084"/>
      <c r="E67" s="2084"/>
      <c r="F67" s="2084"/>
      <c r="G67" s="2084"/>
      <c r="H67" s="2084"/>
      <c r="I67" s="2084"/>
      <c r="J67" s="2085"/>
      <c r="K67" s="181"/>
    </row>
    <row r="68" spans="1:11" x14ac:dyDescent="0.2">
      <c r="A68" s="218"/>
      <c r="B68" s="253"/>
      <c r="C68" s="254"/>
      <c r="D68" s="254"/>
      <c r="E68" s="254"/>
      <c r="F68" s="254"/>
      <c r="G68" s="254"/>
      <c r="H68" s="254"/>
      <c r="I68" s="181"/>
      <c r="J68" s="181"/>
      <c r="K68" s="181"/>
    </row>
    <row r="69" spans="1:11" ht="38.25" customHeight="1" x14ac:dyDescent="0.2">
      <c r="A69" s="218"/>
      <c r="B69" s="253"/>
      <c r="C69" s="254"/>
      <c r="D69" s="254"/>
      <c r="E69" s="254"/>
      <c r="F69" s="254"/>
      <c r="G69" s="254"/>
      <c r="H69" s="254"/>
      <c r="I69" s="181"/>
      <c r="J69" s="181"/>
      <c r="K69" s="181"/>
    </row>
    <row r="70" spans="1:11" x14ac:dyDescent="0.2">
      <c r="A70" s="2072" t="s">
        <v>1323</v>
      </c>
      <c r="B70" s="2075"/>
      <c r="C70" s="2075"/>
      <c r="D70" s="2075"/>
      <c r="E70" s="2076"/>
      <c r="F70" s="2076"/>
      <c r="G70" s="2076"/>
      <c r="H70" s="2076"/>
      <c r="I70" s="2076"/>
      <c r="J70" s="181"/>
      <c r="K70" s="181"/>
    </row>
    <row r="71" spans="1:11" x14ac:dyDescent="0.2">
      <c r="A71" s="218"/>
      <c r="B71" s="181"/>
      <c r="C71" s="255"/>
      <c r="D71" s="256" t="s">
        <v>1322</v>
      </c>
      <c r="E71" s="254"/>
      <c r="F71" s="254"/>
      <c r="G71" s="254"/>
      <c r="H71" s="254"/>
      <c r="I71" s="181"/>
      <c r="J71" s="181"/>
      <c r="K71" s="181"/>
    </row>
    <row r="72" spans="1:11" x14ac:dyDescent="0.2">
      <c r="A72" s="181"/>
      <c r="B72" s="253"/>
      <c r="C72" s="254"/>
      <c r="D72" s="254"/>
      <c r="E72" s="254"/>
      <c r="F72" s="254"/>
      <c r="G72" s="254"/>
      <c r="H72" s="254"/>
      <c r="I72" s="181"/>
      <c r="J72" s="181"/>
      <c r="K72" s="181"/>
    </row>
    <row r="73" spans="1:11" x14ac:dyDescent="0.2">
      <c r="A73" s="257" t="s">
        <v>1914</v>
      </c>
      <c r="B73" s="253"/>
      <c r="C73" s="254"/>
      <c r="D73" s="254"/>
      <c r="E73" s="254"/>
      <c r="F73" s="254"/>
      <c r="G73" s="254"/>
      <c r="H73" s="254"/>
      <c r="I73" s="181"/>
      <c r="J73" s="181"/>
      <c r="K73" s="181"/>
    </row>
    <row r="74" spans="1:11" x14ac:dyDescent="0.2">
      <c r="A74" s="257" t="s">
        <v>1425</v>
      </c>
      <c r="B74" s="253"/>
      <c r="C74" s="254"/>
      <c r="D74" s="254"/>
      <c r="E74" s="254"/>
      <c r="F74" s="254"/>
      <c r="G74" s="254"/>
      <c r="H74" s="254"/>
      <c r="I74" s="181"/>
      <c r="J74" s="181"/>
      <c r="K74" s="181"/>
    </row>
    <row r="75" spans="1:11" x14ac:dyDescent="0.2">
      <c r="A75" s="257" t="s">
        <v>1931</v>
      </c>
      <c r="B75" s="253"/>
      <c r="C75" s="254"/>
      <c r="D75" s="254"/>
      <c r="E75" s="254"/>
      <c r="F75" s="254"/>
      <c r="G75" s="254"/>
      <c r="H75" s="254"/>
      <c r="I75" s="181"/>
      <c r="J75" s="181"/>
      <c r="K75" s="181"/>
    </row>
    <row r="76" spans="1:11" x14ac:dyDescent="0.2">
      <c r="A76" s="238" t="s">
        <v>1426</v>
      </c>
      <c r="B76" s="253"/>
      <c r="C76" s="254"/>
      <c r="D76" s="254"/>
      <c r="E76" s="254"/>
      <c r="F76" s="254"/>
      <c r="G76" s="254"/>
      <c r="H76" s="254"/>
      <c r="I76" s="181"/>
      <c r="J76" s="181"/>
      <c r="K76" s="181"/>
    </row>
    <row r="77" spans="1:11" x14ac:dyDescent="0.2">
      <c r="A77" s="181"/>
      <c r="B77" s="181"/>
      <c r="C77" s="179">
        <v>24</v>
      </c>
      <c r="D77" s="246" t="s">
        <v>1633</v>
      </c>
      <c r="E77" s="181"/>
      <c r="F77" s="181"/>
      <c r="G77" s="295" t="s">
        <v>1890</v>
      </c>
      <c r="H77" s="181"/>
      <c r="I77" s="1835"/>
      <c r="J77" s="259"/>
      <c r="K77" s="181"/>
    </row>
    <row r="78" spans="1:11" x14ac:dyDescent="0.2">
      <c r="A78" s="218"/>
      <c r="B78" s="260"/>
      <c r="C78" s="179"/>
      <c r="D78" s="246"/>
      <c r="E78" s="247"/>
      <c r="F78" s="248"/>
      <c r="G78" s="181"/>
      <c r="H78" s="181"/>
      <c r="I78" s="181"/>
      <c r="J78" s="181"/>
      <c r="K78" s="181"/>
    </row>
    <row r="79" spans="1:11" x14ac:dyDescent="0.2">
      <c r="A79" s="218"/>
      <c r="B79" s="260"/>
      <c r="C79" s="179">
        <v>25</v>
      </c>
      <c r="D79" s="246" t="s">
        <v>1631</v>
      </c>
      <c r="E79" s="247"/>
      <c r="F79" s="248"/>
      <c r="G79" s="181"/>
      <c r="H79" s="181"/>
      <c r="I79" s="181"/>
      <c r="J79" s="181"/>
      <c r="K79" s="181"/>
    </row>
    <row r="80" spans="1:11" x14ac:dyDescent="0.2">
      <c r="A80" s="218"/>
      <c r="B80" s="260"/>
      <c r="C80" s="179"/>
      <c r="D80" s="246" t="s">
        <v>1632</v>
      </c>
      <c r="E80" s="247"/>
      <c r="F80" s="248"/>
      <c r="G80" s="181"/>
      <c r="H80" s="181"/>
      <c r="I80" s="181"/>
      <c r="J80" s="181"/>
      <c r="K80" s="181"/>
    </row>
    <row r="81" spans="1:11" x14ac:dyDescent="0.2">
      <c r="A81" s="218"/>
      <c r="B81" s="260"/>
      <c r="C81" s="181"/>
      <c r="D81" s="181"/>
      <c r="E81" s="181"/>
      <c r="F81" s="181"/>
      <c r="G81" s="181"/>
      <c r="H81" s="181"/>
      <c r="I81" s="181"/>
      <c r="J81" s="181"/>
      <c r="K81" s="181"/>
    </row>
    <row r="82" spans="1:11" x14ac:dyDescent="0.2">
      <c r="A82" s="218"/>
      <c r="B82" s="260"/>
      <c r="C82" s="246"/>
      <c r="D82" s="181"/>
      <c r="E82" s="181"/>
      <c r="F82" s="181"/>
      <c r="G82" s="181"/>
      <c r="H82" s="181"/>
      <c r="I82" s="181"/>
      <c r="J82" s="181"/>
      <c r="K82" s="181"/>
    </row>
    <row r="83" spans="1:11" ht="13.5" thickBot="1" x14ac:dyDescent="0.25">
      <c r="A83" s="2086" t="s">
        <v>1320</v>
      </c>
      <c r="B83" s="2086"/>
      <c r="C83" s="2086"/>
      <c r="D83" s="2087"/>
      <c r="E83" s="261" t="s">
        <v>1357</v>
      </c>
      <c r="F83" s="261" t="s">
        <v>1358</v>
      </c>
      <c r="G83" s="261" t="s">
        <v>1359</v>
      </c>
      <c r="H83" s="261" t="s">
        <v>1360</v>
      </c>
      <c r="I83" s="261" t="s">
        <v>1361</v>
      </c>
      <c r="J83" s="262" t="s">
        <v>156</v>
      </c>
      <c r="K83" s="181"/>
    </row>
    <row r="84" spans="1:11" ht="13.5" thickTop="1" x14ac:dyDescent="0.2">
      <c r="A84" s="263" t="s">
        <v>1444</v>
      </c>
      <c r="B84" s="264"/>
      <c r="C84" s="265"/>
      <c r="D84" s="266"/>
      <c r="E84" s="267"/>
      <c r="F84" s="267"/>
      <c r="G84" s="267"/>
      <c r="H84" s="267"/>
      <c r="I84" s="267"/>
      <c r="J84" s="268"/>
      <c r="K84" s="181"/>
    </row>
    <row r="85" spans="1:11" x14ac:dyDescent="0.2">
      <c r="A85" s="269" t="s">
        <v>1912</v>
      </c>
      <c r="B85" s="270"/>
      <c r="C85" s="271"/>
      <c r="D85" s="272"/>
      <c r="E85" s="273"/>
      <c r="F85" s="274">
        <v>1</v>
      </c>
      <c r="G85" s="274"/>
      <c r="H85" s="274"/>
      <c r="I85" s="274"/>
      <c r="J85" s="275">
        <f>SUM(E85:I85)</f>
        <v>1</v>
      </c>
      <c r="K85" s="181"/>
    </row>
    <row r="86" spans="1:11" x14ac:dyDescent="0.2">
      <c r="A86" s="276"/>
      <c r="B86" s="277"/>
      <c r="C86" s="278"/>
      <c r="D86" s="279"/>
      <c r="E86" s="267"/>
      <c r="F86" s="267"/>
      <c r="G86" s="267"/>
      <c r="H86" s="267"/>
      <c r="I86" s="267"/>
      <c r="J86" s="268"/>
      <c r="K86" s="181"/>
    </row>
    <row r="87" spans="1:11" x14ac:dyDescent="0.2">
      <c r="A87" s="280" t="s">
        <v>1321</v>
      </c>
      <c r="B87" s="281"/>
      <c r="C87" s="282"/>
      <c r="D87" s="279"/>
      <c r="E87" s="267"/>
      <c r="F87" s="267"/>
      <c r="G87" s="267"/>
      <c r="H87" s="267"/>
      <c r="I87" s="267"/>
      <c r="J87" s="268"/>
      <c r="K87" s="181"/>
    </row>
    <row r="88" spans="1:11" x14ac:dyDescent="0.2">
      <c r="A88" s="283" t="s">
        <v>1912</v>
      </c>
      <c r="B88" s="284"/>
      <c r="C88" s="285"/>
      <c r="D88" s="286"/>
      <c r="E88" s="274"/>
      <c r="F88" s="274"/>
      <c r="G88" s="274"/>
      <c r="H88" s="274"/>
      <c r="I88" s="274"/>
      <c r="J88" s="275">
        <f>SUM(E88:I88)</f>
        <v>0</v>
      </c>
      <c r="K88" s="181"/>
    </row>
    <row r="89" spans="1:11" x14ac:dyDescent="0.2">
      <c r="A89" s="287"/>
      <c r="B89" s="288"/>
      <c r="C89" s="289"/>
      <c r="D89" s="286"/>
      <c r="E89" s="274"/>
      <c r="F89" s="274"/>
      <c r="G89" s="274"/>
      <c r="H89" s="274"/>
      <c r="I89" s="274"/>
      <c r="J89" s="290"/>
      <c r="K89" s="181"/>
    </row>
    <row r="90" spans="1:11" x14ac:dyDescent="0.2">
      <c r="A90" s="280" t="s">
        <v>156</v>
      </c>
      <c r="B90" s="281"/>
      <c r="C90" s="282"/>
      <c r="D90" s="291"/>
      <c r="E90" s="292"/>
      <c r="F90" s="292"/>
      <c r="G90" s="292"/>
      <c r="H90" s="292"/>
      <c r="I90" s="292"/>
      <c r="J90" s="293">
        <f>SUM(J85:J89)</f>
        <v>1</v>
      </c>
      <c r="K90" s="181"/>
    </row>
    <row r="91" spans="1:11" x14ac:dyDescent="0.2">
      <c r="A91" s="218"/>
      <c r="B91" s="260"/>
      <c r="C91" s="179"/>
      <c r="D91" s="181"/>
      <c r="E91" s="258"/>
      <c r="F91" s="294"/>
      <c r="G91" s="181"/>
      <c r="H91" s="295"/>
      <c r="I91" s="181"/>
      <c r="J91" s="181"/>
      <c r="K91" s="181"/>
    </row>
    <row r="92" spans="1:11" x14ac:dyDescent="0.2">
      <c r="A92" s="218"/>
      <c r="B92" s="246" t="s">
        <v>1626</v>
      </c>
      <c r="C92" s="179"/>
      <c r="D92" s="181"/>
      <c r="E92" s="258"/>
      <c r="F92" s="294"/>
      <c r="G92" s="181"/>
      <c r="H92" s="295"/>
      <c r="I92" s="181"/>
      <c r="J92" s="181"/>
      <c r="K92" s="181"/>
    </row>
    <row r="93" spans="1:11" x14ac:dyDescent="0.2">
      <c r="A93" s="218"/>
      <c r="B93" s="296" t="s">
        <v>1913</v>
      </c>
      <c r="C93" s="179"/>
      <c r="D93" s="181"/>
      <c r="E93" s="258"/>
      <c r="F93" s="294"/>
      <c r="G93" s="181"/>
      <c r="H93" s="295"/>
      <c r="I93" s="181"/>
      <c r="J93" s="181"/>
      <c r="K93" s="181"/>
    </row>
    <row r="94" spans="1:11" x14ac:dyDescent="0.2">
      <c r="A94" s="297" t="s">
        <v>1331</v>
      </c>
      <c r="B94" s="298"/>
      <c r="C94" s="298"/>
      <c r="D94" s="299"/>
      <c r="E94" s="300"/>
      <c r="F94" s="301"/>
      <c r="G94" s="302"/>
      <c r="H94" s="303"/>
      <c r="I94" s="304"/>
      <c r="J94" s="181"/>
      <c r="K94" s="181"/>
    </row>
    <row r="95" spans="1:11" x14ac:dyDescent="0.2">
      <c r="A95" s="305"/>
      <c r="B95" s="306" t="s">
        <v>1627</v>
      </c>
      <c r="C95" s="307"/>
      <c r="D95" s="308"/>
      <c r="E95" s="302"/>
      <c r="F95" s="302"/>
      <c r="G95" s="302"/>
      <c r="H95" s="302"/>
      <c r="I95" s="302"/>
      <c r="J95" s="181"/>
      <c r="K95" s="181"/>
    </row>
    <row r="96" spans="1:11" x14ac:dyDescent="0.2">
      <c r="A96" s="305" t="s">
        <v>1169</v>
      </c>
      <c r="B96" s="342" t="s">
        <v>1629</v>
      </c>
      <c r="C96" s="307"/>
      <c r="D96" s="309"/>
      <c r="E96" s="309"/>
      <c r="F96" s="309"/>
      <c r="G96" s="309"/>
      <c r="H96" s="309"/>
      <c r="I96" s="302"/>
      <c r="J96" s="181"/>
      <c r="K96" s="181"/>
    </row>
    <row r="97" spans="1:11" x14ac:dyDescent="0.2">
      <c r="A97" s="305"/>
      <c r="B97" s="306" t="s">
        <v>1628</v>
      </c>
      <c r="C97" s="307"/>
      <c r="D97" s="309"/>
      <c r="E97" s="309"/>
      <c r="F97" s="309"/>
      <c r="G97" s="309"/>
      <c r="H97" s="309"/>
      <c r="I97" s="302"/>
      <c r="J97" s="181"/>
      <c r="K97" s="181"/>
    </row>
    <row r="98" spans="1:11" x14ac:dyDescent="0.2">
      <c r="A98" s="306"/>
      <c r="B98" s="310" t="s">
        <v>1630</v>
      </c>
      <c r="C98" s="307"/>
      <c r="D98" s="309"/>
      <c r="E98" s="309"/>
      <c r="F98" s="309"/>
      <c r="G98" s="309"/>
      <c r="H98" s="309"/>
      <c r="I98" s="302"/>
      <c r="J98" s="181"/>
      <c r="K98" s="181"/>
    </row>
    <row r="99" spans="1:11" x14ac:dyDescent="0.2">
      <c r="A99" s="311"/>
      <c r="B99" s="312"/>
      <c r="C99" s="307"/>
      <c r="D99" s="309"/>
      <c r="E99" s="309"/>
      <c r="F99" s="309"/>
      <c r="G99" s="309"/>
      <c r="H99" s="309"/>
      <c r="I99" s="302"/>
      <c r="J99" s="181"/>
      <c r="K99" s="181"/>
    </row>
    <row r="100" spans="1:11" x14ac:dyDescent="0.2">
      <c r="A100" s="308"/>
      <c r="B100" s="313"/>
      <c r="C100" s="308"/>
      <c r="D100" s="309"/>
      <c r="E100" s="309"/>
      <c r="F100" s="309"/>
      <c r="G100" s="309"/>
      <c r="H100" s="309"/>
      <c r="I100" s="302"/>
      <c r="J100" s="181"/>
      <c r="K100" s="181"/>
    </row>
    <row r="101" spans="1:11" x14ac:dyDescent="0.2">
      <c r="A101" s="308"/>
      <c r="B101" s="313" t="s">
        <v>1166</v>
      </c>
      <c r="C101" s="308"/>
      <c r="D101" s="308"/>
      <c r="E101" s="302"/>
      <c r="F101" s="302"/>
      <c r="G101" s="302"/>
      <c r="H101" s="302"/>
      <c r="I101" s="302"/>
      <c r="J101" s="181"/>
      <c r="K101" s="181"/>
    </row>
    <row r="102" spans="1:11" x14ac:dyDescent="0.2">
      <c r="A102" s="314"/>
      <c r="B102" s="2058"/>
      <c r="C102" s="2059"/>
      <c r="D102" s="2059"/>
      <c r="E102" s="2059"/>
      <c r="F102" s="2059"/>
      <c r="G102" s="2059"/>
      <c r="H102" s="2059"/>
      <c r="I102" s="2060"/>
      <c r="J102" s="181"/>
      <c r="K102" s="181"/>
    </row>
    <row r="103" spans="1:11" x14ac:dyDescent="0.2">
      <c r="A103" s="314"/>
      <c r="B103" s="2061"/>
      <c r="C103" s="2062"/>
      <c r="D103" s="2062"/>
      <c r="E103" s="2062"/>
      <c r="F103" s="2062"/>
      <c r="G103" s="2062"/>
      <c r="H103" s="2062"/>
      <c r="I103" s="2063"/>
      <c r="J103" s="181"/>
      <c r="K103" s="181"/>
    </row>
    <row r="104" spans="1:11" x14ac:dyDescent="0.2">
      <c r="A104" s="314"/>
      <c r="B104" s="2061"/>
      <c r="C104" s="2062"/>
      <c r="D104" s="2062"/>
      <c r="E104" s="2062"/>
      <c r="F104" s="2062"/>
      <c r="G104" s="2062"/>
      <c r="H104" s="2062"/>
      <c r="I104" s="2063"/>
      <c r="J104" s="181"/>
      <c r="K104" s="181"/>
    </row>
    <row r="105" spans="1:11" x14ac:dyDescent="0.2">
      <c r="A105" s="314"/>
      <c r="B105" s="2061"/>
      <c r="C105" s="2062"/>
      <c r="D105" s="2062"/>
      <c r="E105" s="2062"/>
      <c r="F105" s="2062"/>
      <c r="G105" s="2062"/>
      <c r="H105" s="2062"/>
      <c r="I105" s="2063"/>
      <c r="J105" s="181"/>
      <c r="K105" s="181"/>
    </row>
    <row r="106" spans="1:11" x14ac:dyDescent="0.2">
      <c r="A106" s="314"/>
      <c r="B106" s="2061"/>
      <c r="C106" s="2062"/>
      <c r="D106" s="2062"/>
      <c r="E106" s="2062"/>
      <c r="F106" s="2062"/>
      <c r="G106" s="2062"/>
      <c r="H106" s="2062"/>
      <c r="I106" s="2063"/>
      <c r="J106" s="181"/>
      <c r="K106" s="181"/>
    </row>
    <row r="107" spans="1:11" x14ac:dyDescent="0.2">
      <c r="A107" s="314"/>
      <c r="B107" s="2061"/>
      <c r="C107" s="2062"/>
      <c r="D107" s="2062"/>
      <c r="E107" s="2062"/>
      <c r="F107" s="2062"/>
      <c r="G107" s="2062"/>
      <c r="H107" s="2062"/>
      <c r="I107" s="2063"/>
      <c r="J107" s="181"/>
      <c r="K107" s="181"/>
    </row>
    <row r="108" spans="1:11" x14ac:dyDescent="0.2">
      <c r="A108" s="314"/>
      <c r="B108" s="2061"/>
      <c r="C108" s="2062"/>
      <c r="D108" s="2062"/>
      <c r="E108" s="2062"/>
      <c r="F108" s="2062"/>
      <c r="G108" s="2062"/>
      <c r="H108" s="2062"/>
      <c r="I108" s="2063"/>
      <c r="J108" s="181"/>
      <c r="K108" s="181"/>
    </row>
    <row r="109" spans="1:11" x14ac:dyDescent="0.2">
      <c r="A109" s="314"/>
      <c r="B109" s="2061"/>
      <c r="C109" s="2062"/>
      <c r="D109" s="2062"/>
      <c r="E109" s="2062"/>
      <c r="F109" s="2062"/>
      <c r="G109" s="2062"/>
      <c r="H109" s="2062"/>
      <c r="I109" s="2063"/>
      <c r="J109" s="181"/>
      <c r="K109" s="181"/>
    </row>
    <row r="110" spans="1:11" x14ac:dyDescent="0.2">
      <c r="A110" s="314"/>
      <c r="B110" s="2061"/>
      <c r="C110" s="2062"/>
      <c r="D110" s="2062"/>
      <c r="E110" s="2062"/>
      <c r="F110" s="2062"/>
      <c r="G110" s="2062"/>
      <c r="H110" s="2062"/>
      <c r="I110" s="2063"/>
      <c r="J110" s="181"/>
      <c r="K110" s="181"/>
    </row>
    <row r="111" spans="1:11" x14ac:dyDescent="0.2">
      <c r="A111" s="314"/>
      <c r="B111" s="2061"/>
      <c r="C111" s="2062"/>
      <c r="D111" s="2062"/>
      <c r="E111" s="2062"/>
      <c r="F111" s="2062"/>
      <c r="G111" s="2062"/>
      <c r="H111" s="2062"/>
      <c r="I111" s="2063"/>
      <c r="J111" s="181"/>
      <c r="K111" s="181"/>
    </row>
    <row r="112" spans="1:11" x14ac:dyDescent="0.2">
      <c r="A112" s="314"/>
      <c r="B112" s="2064"/>
      <c r="C112" s="2065"/>
      <c r="D112" s="2065"/>
      <c r="E112" s="2065"/>
      <c r="F112" s="2065"/>
      <c r="G112" s="2065"/>
      <c r="H112" s="2065"/>
      <c r="I112" s="2066"/>
      <c r="J112" s="181"/>
      <c r="K112" s="181"/>
    </row>
    <row r="113" spans="1:11" x14ac:dyDescent="0.2">
      <c r="A113" s="315"/>
      <c r="B113" s="309"/>
      <c r="C113" s="309"/>
      <c r="D113" s="309"/>
      <c r="E113" s="302"/>
      <c r="F113" s="302"/>
      <c r="G113" s="302"/>
      <c r="H113" s="302"/>
      <c r="I113" s="302"/>
      <c r="J113" s="181"/>
      <c r="K113" s="181"/>
    </row>
    <row r="114" spans="1:11" x14ac:dyDescent="0.2">
      <c r="A114" s="314"/>
      <c r="B114" s="315"/>
      <c r="C114" s="2067" t="s">
        <v>2081</v>
      </c>
      <c r="D114" s="2067"/>
      <c r="E114" s="302"/>
      <c r="F114" s="302"/>
      <c r="G114" s="302"/>
      <c r="H114" s="302"/>
      <c r="I114" s="302"/>
      <c r="J114" s="181"/>
      <c r="K114" s="181"/>
    </row>
    <row r="115" spans="1:11" x14ac:dyDescent="0.2">
      <c r="A115" s="314"/>
      <c r="B115" s="314"/>
      <c r="C115" s="316"/>
      <c r="D115" s="317" t="s">
        <v>1167</v>
      </c>
      <c r="E115" s="318"/>
      <c r="F115" s="302"/>
      <c r="G115" s="302"/>
      <c r="H115" s="302"/>
      <c r="I115" s="302"/>
      <c r="J115" s="181"/>
      <c r="K115" s="181"/>
    </row>
    <row r="116" spans="1:11" x14ac:dyDescent="0.2">
      <c r="A116" s="314"/>
      <c r="B116" s="314"/>
      <c r="C116" s="316"/>
      <c r="D116" s="319"/>
      <c r="E116" s="318"/>
      <c r="F116" s="302"/>
      <c r="G116" s="302"/>
      <c r="H116" s="302"/>
      <c r="I116" s="302"/>
      <c r="J116" s="181"/>
      <c r="K116" s="181"/>
    </row>
    <row r="117" spans="1:11" x14ac:dyDescent="0.2">
      <c r="A117" s="314"/>
      <c r="B117" s="320"/>
      <c r="C117" s="2068" t="s">
        <v>1330</v>
      </c>
      <c r="D117" s="2069"/>
      <c r="E117" s="2070"/>
      <c r="F117" s="2070"/>
      <c r="G117" s="2070"/>
      <c r="H117" s="2070"/>
      <c r="I117" s="302"/>
      <c r="J117" s="181"/>
      <c r="K117" s="181"/>
    </row>
    <row r="118" spans="1:11" x14ac:dyDescent="0.2">
      <c r="A118" s="314"/>
      <c r="B118" s="314"/>
      <c r="C118" s="314"/>
      <c r="D118" s="321"/>
      <c r="E118" s="320"/>
      <c r="F118" s="322"/>
      <c r="G118" s="1837"/>
      <c r="H118" s="320"/>
      <c r="I118" s="302"/>
      <c r="J118" s="181"/>
      <c r="K118" s="181"/>
    </row>
    <row r="119" spans="1:11" x14ac:dyDescent="0.2">
      <c r="A119" s="323"/>
      <c r="B119" s="323"/>
      <c r="C119" s="324"/>
      <c r="D119" s="1938" t="s">
        <v>361</v>
      </c>
      <c r="E119" s="308"/>
      <c r="F119" s="1836" t="s">
        <v>2096</v>
      </c>
      <c r="G119" s="1939"/>
      <c r="H119" s="325"/>
      <c r="I119" s="302"/>
      <c r="J119" s="181"/>
      <c r="K119" s="181"/>
    </row>
    <row r="120" spans="1:11" x14ac:dyDescent="0.2">
      <c r="A120" s="326"/>
      <c r="B120" s="180"/>
      <c r="C120" s="327"/>
      <c r="D120" s="254"/>
      <c r="E120" s="254"/>
      <c r="F120" s="254"/>
      <c r="G120" s="254"/>
      <c r="H120" s="254"/>
      <c r="I120" s="302"/>
    </row>
    <row r="121" spans="1:11" x14ac:dyDescent="0.2">
      <c r="A121" s="326"/>
      <c r="B121" s="1485" t="s">
        <v>1601</v>
      </c>
      <c r="C121" s="328"/>
      <c r="D121" s="254"/>
      <c r="E121" s="254"/>
      <c r="F121" s="254"/>
      <c r="G121" s="254"/>
      <c r="H121" s="254"/>
      <c r="I121" s="302"/>
    </row>
    <row r="122" spans="1:11" x14ac:dyDescent="0.2">
      <c r="A122" s="326"/>
      <c r="B122" s="326"/>
      <c r="C122" s="326"/>
      <c r="D122" s="329"/>
      <c r="E122" s="254"/>
      <c r="F122" s="330"/>
      <c r="G122" s="254"/>
      <c r="H122" s="254"/>
      <c r="I122" s="302"/>
      <c r="J122" s="215"/>
      <c r="K122" s="215"/>
    </row>
    <row r="123" spans="1:11" x14ac:dyDescent="0.2">
      <c r="A123" s="331"/>
      <c r="B123" s="331"/>
      <c r="C123" s="332"/>
      <c r="D123" s="333"/>
      <c r="E123" s="181"/>
      <c r="F123" s="181"/>
      <c r="G123" s="181"/>
      <c r="H123" s="181"/>
      <c r="I123" s="302"/>
    </row>
    <row r="124" spans="1:11" x14ac:dyDescent="0.2">
      <c r="A124" s="209"/>
      <c r="B124" s="209"/>
      <c r="C124" s="332"/>
      <c r="D124" s="334"/>
      <c r="E124" s="335"/>
      <c r="F124" s="181"/>
      <c r="G124" s="181"/>
      <c r="H124" s="181"/>
      <c r="I124" s="302"/>
    </row>
    <row r="125" spans="1:11" x14ac:dyDescent="0.2">
      <c r="A125" s="209"/>
      <c r="B125" s="209"/>
      <c r="C125" s="336"/>
      <c r="D125" s="329"/>
      <c r="E125" s="335"/>
      <c r="F125" s="181"/>
      <c r="G125" s="181"/>
      <c r="H125" s="181"/>
      <c r="I125" s="302"/>
    </row>
    <row r="126" spans="1:11" x14ac:dyDescent="0.2">
      <c r="A126" s="209"/>
      <c r="B126" s="209"/>
      <c r="C126" s="336"/>
      <c r="D126" s="337"/>
      <c r="E126" s="337"/>
      <c r="F126" s="337"/>
      <c r="G126" s="337"/>
      <c r="H126" s="337"/>
      <c r="I126" s="302"/>
    </row>
    <row r="127" spans="1:11" x14ac:dyDescent="0.2">
      <c r="A127" s="209"/>
      <c r="B127" s="209"/>
      <c r="C127" s="336"/>
      <c r="I127" s="181"/>
    </row>
    <row r="128" spans="1:11" x14ac:dyDescent="0.2">
      <c r="A128" s="209"/>
      <c r="B128" s="209"/>
      <c r="C128" s="336"/>
      <c r="D128" s="329"/>
      <c r="E128" s="180"/>
      <c r="F128" s="330"/>
      <c r="G128" s="215"/>
      <c r="H128" s="215"/>
    </row>
    <row r="129" spans="1:11" x14ac:dyDescent="0.2">
      <c r="A129" s="247"/>
      <c r="B129" s="247"/>
      <c r="C129" s="336"/>
      <c r="J129" s="215"/>
      <c r="K129" s="215"/>
    </row>
    <row r="130" spans="1:11" x14ac:dyDescent="0.2">
      <c r="A130" s="247"/>
      <c r="B130" s="247"/>
      <c r="C130" s="336"/>
      <c r="I130" s="215"/>
    </row>
    <row r="131" spans="1:11" x14ac:dyDescent="0.2">
      <c r="A131" s="247"/>
      <c r="B131" s="247"/>
      <c r="C131" s="336"/>
    </row>
    <row r="132" spans="1:11" x14ac:dyDescent="0.2">
      <c r="A132" s="247"/>
      <c r="B132" s="247"/>
      <c r="C132" s="336"/>
    </row>
    <row r="133" spans="1:11" x14ac:dyDescent="0.2">
      <c r="A133" s="247"/>
      <c r="B133" s="247"/>
      <c r="C133" s="336"/>
      <c r="G133" s="215"/>
      <c r="H133" s="215"/>
    </row>
    <row r="134" spans="1:11" x14ac:dyDescent="0.2">
      <c r="A134" s="247"/>
      <c r="B134" s="247"/>
      <c r="C134" s="336"/>
    </row>
    <row r="135" spans="1:11" x14ac:dyDescent="0.2">
      <c r="A135" s="247"/>
      <c r="B135" s="247"/>
      <c r="C135" s="336"/>
    </row>
    <row r="136" spans="1:11" x14ac:dyDescent="0.2">
      <c r="A136" s="247"/>
      <c r="B136" s="247"/>
      <c r="C136" s="336"/>
    </row>
    <row r="137" spans="1:11" x14ac:dyDescent="0.2">
      <c r="A137" s="247"/>
      <c r="B137" s="247"/>
      <c r="C137" s="336"/>
      <c r="I137" s="215"/>
    </row>
    <row r="138" spans="1:11" x14ac:dyDescent="0.2">
      <c r="A138" s="209"/>
      <c r="B138" s="209"/>
      <c r="C138" s="336"/>
    </row>
    <row r="139" spans="1:11" x14ac:dyDescent="0.2">
      <c r="A139" s="215"/>
      <c r="B139" s="216"/>
    </row>
    <row r="140" spans="1:11" x14ac:dyDescent="0.2">
      <c r="A140" s="338"/>
      <c r="B140" s="338"/>
      <c r="C140" s="339"/>
    </row>
    <row r="143" spans="1:11"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 xml:space="preserve">&amp;LPage 2&amp;RPage 2
</oddHeader>
    <oddFooter>&amp;LPrinted: &amp;D  &amp;F</oddFoot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0</xdr:rowOff>
              </from>
              <to>
                <xdr:col>5</xdr:col>
                <xdr:colOff>57150</xdr:colOff>
                <xdr:row>120</xdr:row>
                <xdr:rowOff>133350</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4" customWidth="1"/>
    <col min="2" max="2" width="24.42578125" style="1351" customWidth="1"/>
    <col min="3" max="3" width="29.5703125" style="315" customWidth="1"/>
    <col min="4" max="4" width="9.28515625" style="315" customWidth="1"/>
    <col min="5" max="5" width="5.28515625" style="1252"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64" t="str">
        <f>'Single Audit Cover'!A7</f>
        <v>El Paso-Gridley CUSD 11</v>
      </c>
      <c r="C1" s="2465"/>
      <c r="D1" s="2465"/>
      <c r="E1" s="2465"/>
      <c r="F1" s="2465"/>
      <c r="G1" s="2465"/>
      <c r="H1" s="2465"/>
      <c r="I1" s="2465"/>
      <c r="J1" s="1403"/>
    </row>
    <row r="2" spans="2:10" s="315" customFormat="1" ht="12.75" customHeight="1" x14ac:dyDescent="0.2">
      <c r="B2" s="2466">
        <f>'Single Audit Cover'!E7</f>
        <v>53102011026</v>
      </c>
      <c r="C2" s="2467"/>
      <c r="D2" s="2467"/>
      <c r="E2" s="2467"/>
      <c r="F2" s="2467"/>
      <c r="G2" s="2467"/>
      <c r="H2" s="2467"/>
      <c r="I2" s="2467"/>
      <c r="J2" s="1403"/>
    </row>
    <row r="3" spans="2:10" s="315" customFormat="1" ht="12.75" customHeight="1" x14ac:dyDescent="0.2">
      <c r="B3" s="2468" t="s">
        <v>1285</v>
      </c>
      <c r="C3" s="2469"/>
      <c r="D3" s="2469"/>
      <c r="E3" s="2469"/>
      <c r="F3" s="2469"/>
      <c r="G3" s="2469"/>
      <c r="H3" s="2469"/>
      <c r="I3" s="2469"/>
      <c r="J3" s="1404"/>
    </row>
    <row r="4" spans="2:10" s="315" customFormat="1" ht="12.75" customHeight="1" x14ac:dyDescent="0.2">
      <c r="B4" s="2468" t="str">
        <f>'Single Audit Cover'!A4</f>
        <v>Year Ending June 30, 2019</v>
      </c>
      <c r="C4" s="2469"/>
      <c r="D4" s="2469"/>
      <c r="E4" s="2469"/>
      <c r="F4" s="2469"/>
      <c r="G4" s="2469"/>
      <c r="H4" s="2469"/>
      <c r="I4" s="2469"/>
    </row>
    <row r="5" spans="2:10" s="315" customFormat="1" ht="6.2" customHeight="1" x14ac:dyDescent="0.2">
      <c r="B5" s="1405" t="s">
        <v>1169</v>
      </c>
      <c r="C5" s="1288"/>
      <c r="D5" s="1288"/>
      <c r="E5" s="1377"/>
      <c r="F5" s="320"/>
      <c r="G5" s="320"/>
      <c r="H5" s="320"/>
      <c r="I5" s="320"/>
    </row>
    <row r="6" spans="2:10" s="315" customFormat="1" ht="6.2" customHeight="1" x14ac:dyDescent="0.2">
      <c r="B6" s="1406"/>
      <c r="C6" s="1373"/>
      <c r="D6" s="1373"/>
      <c r="E6" s="1374"/>
      <c r="F6" s="1373"/>
      <c r="G6" s="1373"/>
      <c r="H6" s="1373"/>
      <c r="I6" s="1373"/>
    </row>
    <row r="7" spans="2:10" s="315" customFormat="1" ht="13.5" customHeight="1" x14ac:dyDescent="0.2">
      <c r="B7" s="2468" t="s">
        <v>1284</v>
      </c>
      <c r="C7" s="2469"/>
      <c r="D7" s="2469"/>
      <c r="E7" s="2469"/>
      <c r="F7" s="2469"/>
      <c r="G7" s="2469"/>
      <c r="H7" s="2469"/>
      <c r="I7" s="2469"/>
    </row>
    <row r="8" spans="2:10" s="315" customFormat="1" ht="6.2" customHeight="1" x14ac:dyDescent="0.2">
      <c r="B8" s="1407" t="s">
        <v>1169</v>
      </c>
      <c r="C8" s="1408"/>
      <c r="D8" s="1408"/>
      <c r="E8" s="1409"/>
      <c r="F8" s="1408"/>
      <c r="G8" s="1408"/>
      <c r="H8" s="1408"/>
      <c r="I8" s="1408"/>
    </row>
    <row r="9" spans="2:10" s="315" customFormat="1" ht="9" customHeight="1" x14ac:dyDescent="0.2">
      <c r="B9" s="1410"/>
      <c r="C9" s="320"/>
      <c r="D9" s="320"/>
      <c r="E9" s="1377"/>
      <c r="F9" s="320"/>
      <c r="G9" s="320"/>
      <c r="H9" s="320"/>
      <c r="I9" s="320"/>
    </row>
    <row r="10" spans="2:10" s="315" customFormat="1" ht="12.75" customHeight="1" x14ac:dyDescent="0.2">
      <c r="B10" s="1411" t="s">
        <v>1283</v>
      </c>
      <c r="C10" s="1412"/>
      <c r="D10" s="1412"/>
      <c r="E10" s="1252"/>
    </row>
    <row r="11" spans="2:10" s="315" customFormat="1" ht="13.5" customHeight="1" x14ac:dyDescent="0.2">
      <c r="B11" s="1343" t="s">
        <v>1282</v>
      </c>
      <c r="C11" s="2470"/>
      <c r="D11" s="2470"/>
      <c r="E11" s="1413"/>
      <c r="F11" s="1413"/>
      <c r="G11" s="1413"/>
    </row>
    <row r="12" spans="2:10" s="315" customFormat="1" ht="11.45" customHeight="1" x14ac:dyDescent="0.2">
      <c r="B12" s="1351"/>
      <c r="C12" s="1414" t="s">
        <v>1442</v>
      </c>
      <c r="D12" s="1415"/>
      <c r="E12" s="1252"/>
    </row>
    <row r="13" spans="2:10" s="315" customFormat="1" ht="12.75" customHeight="1" x14ac:dyDescent="0.2">
      <c r="B13" s="1416"/>
      <c r="C13" s="1381"/>
      <c r="D13" s="1381"/>
      <c r="E13" s="1252"/>
    </row>
    <row r="14" spans="2:10" s="315" customFormat="1" ht="12.75" customHeight="1" x14ac:dyDescent="0.2">
      <c r="B14" s="1362" t="s">
        <v>1281</v>
      </c>
      <c r="C14" s="1276"/>
      <c r="E14" s="1252"/>
    </row>
    <row r="15" spans="2:10" s="315" customFormat="1" ht="13.5" customHeight="1" x14ac:dyDescent="0.2">
      <c r="B15" s="1417" t="s">
        <v>1278</v>
      </c>
      <c r="C15" s="1418"/>
      <c r="D15" s="1392"/>
      <c r="E15" s="1419"/>
      <c r="F15" s="1294" t="s">
        <v>885</v>
      </c>
      <c r="G15" s="1419"/>
      <c r="H15" s="1294" t="s">
        <v>1276</v>
      </c>
      <c r="I15" s="1294"/>
    </row>
    <row r="16" spans="2:10" s="315" customFormat="1" ht="8.4499999999999993" customHeight="1" x14ac:dyDescent="0.2">
      <c r="B16" s="1362"/>
      <c r="C16" s="1276"/>
      <c r="E16" s="1377"/>
      <c r="F16" s="1294"/>
      <c r="G16" s="320"/>
      <c r="H16" s="1294"/>
      <c r="I16" s="1294"/>
    </row>
    <row r="17" spans="2:9" s="315" customFormat="1" ht="13.5" customHeight="1" x14ac:dyDescent="0.2">
      <c r="B17" s="1417" t="s">
        <v>1277</v>
      </c>
      <c r="C17" s="1418"/>
      <c r="D17" s="1392"/>
      <c r="E17" s="1420"/>
      <c r="F17" s="1251"/>
      <c r="G17" s="1420"/>
      <c r="H17" s="1294"/>
      <c r="I17" s="1294"/>
    </row>
    <row r="18" spans="2:9" s="315" customFormat="1" ht="12.75" customHeight="1" x14ac:dyDescent="0.2">
      <c r="B18" s="1417" t="s">
        <v>1443</v>
      </c>
      <c r="C18" s="1418"/>
      <c r="D18" s="1392"/>
      <c r="E18" s="1419"/>
      <c r="F18" s="1294" t="s">
        <v>885</v>
      </c>
      <c r="G18" s="1419"/>
      <c r="H18" s="1294" t="s">
        <v>1276</v>
      </c>
      <c r="I18" s="1294"/>
    </row>
    <row r="19" spans="2:9" s="315" customFormat="1" ht="8.4499999999999993" customHeight="1" x14ac:dyDescent="0.2">
      <c r="B19" s="1362"/>
      <c r="C19" s="1276"/>
      <c r="E19" s="1377"/>
      <c r="F19" s="1294"/>
      <c r="G19" s="320"/>
      <c r="H19" s="1294"/>
      <c r="I19" s="1294"/>
    </row>
    <row r="20" spans="2:9" s="315" customFormat="1" ht="13.5" customHeight="1" x14ac:dyDescent="0.2">
      <c r="B20" s="1417" t="s">
        <v>1591</v>
      </c>
      <c r="C20" s="1418"/>
      <c r="D20" s="1392"/>
      <c r="E20" s="1419"/>
      <c r="F20" s="1294" t="s">
        <v>885</v>
      </c>
      <c r="G20" s="1419"/>
      <c r="H20" s="1294" t="s">
        <v>99</v>
      </c>
      <c r="I20" s="1294"/>
    </row>
    <row r="21" spans="2:9" s="315" customFormat="1" ht="12.75" customHeight="1" x14ac:dyDescent="0.2">
      <c r="B21" s="1362"/>
      <c r="C21" s="1276"/>
      <c r="E21" s="1377"/>
      <c r="F21" s="1294"/>
      <c r="G21" s="320"/>
      <c r="H21" s="1294"/>
      <c r="I21" s="1294"/>
    </row>
    <row r="22" spans="2:9" s="315" customFormat="1" ht="12.75" customHeight="1" x14ac:dyDescent="0.2">
      <c r="B22" s="1411" t="s">
        <v>1280</v>
      </c>
      <c r="C22" s="1421"/>
      <c r="D22" s="1412"/>
      <c r="E22" s="1377"/>
      <c r="F22" s="1294"/>
      <c r="G22" s="320"/>
      <c r="H22" s="1294"/>
      <c r="I22" s="1294"/>
    </row>
    <row r="23" spans="2:9" s="315" customFormat="1" ht="12.75" customHeight="1" x14ac:dyDescent="0.2">
      <c r="B23" s="1362" t="s">
        <v>1279</v>
      </c>
      <c r="C23" s="1276"/>
      <c r="E23" s="1377"/>
      <c r="F23" s="1294"/>
      <c r="G23" s="320"/>
      <c r="H23" s="1294"/>
      <c r="I23" s="1294"/>
    </row>
    <row r="24" spans="2:9" s="315" customFormat="1" ht="13.5" customHeight="1" x14ac:dyDescent="0.2">
      <c r="B24" s="1417" t="s">
        <v>1278</v>
      </c>
      <c r="C24" s="1418"/>
      <c r="D24" s="1392"/>
      <c r="E24" s="1419"/>
      <c r="F24" s="1294" t="s">
        <v>885</v>
      </c>
      <c r="G24" s="1419"/>
      <c r="H24" s="1294" t="s">
        <v>1276</v>
      </c>
      <c r="I24" s="1294"/>
    </row>
    <row r="25" spans="2:9" s="315" customFormat="1" ht="8.4499999999999993" customHeight="1" x14ac:dyDescent="0.2">
      <c r="B25" s="1362"/>
      <c r="C25" s="1276"/>
      <c r="E25" s="1377"/>
      <c r="F25" s="1294"/>
      <c r="G25" s="320"/>
      <c r="H25" s="1294"/>
      <c r="I25" s="1294"/>
    </row>
    <row r="26" spans="2:9" s="315" customFormat="1" ht="13.5" customHeight="1" x14ac:dyDescent="0.2">
      <c r="B26" s="1417" t="s">
        <v>1277</v>
      </c>
      <c r="C26" s="1418"/>
      <c r="D26" s="1392"/>
      <c r="E26" s="1420"/>
      <c r="F26" s="1251"/>
      <c r="G26" s="1420"/>
      <c r="H26" s="1294"/>
      <c r="I26" s="1294"/>
    </row>
    <row r="27" spans="2:9" s="315" customFormat="1" ht="12.75" customHeight="1" x14ac:dyDescent="0.2">
      <c r="B27" s="1417" t="s">
        <v>1443</v>
      </c>
      <c r="C27" s="1418"/>
      <c r="D27" s="1392"/>
      <c r="E27" s="1419"/>
      <c r="F27" s="1294" t="s">
        <v>885</v>
      </c>
      <c r="G27" s="1419"/>
      <c r="H27" s="1294" t="s">
        <v>1276</v>
      </c>
      <c r="I27" s="1294"/>
    </row>
    <row r="28" spans="2:9" s="315" customFormat="1" ht="12.75" customHeight="1" x14ac:dyDescent="0.2">
      <c r="B28" s="1362"/>
      <c r="C28" s="1276"/>
      <c r="E28" s="1252"/>
    </row>
    <row r="29" spans="2:9" s="315" customFormat="1" ht="12.75" customHeight="1" x14ac:dyDescent="0.2">
      <c r="B29" s="1362" t="s">
        <v>1275</v>
      </c>
      <c r="C29" s="1276"/>
      <c r="D29" s="2471"/>
      <c r="E29" s="2471"/>
      <c r="F29" s="2471"/>
      <c r="G29" s="2471"/>
      <c r="H29" s="2471"/>
      <c r="I29" s="2471"/>
    </row>
    <row r="30" spans="2:9" s="315" customFormat="1" x14ac:dyDescent="0.2">
      <c r="B30" s="1362"/>
      <c r="C30" s="320"/>
      <c r="D30" s="1414" t="s">
        <v>1734</v>
      </c>
      <c r="E30" s="1415"/>
      <c r="F30" s="1415"/>
      <c r="G30" s="1415"/>
      <c r="H30" s="1415"/>
      <c r="I30" s="1415"/>
    </row>
    <row r="31" spans="2:9" s="315" customFormat="1" ht="9.9499999999999993" customHeight="1" x14ac:dyDescent="0.2">
      <c r="B31" s="1362"/>
      <c r="E31" s="1252"/>
    </row>
    <row r="32" spans="2:9" s="315"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1735</v>
      </c>
      <c r="C35" s="1423"/>
      <c r="D35" s="1261"/>
    </row>
    <row r="36" spans="2:9" ht="6" customHeight="1" x14ac:dyDescent="0.2">
      <c r="B36" s="1422"/>
      <c r="C36" s="1423"/>
      <c r="D36" s="1261"/>
    </row>
    <row r="37" spans="2:9" ht="17.25" customHeight="1" x14ac:dyDescent="0.2">
      <c r="B37" s="1424" t="s">
        <v>1736</v>
      </c>
      <c r="C37" s="2472" t="s">
        <v>1737</v>
      </c>
      <c r="D37" s="2473"/>
      <c r="E37" s="2473"/>
      <c r="F37" s="2474"/>
      <c r="G37" s="2472" t="s">
        <v>1592</v>
      </c>
      <c r="H37" s="2473"/>
      <c r="I37" s="2474"/>
    </row>
    <row r="38" spans="2:9" ht="16.5" customHeight="1" x14ac:dyDescent="0.2">
      <c r="B38" s="1425"/>
      <c r="C38" s="2460"/>
      <c r="D38" s="2461"/>
      <c r="E38" s="2461"/>
      <c r="F38" s="2462"/>
      <c r="G38" s="2475"/>
      <c r="H38" s="2476"/>
      <c r="I38" s="2477"/>
    </row>
    <row r="39" spans="2:9" ht="16.5" customHeight="1" x14ac:dyDescent="0.2">
      <c r="B39" s="1425"/>
      <c r="C39" s="2460"/>
      <c r="D39" s="2461"/>
      <c r="E39" s="2461"/>
      <c r="F39" s="2462"/>
      <c r="G39" s="2463"/>
      <c r="H39" s="2463"/>
      <c r="I39" s="2463"/>
    </row>
    <row r="40" spans="2:9" ht="16.5" customHeight="1" x14ac:dyDescent="0.2">
      <c r="B40" s="1425"/>
      <c r="C40" s="2460"/>
      <c r="D40" s="2461"/>
      <c r="E40" s="2461"/>
      <c r="F40" s="2462"/>
      <c r="G40" s="2463"/>
      <c r="H40" s="2463"/>
      <c r="I40" s="2463"/>
    </row>
    <row r="41" spans="2:9" ht="16.5" customHeight="1" x14ac:dyDescent="0.2">
      <c r="B41" s="1425"/>
      <c r="C41" s="2460"/>
      <c r="D41" s="2461"/>
      <c r="E41" s="2461"/>
      <c r="F41" s="2462"/>
      <c r="G41" s="2463"/>
      <c r="H41" s="2463"/>
      <c r="I41" s="2463"/>
    </row>
    <row r="42" spans="2:9" ht="16.5" customHeight="1" x14ac:dyDescent="0.2">
      <c r="B42" s="1425"/>
      <c r="C42" s="2460"/>
      <c r="D42" s="2461"/>
      <c r="E42" s="2461"/>
      <c r="F42" s="2462"/>
      <c r="G42" s="2463"/>
      <c r="H42" s="2463"/>
      <c r="I42" s="2463"/>
    </row>
    <row r="43" spans="2:9" ht="16.5" customHeight="1" x14ac:dyDescent="0.2">
      <c r="B43" s="1425"/>
      <c r="C43" s="2453" t="s">
        <v>1593</v>
      </c>
      <c r="D43" s="2454"/>
      <c r="E43" s="2454"/>
      <c r="F43" s="2455"/>
      <c r="G43" s="2456">
        <f>SUM(G38:I42)</f>
        <v>0</v>
      </c>
      <c r="H43" s="2456"/>
      <c r="I43" s="2456"/>
    </row>
    <row r="44" spans="2:9" ht="12.75" customHeight="1" x14ac:dyDescent="0.2"/>
    <row r="45" spans="2:9" ht="12.75" customHeight="1" x14ac:dyDescent="0.2">
      <c r="B45" s="1416" t="s">
        <v>1826</v>
      </c>
      <c r="D45" s="2457">
        <v>0</v>
      </c>
      <c r="E45" s="245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59"/>
      <c r="F49" s="2459"/>
      <c r="G49" s="2459"/>
      <c r="H49" s="320"/>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0"/>
      <c r="D53" s="1436"/>
      <c r="E53" s="1437"/>
      <c r="F53" s="1438"/>
      <c r="G53" s="1438"/>
      <c r="H53" s="1438"/>
      <c r="I53" s="1438"/>
    </row>
    <row r="54" spans="1:9" s="1442" customFormat="1" ht="14.25" x14ac:dyDescent="0.2">
      <c r="A54" s="1439"/>
      <c r="B54" s="1440" t="s">
        <v>1738</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1739</v>
      </c>
      <c r="C58" s="1445"/>
      <c r="D58" s="1445"/>
    </row>
    <row r="59" spans="1:9" s="1442" customFormat="1" ht="3.95" customHeight="1" x14ac:dyDescent="0.2">
      <c r="A59" s="1439"/>
      <c r="B59" s="1444"/>
      <c r="C59" s="1445"/>
      <c r="D59" s="1445"/>
    </row>
    <row r="60" spans="1:9" s="1442" customFormat="1" ht="13.5" customHeight="1" x14ac:dyDescent="0.2">
      <c r="A60" s="1439"/>
      <c r="B60" s="1444" t="s">
        <v>1740</v>
      </c>
      <c r="C60" s="1445"/>
      <c r="D60" s="1445"/>
    </row>
    <row r="61" spans="1:9" s="1442" customFormat="1" ht="3.95" customHeight="1" x14ac:dyDescent="0.2">
      <c r="A61" s="1439"/>
      <c r="B61" s="1444"/>
      <c r="C61" s="1445"/>
      <c r="D61" s="1445"/>
    </row>
    <row r="62" spans="1:9" s="1442" customFormat="1" ht="12.75" customHeight="1" x14ac:dyDescent="0.2">
      <c r="A62" s="1439"/>
      <c r="B62" s="1444" t="s">
        <v>1741</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2" customWidth="1"/>
    <col min="8" max="8" width="10.5703125" style="315" customWidth="1"/>
    <col min="9" max="9" width="3.42578125" style="1252"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64" t="str">
        <f>'Single Audit Cover'!A7</f>
        <v>El Paso-Gridley CUSD 11</v>
      </c>
      <c r="C1" s="2464"/>
      <c r="D1" s="2464"/>
      <c r="E1" s="2464"/>
      <c r="F1" s="2464"/>
      <c r="G1" s="2464"/>
      <c r="H1" s="2464"/>
      <c r="I1" s="2464"/>
      <c r="J1" s="2464"/>
      <c r="K1" s="2464"/>
      <c r="L1" s="1368"/>
      <c r="M1" s="1368"/>
    </row>
    <row r="2" spans="1:13" ht="12" customHeight="1" x14ac:dyDescent="0.2">
      <c r="B2" s="2466">
        <f>'Single Audit Cover'!E7</f>
        <v>53102011026</v>
      </c>
      <c r="C2" s="2466"/>
      <c r="D2" s="2466"/>
      <c r="E2" s="2466"/>
      <c r="F2" s="2466"/>
      <c r="G2" s="2466"/>
      <c r="H2" s="2466"/>
      <c r="I2" s="2466"/>
      <c r="J2" s="2466"/>
      <c r="K2" s="2466"/>
      <c r="L2" s="1369"/>
      <c r="M2" s="1370"/>
    </row>
    <row r="3" spans="1:13" ht="10.35" customHeight="1" x14ac:dyDescent="0.2">
      <c r="B3" s="2480" t="s">
        <v>1285</v>
      </c>
      <c r="C3" s="2480"/>
      <c r="D3" s="2480"/>
      <c r="E3" s="2480"/>
      <c r="F3" s="2480"/>
      <c r="G3" s="2480"/>
      <c r="H3" s="2480"/>
      <c r="I3" s="2480"/>
      <c r="J3" s="2480"/>
      <c r="K3" s="2480"/>
      <c r="L3" s="1371"/>
      <c r="M3" s="1371"/>
    </row>
    <row r="4" spans="1:13" ht="14.25" customHeight="1" x14ac:dyDescent="0.2">
      <c r="B4" s="2481" t="str">
        <f>'Single Audit Cover'!A4</f>
        <v>Year Ending June 30, 2019</v>
      </c>
      <c r="C4" s="2481"/>
      <c r="D4" s="2481"/>
      <c r="E4" s="2481"/>
      <c r="F4" s="2481"/>
      <c r="G4" s="2481"/>
      <c r="H4" s="2481"/>
      <c r="I4" s="2481"/>
      <c r="J4" s="2481"/>
      <c r="K4" s="2481"/>
      <c r="L4" s="311"/>
      <c r="M4" s="311"/>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1" t="s">
        <v>1296</v>
      </c>
      <c r="C7" s="2481"/>
      <c r="D7" s="2482"/>
      <c r="E7" s="2482"/>
      <c r="F7" s="2482"/>
      <c r="G7" s="2482"/>
      <c r="H7" s="2482"/>
      <c r="I7" s="2482"/>
      <c r="J7" s="2482"/>
      <c r="K7" s="2482"/>
      <c r="L7" s="1376"/>
    </row>
    <row r="8" spans="1:13" ht="7.5" customHeight="1" x14ac:dyDescent="0.2">
      <c r="B8" s="320"/>
      <c r="C8" s="320"/>
      <c r="D8" s="320"/>
      <c r="E8" s="320"/>
      <c r="F8" s="320"/>
      <c r="G8" s="1377"/>
      <c r="H8" s="320"/>
      <c r="I8" s="1377"/>
      <c r="J8" s="320"/>
      <c r="K8" s="320"/>
      <c r="L8" s="1375"/>
    </row>
    <row r="9" spans="1:13" ht="9.6" customHeight="1" x14ac:dyDescent="0.2">
      <c r="B9" s="1373"/>
      <c r="C9" s="1373"/>
      <c r="D9" s="1373"/>
      <c r="E9" s="1373"/>
      <c r="F9" s="1373"/>
      <c r="G9" s="1374"/>
      <c r="H9" s="1373"/>
      <c r="I9" s="1374"/>
      <c r="J9" s="1373"/>
      <c r="K9" s="1373"/>
      <c r="L9" s="1375"/>
    </row>
    <row r="10" spans="1:13" ht="16.5" customHeight="1" x14ac:dyDescent="0.2">
      <c r="B10" s="1378" t="s">
        <v>1728</v>
      </c>
      <c r="C10" s="1379" t="s">
        <v>1975</v>
      </c>
      <c r="D10" s="1380"/>
      <c r="E10" s="320"/>
      <c r="F10" s="1381" t="s">
        <v>1295</v>
      </c>
      <c r="G10" s="1382"/>
      <c r="H10" s="1383" t="s">
        <v>1294</v>
      </c>
      <c r="I10" s="1382"/>
      <c r="J10" s="1384" t="s">
        <v>1293</v>
      </c>
      <c r="K10" s="320"/>
      <c r="L10" s="1375"/>
    </row>
    <row r="11" spans="1:13" ht="13.5" customHeight="1" x14ac:dyDescent="0.2">
      <c r="B11" s="320"/>
      <c r="C11" s="320"/>
      <c r="D11" s="320"/>
      <c r="E11" s="320"/>
      <c r="F11" s="320"/>
      <c r="G11" s="1377"/>
      <c r="H11" s="320"/>
      <c r="I11" s="1385" t="s">
        <v>1292</v>
      </c>
      <c r="J11" s="320"/>
      <c r="K11" s="1386"/>
      <c r="L11" s="1375"/>
    </row>
    <row r="12" spans="1:13" ht="13.5" customHeight="1" x14ac:dyDescent="0.2">
      <c r="B12" s="1288"/>
      <c r="C12" s="1288"/>
      <c r="D12" s="320"/>
      <c r="E12" s="320"/>
      <c r="F12" s="320"/>
      <c r="G12" s="1377"/>
      <c r="H12" s="320"/>
      <c r="I12" s="1377"/>
      <c r="J12" s="320"/>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9"/>
      <c r="C14" s="2479"/>
      <c r="D14" s="2479"/>
      <c r="E14" s="2479"/>
      <c r="F14" s="2479"/>
      <c r="G14" s="2479"/>
      <c r="H14" s="2479"/>
      <c r="I14" s="2479"/>
      <c r="J14" s="2479"/>
      <c r="K14" s="247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9"/>
      <c r="C17" s="2479"/>
      <c r="D17" s="2479"/>
      <c r="E17" s="2479"/>
      <c r="F17" s="2479"/>
      <c r="G17" s="2479"/>
      <c r="H17" s="2479"/>
      <c r="I17" s="2479"/>
      <c r="J17" s="2479"/>
      <c r="K17" s="2479"/>
      <c r="L17" s="1375"/>
    </row>
    <row r="18" spans="2:12" ht="4.5" customHeight="1" x14ac:dyDescent="0.2">
      <c r="B18" s="1392"/>
      <c r="C18" s="1392"/>
      <c r="L18" s="1375"/>
    </row>
    <row r="19" spans="2:12" s="1276" customFormat="1" ht="13.5" customHeight="1" x14ac:dyDescent="0.2">
      <c r="B19" s="1387" t="s">
        <v>1729</v>
      </c>
      <c r="C19" s="1387"/>
      <c r="D19" s="1388"/>
      <c r="E19" s="1388"/>
      <c r="F19" s="1388"/>
      <c r="G19" s="1389"/>
      <c r="H19" s="1388"/>
      <c r="I19" s="1389"/>
      <c r="J19" s="1388"/>
      <c r="K19" s="1388"/>
      <c r="L19" s="1390"/>
    </row>
    <row r="20" spans="2:12" ht="45.75" customHeight="1" x14ac:dyDescent="0.2">
      <c r="B20" s="2483"/>
      <c r="C20" s="2483"/>
      <c r="D20" s="2479"/>
      <c r="E20" s="2479"/>
      <c r="F20" s="2479"/>
      <c r="G20" s="2479"/>
      <c r="H20" s="2479"/>
      <c r="I20" s="2479"/>
      <c r="J20" s="2479"/>
      <c r="K20" s="247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9"/>
      <c r="C23" s="2479"/>
      <c r="D23" s="2479"/>
      <c r="E23" s="2479"/>
      <c r="F23" s="2479"/>
      <c r="G23" s="2479"/>
      <c r="H23" s="2479"/>
      <c r="I23" s="2479"/>
      <c r="J23" s="2479"/>
      <c r="K23" s="247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9"/>
      <c r="C26" s="2479"/>
      <c r="D26" s="2479"/>
      <c r="E26" s="2479"/>
      <c r="F26" s="2479"/>
      <c r="G26" s="2479"/>
      <c r="H26" s="2479"/>
      <c r="I26" s="2479"/>
      <c r="J26" s="2479"/>
      <c r="K26" s="247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8"/>
      <c r="C29" s="2478"/>
      <c r="D29" s="2479"/>
      <c r="E29" s="2479"/>
      <c r="F29" s="2479"/>
      <c r="G29" s="2479"/>
      <c r="H29" s="2479"/>
      <c r="I29" s="2479"/>
      <c r="J29" s="2479"/>
      <c r="K29" s="2479"/>
      <c r="L29" s="1375"/>
    </row>
    <row r="30" spans="2:12" ht="4.5" customHeight="1" x14ac:dyDescent="0.2">
      <c r="B30" s="1396"/>
      <c r="C30" s="1396"/>
      <c r="D30" s="320"/>
      <c r="E30" s="320"/>
      <c r="F30" s="320"/>
      <c r="G30" s="1377"/>
      <c r="H30" s="320"/>
      <c r="I30" s="1377"/>
      <c r="J30" s="320"/>
      <c r="K30" s="320"/>
      <c r="L30" s="1375"/>
    </row>
    <row r="31" spans="2:12" s="320" customFormat="1" ht="13.5" customHeight="1" x14ac:dyDescent="0.2">
      <c r="B31" s="1397" t="s">
        <v>1730</v>
      </c>
      <c r="C31" s="1397"/>
      <c r="D31" s="1372"/>
      <c r="E31" s="1373"/>
      <c r="F31" s="1373"/>
      <c r="G31" s="1374"/>
      <c r="H31" s="1373"/>
      <c r="I31" s="1374"/>
      <c r="J31" s="1373"/>
      <c r="K31" s="1373"/>
      <c r="L31" s="1375"/>
    </row>
    <row r="32" spans="2:12" s="320" customFormat="1" ht="44.25" customHeight="1" x14ac:dyDescent="0.2">
      <c r="B32" s="2478"/>
      <c r="C32" s="2478"/>
      <c r="D32" s="2479"/>
      <c r="E32" s="2479"/>
      <c r="F32" s="2479"/>
      <c r="G32" s="2479"/>
      <c r="H32" s="2479"/>
      <c r="I32" s="2479"/>
      <c r="J32" s="2479"/>
      <c r="K32" s="2479"/>
      <c r="L32" s="1375"/>
    </row>
    <row r="33" spans="1:13" s="320" customFormat="1" ht="4.5" customHeight="1" x14ac:dyDescent="0.2">
      <c r="B33" s="1396"/>
      <c r="C33" s="1396"/>
      <c r="G33" s="1377"/>
      <c r="I33" s="1377"/>
      <c r="L33" s="1375"/>
    </row>
    <row r="34" spans="1:13" s="320" customFormat="1" x14ac:dyDescent="0.2">
      <c r="A34" s="1291"/>
      <c r="B34" s="1398"/>
      <c r="C34" s="1398"/>
      <c r="D34" s="1398"/>
      <c r="E34" s="1398"/>
      <c r="F34" s="1398"/>
      <c r="G34" s="1399"/>
      <c r="H34" s="1398"/>
      <c r="I34" s="1399"/>
      <c r="J34" s="1398"/>
      <c r="K34" s="1398"/>
      <c r="L34" s="1375"/>
    </row>
    <row r="35" spans="1:13" ht="11.85" customHeight="1" x14ac:dyDescent="0.2">
      <c r="B35" s="1400" t="s">
        <v>1731</v>
      </c>
      <c r="C35" s="1400"/>
      <c r="D35" s="320"/>
      <c r="E35" s="320"/>
      <c r="F35" s="320"/>
      <c r="L35" s="1375"/>
    </row>
    <row r="36" spans="1:13" ht="9.6" customHeight="1" x14ac:dyDescent="0.2">
      <c r="B36" s="1294" t="s">
        <v>1827</v>
      </c>
      <c r="C36" s="1294"/>
      <c r="L36" s="1375"/>
    </row>
    <row r="37" spans="1:13" ht="9.6" customHeight="1" x14ac:dyDescent="0.2">
      <c r="B37" s="1294" t="s">
        <v>1828</v>
      </c>
      <c r="C37" s="1294"/>
    </row>
    <row r="38" spans="1:13" ht="11.85" customHeight="1" x14ac:dyDescent="0.2">
      <c r="B38" s="1401" t="s">
        <v>1732</v>
      </c>
      <c r="C38" s="1401"/>
    </row>
    <row r="39" spans="1:13" ht="9.6" customHeight="1" x14ac:dyDescent="0.2">
      <c r="B39" s="1294" t="s">
        <v>1286</v>
      </c>
      <c r="C39" s="1294"/>
      <c r="M39" s="1402"/>
    </row>
    <row r="40" spans="1:13" ht="12.6" customHeight="1" x14ac:dyDescent="0.2">
      <c r="B40" s="1401" t="s">
        <v>1733</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2" customWidth="1"/>
    <col min="8" max="8" width="10.5703125" style="315" customWidth="1"/>
    <col min="9" max="9" width="3.42578125" style="1252"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7" t="str">
        <f>'Single Audit Cover'!A7</f>
        <v>El Paso-Gridley CUSD 11</v>
      </c>
      <c r="C1" s="2487"/>
      <c r="D1" s="2487"/>
      <c r="E1" s="2487"/>
      <c r="F1" s="2487"/>
      <c r="G1" s="2487"/>
      <c r="H1" s="2487"/>
      <c r="I1" s="2487"/>
      <c r="J1" s="2487"/>
      <c r="K1" s="2487"/>
      <c r="L1" s="1446"/>
    </row>
    <row r="2" spans="1:12" ht="12.75" customHeight="1" x14ac:dyDescent="0.2">
      <c r="B2" s="2488">
        <f>'Single Audit Cover'!E7</f>
        <v>53102011026</v>
      </c>
      <c r="C2" s="2488"/>
      <c r="D2" s="2488"/>
      <c r="E2" s="2488"/>
      <c r="F2" s="2488"/>
      <c r="G2" s="2488"/>
      <c r="H2" s="2488"/>
      <c r="I2" s="2488"/>
      <c r="J2" s="2488"/>
      <c r="K2" s="2488"/>
      <c r="L2" s="1447"/>
    </row>
    <row r="3" spans="1:12" ht="12.75" customHeight="1" x14ac:dyDescent="0.2">
      <c r="B3" s="2480" t="s">
        <v>1285</v>
      </c>
      <c r="C3" s="2480"/>
      <c r="D3" s="2480"/>
      <c r="E3" s="2480"/>
      <c r="F3" s="2480"/>
      <c r="G3" s="2480"/>
      <c r="H3" s="2480"/>
      <c r="I3" s="2480"/>
      <c r="J3" s="2480"/>
      <c r="K3" s="2480"/>
      <c r="L3" s="1371"/>
    </row>
    <row r="4" spans="1:12" ht="12.75" customHeight="1" x14ac:dyDescent="0.2">
      <c r="B4" s="2480" t="str">
        <f>'Single Audit Cover'!A4</f>
        <v>Year Ending June 30, 2019</v>
      </c>
      <c r="C4" s="2480"/>
      <c r="D4" s="2480"/>
      <c r="E4" s="2480"/>
      <c r="F4" s="2480"/>
      <c r="G4" s="2480"/>
      <c r="H4" s="2480"/>
      <c r="I4" s="2480"/>
      <c r="J4" s="2480"/>
      <c r="K4" s="2480"/>
      <c r="L4" s="1371"/>
    </row>
    <row r="5" spans="1:12" ht="5.25" customHeight="1" x14ac:dyDescent="0.2">
      <c r="B5" s="1254" t="s">
        <v>1169</v>
      </c>
      <c r="C5" s="1254"/>
      <c r="L5" s="320"/>
    </row>
    <row r="6" spans="1:12" ht="30.75" customHeight="1" x14ac:dyDescent="0.2">
      <c r="A6" s="320"/>
      <c r="B6" s="2489" t="s">
        <v>1308</v>
      </c>
      <c r="C6" s="2489"/>
      <c r="D6" s="2489"/>
      <c r="E6" s="2489"/>
      <c r="F6" s="2489"/>
      <c r="G6" s="2489"/>
      <c r="H6" s="2489"/>
      <c r="I6" s="2489"/>
      <c r="J6" s="2489"/>
      <c r="K6" s="2489"/>
      <c r="L6" s="320"/>
    </row>
    <row r="7" spans="1:12" ht="4.5" customHeight="1" x14ac:dyDescent="0.2">
      <c r="B7" s="1373"/>
      <c r="C7" s="1373"/>
      <c r="D7" s="1373"/>
      <c r="E7" s="1373"/>
      <c r="F7" s="1373"/>
      <c r="G7" s="1374"/>
      <c r="H7" s="1373"/>
      <c r="I7" s="1374"/>
      <c r="J7" s="1373"/>
      <c r="K7" s="1373"/>
      <c r="L7" s="320"/>
    </row>
    <row r="8" spans="1:12" ht="13.5" customHeight="1" x14ac:dyDescent="0.2">
      <c r="B8" s="1381" t="s">
        <v>1742</v>
      </c>
      <c r="C8" s="1448" t="s">
        <v>1975</v>
      </c>
      <c r="D8" s="1449"/>
      <c r="E8" s="320"/>
      <c r="F8" s="1378" t="s">
        <v>1295</v>
      </c>
      <c r="G8" s="1450"/>
      <c r="H8" s="1451" t="s">
        <v>1307</v>
      </c>
      <c r="I8" s="1450"/>
      <c r="J8" s="1452" t="s">
        <v>1306</v>
      </c>
      <c r="L8" s="320"/>
    </row>
    <row r="9" spans="1:12" ht="13.5" customHeight="1" x14ac:dyDescent="0.2">
      <c r="D9" s="320"/>
      <c r="E9" s="320"/>
      <c r="F9" s="320"/>
      <c r="G9" s="1377"/>
      <c r="H9" s="320"/>
      <c r="I9" s="1453" t="s">
        <v>1292</v>
      </c>
      <c r="J9" s="320"/>
      <c r="K9" s="1454"/>
      <c r="L9" s="320"/>
    </row>
    <row r="10" spans="1:12" ht="4.5" customHeight="1" x14ac:dyDescent="0.2">
      <c r="B10" s="1455"/>
      <c r="C10" s="1455"/>
      <c r="D10" s="1408"/>
      <c r="E10" s="1408"/>
      <c r="F10" s="1408"/>
      <c r="G10" s="1409"/>
      <c r="H10" s="1408"/>
      <c r="I10" s="1409"/>
      <c r="J10" s="1408"/>
      <c r="K10" s="1408"/>
      <c r="L10" s="320"/>
    </row>
    <row r="11" spans="1:12" ht="5.25" customHeight="1" x14ac:dyDescent="0.2">
      <c r="B11" s="320"/>
      <c r="C11" s="320"/>
      <c r="D11" s="302"/>
      <c r="E11" s="320"/>
      <c r="F11" s="320"/>
      <c r="G11" s="1377"/>
      <c r="H11" s="320"/>
      <c r="I11" s="1377"/>
      <c r="J11" s="320"/>
      <c r="K11" s="1413"/>
      <c r="L11" s="320"/>
    </row>
    <row r="12" spans="1:12" ht="13.5" customHeight="1" x14ac:dyDescent="0.2">
      <c r="B12" s="1378" t="s">
        <v>1305</v>
      </c>
      <c r="C12" s="1378"/>
      <c r="D12" s="302"/>
      <c r="E12" s="320"/>
      <c r="F12" s="2471"/>
      <c r="G12" s="2471"/>
      <c r="H12" s="2471"/>
      <c r="I12" s="2471"/>
      <c r="J12" s="2471"/>
      <c r="K12" s="2471"/>
      <c r="L12" s="320"/>
    </row>
    <row r="13" spans="1:12" ht="9.6" customHeight="1" x14ac:dyDescent="0.2">
      <c r="B13" s="1251"/>
      <c r="C13" s="1251"/>
      <c r="D13" s="302"/>
      <c r="E13" s="320"/>
      <c r="F13" s="320"/>
      <c r="G13" s="1377"/>
      <c r="H13" s="320"/>
      <c r="I13" s="1377"/>
      <c r="J13" s="320"/>
      <c r="K13" s="1413"/>
      <c r="L13" s="320"/>
    </row>
    <row r="14" spans="1:12" ht="13.5" customHeight="1" x14ac:dyDescent="0.2">
      <c r="B14" s="1381" t="s">
        <v>1304</v>
      </c>
      <c r="C14" s="1381"/>
      <c r="D14" s="2484"/>
      <c r="E14" s="2484"/>
      <c r="F14" s="2484"/>
      <c r="H14" s="1456" t="s">
        <v>1303</v>
      </c>
      <c r="I14" s="2485"/>
      <c r="J14" s="2485"/>
      <c r="K14" s="2485"/>
      <c r="L14" s="320"/>
    </row>
    <row r="15" spans="1:12" ht="9.4" customHeight="1" x14ac:dyDescent="0.2">
      <c r="B15" s="1381"/>
      <c r="C15" s="1381"/>
      <c r="D15" s="1367"/>
      <c r="E15" s="1254"/>
      <c r="F15" s="1254"/>
      <c r="G15" s="1280"/>
      <c r="H15" s="1254"/>
      <c r="I15" s="1457"/>
      <c r="J15" s="1288"/>
      <c r="K15" s="1285"/>
      <c r="L15" s="320"/>
    </row>
    <row r="16" spans="1:12" ht="13.5" customHeight="1" x14ac:dyDescent="0.2">
      <c r="B16" s="1381" t="s">
        <v>1302</v>
      </c>
      <c r="C16" s="1381"/>
      <c r="D16" s="2485"/>
      <c r="E16" s="2485"/>
      <c r="F16" s="2485"/>
      <c r="G16" s="2485"/>
      <c r="H16" s="2485"/>
      <c r="I16" s="2485"/>
      <c r="J16" s="2485"/>
      <c r="K16" s="2485"/>
      <c r="L16" s="320"/>
    </row>
    <row r="17" spans="2:12" ht="13.5" customHeight="1" x14ac:dyDescent="0.2">
      <c r="B17" s="1381" t="s">
        <v>1301</v>
      </c>
      <c r="C17" s="1381"/>
      <c r="D17" s="2486"/>
      <c r="E17" s="2486"/>
      <c r="F17" s="2486"/>
      <c r="G17" s="2486"/>
      <c r="H17" s="2486"/>
      <c r="I17" s="2486"/>
      <c r="J17" s="2486"/>
      <c r="K17" s="2486"/>
      <c r="L17" s="320"/>
    </row>
    <row r="18" spans="2:12" ht="9.4" customHeight="1" x14ac:dyDescent="0.2">
      <c r="B18" s="1408"/>
      <c r="C18" s="1408"/>
      <c r="D18" s="1408"/>
      <c r="E18" s="1408"/>
      <c r="F18" s="1408"/>
      <c r="G18" s="1409"/>
      <c r="H18" s="1408"/>
      <c r="I18" s="1409"/>
      <c r="J18" s="1408"/>
      <c r="K18" s="1408"/>
      <c r="L18" s="320"/>
    </row>
    <row r="19" spans="2:12" ht="13.5" customHeight="1" x14ac:dyDescent="0.2">
      <c r="B19" s="1458" t="s">
        <v>1300</v>
      </c>
      <c r="C19" s="1458"/>
      <c r="D19" s="325"/>
      <c r="E19" s="325"/>
      <c r="F19" s="325"/>
      <c r="G19" s="1459"/>
      <c r="H19" s="325"/>
      <c r="I19" s="1459"/>
      <c r="J19" s="320"/>
      <c r="K19" s="320"/>
      <c r="L19" s="320"/>
    </row>
    <row r="20" spans="2:12" ht="35.25" customHeight="1" x14ac:dyDescent="0.2">
      <c r="B20" s="2479"/>
      <c r="C20" s="2479"/>
      <c r="D20" s="2479"/>
      <c r="E20" s="2479"/>
      <c r="F20" s="2479"/>
      <c r="G20" s="2479"/>
      <c r="H20" s="2479"/>
      <c r="I20" s="2479"/>
      <c r="J20" s="2479"/>
      <c r="K20" s="247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1743</v>
      </c>
      <c r="C22" s="1458"/>
      <c r="D22" s="320"/>
      <c r="E22" s="320"/>
      <c r="F22" s="320"/>
      <c r="G22" s="1377"/>
      <c r="H22" s="320"/>
      <c r="I22" s="1377"/>
      <c r="J22" s="320"/>
      <c r="K22" s="320"/>
      <c r="L22" s="320"/>
    </row>
    <row r="23" spans="2:12" ht="37.5" customHeight="1" x14ac:dyDescent="0.2">
      <c r="B23" s="2479"/>
      <c r="C23" s="2479"/>
      <c r="D23" s="2479"/>
      <c r="E23" s="2479"/>
      <c r="F23" s="2479"/>
      <c r="G23" s="2479"/>
      <c r="H23" s="2479"/>
      <c r="I23" s="2479"/>
      <c r="J23" s="2479"/>
      <c r="K23" s="2479"/>
      <c r="L23" s="320"/>
    </row>
    <row r="24" spans="2:12" ht="4.5" customHeight="1" x14ac:dyDescent="0.2">
      <c r="B24" s="1460"/>
      <c r="C24" s="1460"/>
      <c r="D24" s="1408"/>
      <c r="E24" s="1408"/>
      <c r="F24" s="1408"/>
      <c r="G24" s="1409"/>
      <c r="H24" s="1408"/>
      <c r="I24" s="1409"/>
      <c r="J24" s="1408"/>
      <c r="K24" s="1408"/>
      <c r="L24" s="320"/>
    </row>
    <row r="25" spans="2:12" ht="13.5" customHeight="1" x14ac:dyDescent="0.2">
      <c r="B25" s="1458" t="s">
        <v>1744</v>
      </c>
      <c r="C25" s="1458"/>
      <c r="D25" s="320"/>
      <c r="E25" s="320"/>
      <c r="F25" s="320"/>
      <c r="G25" s="1377"/>
      <c r="H25" s="320"/>
      <c r="I25" s="1377"/>
      <c r="J25" s="320"/>
      <c r="K25" s="320"/>
      <c r="L25" s="320"/>
    </row>
    <row r="26" spans="2:12" ht="37.5" customHeight="1" x14ac:dyDescent="0.2">
      <c r="B26" s="2479"/>
      <c r="C26" s="2479"/>
      <c r="D26" s="2479"/>
      <c r="E26" s="2479"/>
      <c r="F26" s="2479"/>
      <c r="G26" s="2479"/>
      <c r="H26" s="2479"/>
      <c r="I26" s="2479"/>
      <c r="J26" s="2479"/>
      <c r="K26" s="2479"/>
      <c r="L26" s="320"/>
    </row>
    <row r="27" spans="2:12" ht="4.5" customHeight="1" x14ac:dyDescent="0.2">
      <c r="B27" s="1462"/>
      <c r="C27" s="1462"/>
      <c r="D27" s="1462"/>
      <c r="E27" s="1408"/>
      <c r="F27" s="1408"/>
      <c r="G27" s="1409"/>
      <c r="H27" s="1408"/>
      <c r="I27" s="1409"/>
      <c r="J27" s="1408"/>
      <c r="K27" s="1408"/>
      <c r="L27" s="320"/>
    </row>
    <row r="28" spans="2:12" ht="13.5" customHeight="1" x14ac:dyDescent="0.2">
      <c r="B28" s="1458" t="s">
        <v>1745</v>
      </c>
      <c r="C28" s="1458"/>
      <c r="D28" s="320"/>
      <c r="E28" s="320"/>
      <c r="F28" s="320"/>
      <c r="G28" s="1377"/>
      <c r="H28" s="320"/>
      <c r="I28" s="1377"/>
      <c r="J28" s="320"/>
      <c r="K28" s="320"/>
      <c r="L28" s="320"/>
    </row>
    <row r="29" spans="2:12" ht="37.5" customHeight="1" x14ac:dyDescent="0.2">
      <c r="B29" s="2479"/>
      <c r="C29" s="2479"/>
      <c r="D29" s="2479"/>
      <c r="E29" s="2479"/>
      <c r="F29" s="2479"/>
      <c r="G29" s="2479"/>
      <c r="H29" s="2479"/>
      <c r="I29" s="2479"/>
      <c r="J29" s="2479"/>
      <c r="K29" s="2479"/>
      <c r="L29" s="320"/>
    </row>
    <row r="30" spans="2:12" ht="4.5" customHeight="1" x14ac:dyDescent="0.2">
      <c r="B30" s="1460"/>
      <c r="C30" s="1460"/>
      <c r="D30" s="1408"/>
      <c r="E30" s="1408"/>
      <c r="F30" s="1408"/>
      <c r="G30" s="1409"/>
      <c r="H30" s="1408"/>
      <c r="I30" s="1409"/>
      <c r="J30" s="1408"/>
      <c r="K30" s="1408"/>
      <c r="L30" s="320"/>
    </row>
    <row r="31" spans="2:12" ht="13.5" customHeight="1" x14ac:dyDescent="0.2">
      <c r="B31" s="1458" t="s">
        <v>1299</v>
      </c>
      <c r="C31" s="1458"/>
      <c r="D31" s="320"/>
      <c r="E31" s="320"/>
      <c r="F31" s="320"/>
      <c r="G31" s="1377"/>
      <c r="H31" s="320"/>
      <c r="I31" s="1377"/>
      <c r="J31" s="320"/>
      <c r="K31" s="320"/>
      <c r="L31" s="320"/>
    </row>
    <row r="32" spans="2:12" ht="37.5" customHeight="1" x14ac:dyDescent="0.2">
      <c r="B32" s="2479"/>
      <c r="C32" s="2479"/>
      <c r="D32" s="2479"/>
      <c r="E32" s="2479"/>
      <c r="F32" s="2479"/>
      <c r="G32" s="2479"/>
      <c r="H32" s="2479"/>
      <c r="I32" s="2479"/>
      <c r="J32" s="2479"/>
      <c r="K32" s="2479"/>
      <c r="L32" s="320"/>
    </row>
    <row r="33" spans="2:12" ht="4.5" customHeight="1" x14ac:dyDescent="0.2">
      <c r="B33" s="1460"/>
      <c r="C33" s="1460"/>
      <c r="D33" s="1408"/>
      <c r="E33" s="1408"/>
      <c r="F33" s="1408"/>
      <c r="G33" s="1409"/>
      <c r="H33" s="1408"/>
      <c r="I33" s="1409"/>
      <c r="J33" s="1408"/>
      <c r="K33" s="1408"/>
      <c r="L33" s="320"/>
    </row>
    <row r="34" spans="2:12" ht="13.5" customHeight="1" x14ac:dyDescent="0.2">
      <c r="B34" s="1378" t="s">
        <v>1298</v>
      </c>
      <c r="C34" s="1378"/>
      <c r="D34" s="320"/>
      <c r="E34" s="320"/>
      <c r="F34" s="320"/>
      <c r="G34" s="1377"/>
      <c r="H34" s="320"/>
      <c r="I34" s="1377"/>
      <c r="J34" s="320"/>
      <c r="K34" s="320"/>
      <c r="L34" s="320"/>
    </row>
    <row r="35" spans="2:12" ht="37.5" customHeight="1" x14ac:dyDescent="0.2">
      <c r="B35" s="2479"/>
      <c r="C35" s="2479"/>
      <c r="D35" s="2479"/>
      <c r="E35" s="2479"/>
      <c r="F35" s="2479"/>
      <c r="G35" s="2479"/>
      <c r="H35" s="2479"/>
      <c r="I35" s="2479"/>
      <c r="J35" s="2479"/>
      <c r="K35" s="2479"/>
      <c r="L35" s="320"/>
    </row>
    <row r="36" spans="2:12" ht="4.5" customHeight="1" x14ac:dyDescent="0.2">
      <c r="B36" s="1460"/>
      <c r="C36" s="1460"/>
      <c r="D36" s="1408"/>
      <c r="E36" s="1408"/>
      <c r="F36" s="1408"/>
      <c r="G36" s="1409"/>
      <c r="H36" s="1408"/>
      <c r="I36" s="1409"/>
      <c r="J36" s="1408"/>
      <c r="K36" s="1408"/>
      <c r="L36" s="320"/>
    </row>
    <row r="37" spans="2:12" ht="13.5" customHeight="1" x14ac:dyDescent="0.2">
      <c r="B37" s="1378" t="s">
        <v>1297</v>
      </c>
      <c r="C37" s="1378"/>
      <c r="D37" s="320"/>
      <c r="E37" s="320"/>
      <c r="F37" s="320"/>
      <c r="G37" s="1377"/>
      <c r="H37" s="320"/>
      <c r="I37" s="1377"/>
      <c r="J37" s="320"/>
      <c r="K37" s="320"/>
      <c r="L37" s="320"/>
    </row>
    <row r="38" spans="2:12" ht="35.25" customHeight="1" x14ac:dyDescent="0.2">
      <c r="B38" s="2479"/>
      <c r="C38" s="2479"/>
      <c r="D38" s="2479"/>
      <c r="E38" s="2479"/>
      <c r="F38" s="2479"/>
      <c r="G38" s="2479"/>
      <c r="H38" s="2479"/>
      <c r="I38" s="2479"/>
      <c r="J38" s="2479"/>
      <c r="K38" s="2479"/>
      <c r="L38" s="320"/>
    </row>
    <row r="39" spans="2:12" ht="4.5" customHeight="1" x14ac:dyDescent="0.2">
      <c r="B39" s="1396"/>
      <c r="C39" s="1396"/>
      <c r="D39" s="320"/>
      <c r="E39" s="320"/>
      <c r="F39" s="320"/>
      <c r="G39" s="1377"/>
      <c r="H39" s="320"/>
      <c r="I39" s="1377"/>
      <c r="J39" s="320"/>
      <c r="K39" s="320"/>
      <c r="L39" s="320"/>
    </row>
    <row r="40" spans="2:12" s="320" customFormat="1" ht="13.5" customHeight="1" x14ac:dyDescent="0.2">
      <c r="B40" s="1397" t="s">
        <v>1746</v>
      </c>
      <c r="C40" s="1397"/>
      <c r="D40" s="1372"/>
      <c r="E40" s="1373"/>
      <c r="F40" s="1373"/>
      <c r="G40" s="1374"/>
      <c r="H40" s="1373"/>
      <c r="I40" s="1374"/>
      <c r="J40" s="1373"/>
      <c r="K40" s="1373"/>
    </row>
    <row r="41" spans="2:12" s="320" customFormat="1" ht="33.75" customHeight="1" x14ac:dyDescent="0.2">
      <c r="B41" s="2479"/>
      <c r="C41" s="2479"/>
      <c r="D41" s="2479"/>
      <c r="E41" s="2479"/>
      <c r="F41" s="2479"/>
      <c r="G41" s="2479"/>
      <c r="H41" s="2479"/>
      <c r="I41" s="2479"/>
      <c r="J41" s="2479"/>
      <c r="K41" s="2479"/>
    </row>
    <row r="42" spans="2:12" s="320"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1747</v>
      </c>
      <c r="C44" s="1400"/>
      <c r="D44" s="320"/>
      <c r="E44" s="320"/>
      <c r="F44" s="320"/>
    </row>
    <row r="45" spans="2:12" ht="10.5" customHeight="1" x14ac:dyDescent="0.2">
      <c r="B45" s="1401" t="s">
        <v>1748</v>
      </c>
      <c r="C45" s="1401"/>
      <c r="G45" s="315"/>
      <c r="I45" s="315"/>
    </row>
    <row r="46" spans="2:12" ht="11.1" customHeight="1" x14ac:dyDescent="0.2">
      <c r="B46" s="1401" t="s">
        <v>1749</v>
      </c>
      <c r="C46" s="1401"/>
      <c r="G46" s="315"/>
      <c r="I46" s="315"/>
    </row>
    <row r="47" spans="2:12" ht="11.1" customHeight="1" x14ac:dyDescent="0.2">
      <c r="B47" s="1401" t="s">
        <v>1750</v>
      </c>
      <c r="C47" s="1401"/>
      <c r="G47" s="315"/>
      <c r="I47" s="315"/>
    </row>
    <row r="48" spans="2:12" ht="11.1" customHeight="1" x14ac:dyDescent="0.2">
      <c r="B48" s="1401" t="s">
        <v>1751</v>
      </c>
      <c r="C48" s="1401"/>
      <c r="G48" s="315"/>
      <c r="I48" s="315"/>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6" customFormat="1" ht="12.75" customHeight="1" x14ac:dyDescent="0.2">
      <c r="B1" s="2464" t="str">
        <f>'Single Audit Cover'!A7</f>
        <v>El Paso-Gridley CUSD 11</v>
      </c>
      <c r="C1" s="2464"/>
      <c r="D1" s="2464"/>
      <c r="E1" s="1466"/>
    </row>
    <row r="2" spans="2:5" s="1276" customFormat="1" ht="12.75" customHeight="1" x14ac:dyDescent="0.2">
      <c r="B2" s="2466">
        <f>'Single Audit Cover'!E7</f>
        <v>53102011026</v>
      </c>
      <c r="C2" s="2466"/>
      <c r="D2" s="2466"/>
      <c r="E2" s="1467"/>
    </row>
    <row r="3" spans="2:5" ht="12.75" customHeight="1" x14ac:dyDescent="0.2">
      <c r="B3" s="2480" t="s">
        <v>1752</v>
      </c>
      <c r="C3" s="2480"/>
      <c r="D3" s="2480"/>
      <c r="E3" s="1268"/>
    </row>
    <row r="4" spans="2:5" s="1276" customFormat="1" ht="12.75" customHeight="1" x14ac:dyDescent="0.2">
      <c r="B4" s="2490" t="str">
        <f>'Single Audit Cover'!A4</f>
        <v>Year Ending June 30, 2019</v>
      </c>
      <c r="C4" s="2490"/>
      <c r="D4" s="2490"/>
      <c r="E4" s="1468"/>
    </row>
    <row r="5" spans="2:5" s="1276" customFormat="1" ht="40.15" customHeight="1" x14ac:dyDescent="0.2">
      <c r="B5" s="1469" t="s">
        <v>1753</v>
      </c>
      <c r="C5" s="325"/>
      <c r="D5" s="325"/>
      <c r="E5" s="325"/>
    </row>
    <row r="6" spans="2:5" s="1276" customFormat="1" ht="13.5" customHeight="1" x14ac:dyDescent="0.2">
      <c r="B6" s="1470" t="s">
        <v>1315</v>
      </c>
      <c r="C6" s="1470" t="s">
        <v>1314</v>
      </c>
      <c r="D6" s="1470" t="s">
        <v>1754</v>
      </c>
    </row>
    <row r="7" spans="2:5" ht="13.5" customHeight="1" x14ac:dyDescent="0.2">
      <c r="B7" s="1471"/>
      <c r="C7" s="322"/>
      <c r="D7" s="322"/>
      <c r="E7" s="322"/>
    </row>
    <row r="8" spans="2:5" ht="13.5" customHeight="1" x14ac:dyDescent="0.2">
      <c r="B8" s="1471"/>
      <c r="C8" s="322"/>
      <c r="D8" s="322"/>
      <c r="E8" s="322"/>
    </row>
    <row r="9" spans="2:5" ht="13.5" customHeight="1" x14ac:dyDescent="0.2">
      <c r="B9" s="1472"/>
      <c r="C9" s="321"/>
      <c r="D9" s="321"/>
      <c r="E9" s="321"/>
    </row>
    <row r="10" spans="2:5" ht="13.5" customHeight="1" x14ac:dyDescent="0.2">
      <c r="B10" s="1471"/>
      <c r="C10" s="321"/>
      <c r="D10" s="321"/>
      <c r="E10" s="321"/>
    </row>
    <row r="11" spans="2:5" ht="13.5" customHeight="1" x14ac:dyDescent="0.2">
      <c r="B11" s="1471"/>
      <c r="C11" s="321"/>
      <c r="D11" s="321"/>
      <c r="E11" s="321"/>
    </row>
    <row r="12" spans="2:5" ht="13.5" customHeight="1" x14ac:dyDescent="0.2">
      <c r="B12" s="1471"/>
      <c r="C12" s="321"/>
      <c r="D12" s="321"/>
      <c r="E12" s="321"/>
    </row>
    <row r="13" spans="2:5" ht="13.5" customHeight="1" x14ac:dyDescent="0.2">
      <c r="B13" s="1471"/>
      <c r="C13" s="321"/>
      <c r="D13" s="321"/>
      <c r="E13" s="321"/>
    </row>
    <row r="14" spans="2:5" ht="13.5" customHeight="1" x14ac:dyDescent="0.2">
      <c r="B14" s="1471"/>
      <c r="C14" s="321"/>
      <c r="D14" s="321"/>
      <c r="E14" s="321"/>
    </row>
    <row r="15" spans="2:5" ht="13.5" customHeight="1" x14ac:dyDescent="0.2">
      <c r="B15" s="1471"/>
      <c r="C15" s="321"/>
      <c r="D15" s="321"/>
      <c r="E15" s="321"/>
    </row>
    <row r="16" spans="2:5" ht="13.5" customHeight="1" x14ac:dyDescent="0.2">
      <c r="B16" s="1471"/>
      <c r="C16" s="321"/>
      <c r="D16" s="321"/>
      <c r="E16" s="321"/>
    </row>
    <row r="17" spans="2:5" ht="13.5" customHeight="1" x14ac:dyDescent="0.2">
      <c r="B17" s="1471"/>
      <c r="C17" s="321"/>
      <c r="D17" s="321"/>
      <c r="E17" s="321"/>
    </row>
    <row r="18" spans="2:5" ht="13.5" customHeight="1" x14ac:dyDescent="0.2">
      <c r="B18" s="1471"/>
      <c r="C18" s="321"/>
      <c r="D18" s="321"/>
      <c r="E18" s="321"/>
    </row>
    <row r="19" spans="2:5" ht="13.5" customHeight="1" x14ac:dyDescent="0.2">
      <c r="B19" s="1471"/>
      <c r="C19" s="321"/>
      <c r="D19" s="321"/>
      <c r="E19" s="321"/>
    </row>
    <row r="20" spans="2:5" ht="13.5" customHeight="1" x14ac:dyDescent="0.2">
      <c r="B20" s="1471"/>
      <c r="C20" s="321"/>
      <c r="D20" s="321"/>
      <c r="E20" s="321"/>
    </row>
    <row r="21" spans="2:5" ht="13.5" customHeight="1" x14ac:dyDescent="0.2">
      <c r="B21" s="1471"/>
      <c r="C21" s="321"/>
      <c r="D21" s="321"/>
      <c r="E21" s="321"/>
    </row>
    <row r="22" spans="2:5" ht="13.5" customHeight="1" x14ac:dyDescent="0.2">
      <c r="B22" s="1471"/>
      <c r="C22" s="321"/>
      <c r="D22" s="321"/>
      <c r="E22" s="321"/>
    </row>
    <row r="23" spans="2:5" ht="13.5" customHeight="1" x14ac:dyDescent="0.2">
      <c r="B23" s="1471"/>
      <c r="C23" s="321"/>
      <c r="D23" s="321"/>
      <c r="E23" s="321"/>
    </row>
    <row r="24" spans="2:5" ht="13.5" customHeight="1" x14ac:dyDescent="0.2">
      <c r="B24" s="1471"/>
      <c r="C24" s="321"/>
      <c r="D24" s="321"/>
      <c r="E24" s="321"/>
    </row>
    <row r="25" spans="2:5" ht="13.5" customHeight="1" x14ac:dyDescent="0.2">
      <c r="B25" s="1471"/>
      <c r="C25" s="321"/>
      <c r="D25" s="321"/>
      <c r="E25" s="321"/>
    </row>
    <row r="26" spans="2:5" ht="13.5" customHeight="1" x14ac:dyDescent="0.2">
      <c r="B26" s="1471"/>
      <c r="C26" s="321"/>
      <c r="D26" s="321"/>
      <c r="E26" s="321"/>
    </row>
    <row r="27" spans="2:5" ht="13.5" customHeight="1" x14ac:dyDescent="0.2">
      <c r="B27" s="1471"/>
      <c r="C27" s="321"/>
      <c r="D27" s="321"/>
      <c r="E27" s="321"/>
    </row>
    <row r="28" spans="2:5" ht="13.5" customHeight="1" x14ac:dyDescent="0.2">
      <c r="B28" s="1471"/>
      <c r="C28" s="321"/>
      <c r="D28" s="321"/>
      <c r="E28" s="321"/>
    </row>
    <row r="29" spans="2:5" ht="13.5" customHeight="1" x14ac:dyDescent="0.2">
      <c r="B29" s="1471"/>
      <c r="C29" s="321"/>
      <c r="D29" s="321"/>
      <c r="E29" s="321"/>
    </row>
    <row r="30" spans="2:5" ht="13.5" customHeight="1" x14ac:dyDescent="0.2">
      <c r="B30" s="1471"/>
      <c r="C30" s="321"/>
      <c r="D30" s="321"/>
      <c r="E30" s="321"/>
    </row>
    <row r="31" spans="2:5" ht="13.5" customHeight="1" x14ac:dyDescent="0.2">
      <c r="B31" s="1471"/>
      <c r="C31" s="321"/>
      <c r="D31" s="321"/>
      <c r="E31" s="321"/>
    </row>
    <row r="32" spans="2:5" ht="13.5" customHeight="1" x14ac:dyDescent="0.2">
      <c r="B32" s="1473"/>
      <c r="C32" s="321"/>
      <c r="D32" s="321"/>
      <c r="E32" s="321"/>
    </row>
    <row r="33" spans="2:5" ht="13.5" customHeight="1" x14ac:dyDescent="0.2">
      <c r="B33" s="1474"/>
      <c r="C33" s="321"/>
      <c r="D33" s="321"/>
      <c r="E33" s="321"/>
    </row>
    <row r="34" spans="2:5" ht="13.5" customHeight="1" x14ac:dyDescent="0.2">
      <c r="B34" s="1475"/>
      <c r="C34" s="321"/>
      <c r="D34" s="321"/>
      <c r="E34" s="321"/>
    </row>
    <row r="35" spans="2:5" ht="13.5" customHeight="1" x14ac:dyDescent="0.2">
      <c r="B35" s="1474"/>
      <c r="C35" s="321"/>
      <c r="D35" s="321"/>
      <c r="E35" s="321"/>
    </row>
    <row r="36" spans="2:5" ht="13.5" customHeight="1" x14ac:dyDescent="0.2">
      <c r="B36" s="1475"/>
      <c r="C36" s="321"/>
      <c r="D36" s="321"/>
      <c r="E36" s="321"/>
    </row>
    <row r="37" spans="2:5" ht="13.5" customHeight="1" x14ac:dyDescent="0.2">
      <c r="B37" s="1475"/>
      <c r="C37" s="321"/>
      <c r="D37" s="321"/>
      <c r="E37" s="321"/>
    </row>
    <row r="38" spans="2:5" ht="13.5" customHeight="1" x14ac:dyDescent="0.2">
      <c r="B38" s="1474"/>
      <c r="C38" s="321"/>
      <c r="D38" s="321"/>
      <c r="E38" s="321"/>
    </row>
    <row r="39" spans="2:5" ht="13.5" customHeight="1" x14ac:dyDescent="0.2">
      <c r="B39" s="1475"/>
      <c r="C39" s="321"/>
      <c r="D39" s="321"/>
      <c r="E39" s="321"/>
    </row>
    <row r="40" spans="2:5" ht="13.5" customHeight="1" x14ac:dyDescent="0.2">
      <c r="B40" s="1474"/>
      <c r="C40" s="321"/>
      <c r="D40" s="321"/>
      <c r="E40" s="321"/>
    </row>
    <row r="41" spans="2:5" ht="13.5" customHeight="1" x14ac:dyDescent="0.2">
      <c r="B41" s="1476"/>
      <c r="C41" s="321"/>
      <c r="D41" s="321"/>
      <c r="E41" s="321"/>
    </row>
    <row r="42" spans="2:5" ht="13.5" customHeight="1" x14ac:dyDescent="0.2">
      <c r="B42" s="1477"/>
      <c r="C42" s="321"/>
      <c r="D42" s="321"/>
      <c r="E42" s="321"/>
    </row>
    <row r="43" spans="2:5" ht="12.75" customHeight="1" x14ac:dyDescent="0.2">
      <c r="B43" s="1478"/>
      <c r="C43" s="1479"/>
      <c r="D43" s="1479"/>
      <c r="E43" s="321"/>
    </row>
    <row r="44" spans="2:5" ht="12.2" customHeight="1" x14ac:dyDescent="0.2">
      <c r="B44" s="1251" t="s">
        <v>1313</v>
      </c>
      <c r="C44" s="320"/>
    </row>
    <row r="45" spans="2:5" ht="12.2" customHeight="1" x14ac:dyDescent="0.2">
      <c r="B45" s="1480" t="s">
        <v>1755</v>
      </c>
    </row>
    <row r="46" spans="2:5" ht="12.2" customHeight="1" x14ac:dyDescent="0.2">
      <c r="B46" s="1480" t="s">
        <v>1756</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2" sqref="E12"/>
    </sheetView>
  </sheetViews>
  <sheetFormatPr defaultRowHeight="12.75"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1" customWidth="1"/>
    <col min="2" max="2" width="2.7109375" style="344" customWidth="1"/>
    <col min="3" max="3" width="3.7109375" style="344" customWidth="1"/>
    <col min="4" max="4" width="14.7109375" style="344" customWidth="1"/>
    <col min="5" max="5" width="2.7109375" style="344" customWidth="1"/>
    <col min="6" max="6" width="14.7109375" style="344" customWidth="1"/>
    <col min="7" max="7" width="4" style="344" customWidth="1"/>
    <col min="8" max="8" width="14.7109375" style="344" customWidth="1"/>
    <col min="9" max="9" width="2.7109375" style="344" customWidth="1"/>
    <col min="10" max="10" width="14.7109375" style="344" customWidth="1"/>
    <col min="11" max="11" width="2.7109375" style="344" customWidth="1"/>
    <col min="12" max="12" width="14.7109375" style="344" customWidth="1"/>
    <col min="13" max="13" width="2.7109375" style="344" customWidth="1"/>
    <col min="14" max="14" width="3.7109375" style="221" customWidth="1"/>
    <col min="15" max="15" width="4.7109375" style="344" customWidth="1"/>
    <col min="16" max="17" width="5.7109375" style="344" customWidth="1"/>
    <col min="18" max="16384" width="9.140625" style="344"/>
  </cols>
  <sheetData>
    <row r="1" spans="1:14" ht="24" customHeight="1" x14ac:dyDescent="0.2">
      <c r="A1" s="2088" t="s">
        <v>386</v>
      </c>
      <c r="B1" s="2088"/>
      <c r="C1" s="2088"/>
      <c r="D1" s="2088"/>
      <c r="E1" s="2088"/>
      <c r="F1" s="2088"/>
      <c r="G1" s="2088"/>
      <c r="H1" s="2088"/>
      <c r="I1" s="2088"/>
      <c r="J1" s="2088"/>
      <c r="K1" s="2088"/>
      <c r="L1" s="2088"/>
      <c r="M1" s="2088"/>
      <c r="N1" s="343"/>
    </row>
    <row r="2" spans="1:14" ht="10.9" customHeight="1" x14ac:dyDescent="0.2">
      <c r="A2" s="343"/>
      <c r="B2" s="343"/>
      <c r="C2" s="343"/>
      <c r="D2" s="343"/>
      <c r="E2" s="343"/>
      <c r="F2" s="343"/>
      <c r="G2" s="343"/>
      <c r="H2" s="343"/>
      <c r="I2" s="343"/>
      <c r="J2" s="343"/>
      <c r="K2" s="343"/>
      <c r="L2" s="343"/>
      <c r="M2" s="343"/>
      <c r="N2" s="343"/>
    </row>
    <row r="3" spans="1:14" x14ac:dyDescent="0.2">
      <c r="A3" s="345" t="s">
        <v>846</v>
      </c>
      <c r="B3" s="343"/>
      <c r="C3" s="343"/>
      <c r="D3" s="343"/>
      <c r="E3" s="343"/>
      <c r="F3" s="343"/>
      <c r="G3" s="343"/>
      <c r="H3" s="343"/>
      <c r="I3" s="343"/>
      <c r="J3" s="343"/>
      <c r="K3" s="343"/>
      <c r="L3" s="343"/>
      <c r="M3" s="343"/>
      <c r="N3" s="343"/>
    </row>
    <row r="4" spans="1:14" ht="10.5" customHeight="1" x14ac:dyDescent="0.2">
      <c r="B4" s="221"/>
      <c r="C4" s="221"/>
      <c r="D4" s="221"/>
      <c r="E4" s="221"/>
      <c r="F4" s="221"/>
      <c r="G4" s="221"/>
      <c r="H4" s="221"/>
      <c r="I4" s="221"/>
      <c r="J4" s="221"/>
      <c r="K4" s="221"/>
      <c r="L4" s="221"/>
      <c r="M4" s="221"/>
    </row>
    <row r="5" spans="1:14" ht="14.25" customHeight="1" x14ac:dyDescent="0.2">
      <c r="A5" s="346" t="s">
        <v>458</v>
      </c>
      <c r="B5" s="346" t="s">
        <v>1634</v>
      </c>
      <c r="C5" s="221"/>
      <c r="D5" s="221"/>
      <c r="E5" s="221"/>
      <c r="F5" s="221"/>
      <c r="G5" s="221"/>
      <c r="H5" s="221"/>
      <c r="I5" s="221"/>
      <c r="J5" s="221"/>
      <c r="K5" s="347"/>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1" t="s">
        <v>1932</v>
      </c>
      <c r="E7" s="221"/>
      <c r="F7" s="348" t="s">
        <v>272</v>
      </c>
      <c r="G7" s="221"/>
      <c r="H7" s="221"/>
      <c r="I7" s="221"/>
      <c r="J7" s="349">
        <v>175140820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0" t="s">
        <v>1155</v>
      </c>
      <c r="E9" s="346"/>
      <c r="F9" s="351" t="s">
        <v>870</v>
      </c>
      <c r="G9" s="346"/>
      <c r="H9" s="350" t="s">
        <v>155</v>
      </c>
      <c r="I9" s="346"/>
      <c r="J9" s="351" t="s">
        <v>1002</v>
      </c>
      <c r="K9" s="346"/>
      <c r="L9" s="350" t="s">
        <v>407</v>
      </c>
      <c r="M9" s="221"/>
    </row>
    <row r="10" spans="1:14" ht="13.35" customHeight="1" x14ac:dyDescent="0.2">
      <c r="A10" s="341" t="s">
        <v>929</v>
      </c>
      <c r="C10" s="221"/>
      <c r="D10" s="352">
        <v>3.4000000000000002E-2</v>
      </c>
      <c r="E10" s="353" t="s">
        <v>1005</v>
      </c>
      <c r="F10" s="352">
        <v>5.4999999999999997E-3</v>
      </c>
      <c r="G10" s="353" t="s">
        <v>1005</v>
      </c>
      <c r="H10" s="352">
        <v>2E-3</v>
      </c>
      <c r="I10" s="353" t="s">
        <v>1006</v>
      </c>
      <c r="J10" s="1729">
        <f>ROUND(D10+F10+H10,5)</f>
        <v>4.1500000000000002E-2</v>
      </c>
      <c r="K10" s="221"/>
      <c r="L10" s="352">
        <v>5.0000000000000001E-4</v>
      </c>
      <c r="M10" s="221"/>
    </row>
    <row r="11" spans="1:14" ht="7.5" customHeight="1" x14ac:dyDescent="0.2">
      <c r="B11" s="221"/>
      <c r="C11" s="221"/>
      <c r="D11" s="2098" t="str">
        <f>IF(SUM(J10)&lt;=0.0999999,"","Enter the Tax Rates by moving the decimal two places to the left.")</f>
        <v/>
      </c>
      <c r="E11" s="2099"/>
      <c r="F11" s="2099"/>
      <c r="G11" s="2099"/>
      <c r="H11" s="2099"/>
      <c r="I11" s="2099"/>
      <c r="J11" s="2099"/>
      <c r="K11" s="221"/>
      <c r="L11" s="354"/>
      <c r="M11" s="221"/>
    </row>
    <row r="12" spans="1:14" ht="10.5" hidden="1" customHeight="1" x14ac:dyDescent="0.2">
      <c r="B12" s="221"/>
      <c r="C12" s="221"/>
      <c r="D12" s="355"/>
      <c r="E12" s="356"/>
      <c r="F12" s="356"/>
      <c r="G12" s="356"/>
      <c r="H12" s="356"/>
      <c r="I12" s="356"/>
      <c r="J12" s="356"/>
      <c r="K12" s="221"/>
      <c r="L12" s="354"/>
      <c r="M12" s="221"/>
    </row>
    <row r="13" spans="1:14" ht="14.25" customHeight="1" x14ac:dyDescent="0.2">
      <c r="A13" s="346" t="s">
        <v>97</v>
      </c>
      <c r="B13" s="346" t="s">
        <v>1635</v>
      </c>
      <c r="C13" s="221"/>
      <c r="D13" s="221"/>
      <c r="E13" s="221"/>
      <c r="F13" s="221"/>
      <c r="G13" s="221"/>
      <c r="H13" s="221"/>
      <c r="I13" s="221"/>
      <c r="J13" s="221"/>
      <c r="K13" s="221"/>
      <c r="L13" s="221"/>
      <c r="M13" s="221"/>
    </row>
    <row r="14" spans="1:14" ht="10.9" customHeight="1" x14ac:dyDescent="0.2">
      <c r="A14" s="346"/>
      <c r="B14" s="221"/>
      <c r="C14" s="221"/>
      <c r="D14" s="221"/>
      <c r="E14" s="221"/>
      <c r="F14" s="221"/>
      <c r="G14" s="221"/>
      <c r="H14" s="221"/>
      <c r="I14" s="221"/>
      <c r="J14" s="221"/>
      <c r="K14" s="221"/>
      <c r="L14" s="221"/>
      <c r="M14" s="221"/>
    </row>
    <row r="15" spans="1:14" ht="22.5" x14ac:dyDescent="0.2">
      <c r="A15" s="346"/>
      <c r="B15" s="221"/>
      <c r="C15" s="221"/>
      <c r="D15" s="350" t="s">
        <v>527</v>
      </c>
      <c r="E15" s="221"/>
      <c r="F15" s="351" t="s">
        <v>1003</v>
      </c>
      <c r="G15" s="221"/>
      <c r="H15" s="351" t="s">
        <v>1004</v>
      </c>
      <c r="I15" s="221"/>
      <c r="J15" s="350" t="s">
        <v>392</v>
      </c>
      <c r="K15" s="221"/>
      <c r="L15" s="221"/>
      <c r="M15" s="221"/>
    </row>
    <row r="16" spans="1:14" ht="13.35" customHeight="1" x14ac:dyDescent="0.2">
      <c r="A16" s="346"/>
      <c r="B16" s="221"/>
      <c r="C16" s="221"/>
      <c r="D16" s="1730">
        <f>SUM('Acct Summary 7-8'!C8,'Acct Summary 7-8'!D8,'Acct Summary 7-8'!F8,'Acct Summary 7-8'!I8)</f>
        <v>11939112</v>
      </c>
      <c r="E16" s="353"/>
      <c r="F16" s="1730">
        <f>SUM('Acct Summary 7-8'!C17,'Acct Summary 7-8'!D17,'Acct Summary 7-8'!F17)</f>
        <v>11533534</v>
      </c>
      <c r="G16" s="353"/>
      <c r="H16" s="1730">
        <f>SUM(D16-F16)</f>
        <v>405578</v>
      </c>
      <c r="I16" s="221"/>
      <c r="J16" s="1730">
        <f>SUM('Acct Summary 7-8'!C81,'Acct Summary 7-8'!D81,'Acct Summary 7-8'!F81,'Acct Summary 7-8'!I81)</f>
        <v>3456229</v>
      </c>
      <c r="K16" s="221"/>
      <c r="L16" s="221"/>
      <c r="M16" s="221"/>
    </row>
    <row r="17" spans="1:13" ht="12.2" customHeight="1" x14ac:dyDescent="0.2">
      <c r="A17" s="346"/>
      <c r="B17" s="258" t="s">
        <v>8</v>
      </c>
      <c r="C17" s="236" t="s">
        <v>1396</v>
      </c>
      <c r="D17" s="221"/>
      <c r="E17" s="221"/>
      <c r="F17" s="221"/>
      <c r="G17" s="221"/>
      <c r="H17" s="221"/>
      <c r="I17" s="221"/>
      <c r="J17" s="221"/>
      <c r="K17" s="221"/>
      <c r="L17" s="221"/>
      <c r="M17" s="221"/>
    </row>
    <row r="18" spans="1:13" ht="12.2" customHeight="1" x14ac:dyDescent="0.2">
      <c r="A18" s="346"/>
      <c r="B18" s="221"/>
      <c r="C18" s="236" t="s">
        <v>506</v>
      </c>
      <c r="D18" s="221"/>
      <c r="E18" s="221"/>
      <c r="F18" s="221"/>
      <c r="G18" s="221"/>
      <c r="H18" s="221"/>
      <c r="I18" s="221"/>
      <c r="J18" s="221"/>
      <c r="K18" s="221"/>
      <c r="L18" s="221"/>
      <c r="M18" s="221"/>
    </row>
    <row r="19" spans="1:13" s="326" customFormat="1" ht="10.5" customHeight="1" x14ac:dyDescent="0.2"/>
    <row r="20" spans="1:13" ht="12.75" customHeight="1" x14ac:dyDescent="0.2">
      <c r="A20" s="346" t="s">
        <v>812</v>
      </c>
      <c r="B20" s="346" t="s">
        <v>1636</v>
      </c>
      <c r="C20" s="221"/>
      <c r="D20" s="221"/>
      <c r="E20" s="221"/>
      <c r="F20" s="221"/>
      <c r="G20" s="221"/>
      <c r="H20" s="221"/>
      <c r="I20" s="221"/>
      <c r="J20" s="221"/>
      <c r="K20" s="221"/>
      <c r="L20" s="221"/>
      <c r="M20" s="221"/>
    </row>
    <row r="21" spans="1:13" x14ac:dyDescent="0.2">
      <c r="A21" s="346"/>
      <c r="B21" s="221"/>
      <c r="C21" s="221"/>
      <c r="D21" s="357" t="s">
        <v>394</v>
      </c>
      <c r="E21" s="358"/>
      <c r="F21" s="357" t="s">
        <v>393</v>
      </c>
      <c r="G21" s="358"/>
      <c r="H21" s="357" t="s">
        <v>395</v>
      </c>
      <c r="I21" s="358"/>
      <c r="J21" s="357" t="s">
        <v>41</v>
      </c>
      <c r="K21" s="358"/>
      <c r="L21" s="359" t="s">
        <v>545</v>
      </c>
      <c r="M21" s="221"/>
    </row>
    <row r="22" spans="1:13" ht="13.35" customHeight="1" x14ac:dyDescent="0.2">
      <c r="A22" s="346"/>
      <c r="B22" s="221"/>
      <c r="C22" s="221"/>
      <c r="D22" s="1730">
        <f>'Short-Term Long-Term Debt 24'!F4</f>
        <v>0</v>
      </c>
      <c r="E22" s="353" t="s">
        <v>1005</v>
      </c>
      <c r="F22" s="1730">
        <f>'Short-Term Long-Term Debt 24'!F15</f>
        <v>0</v>
      </c>
      <c r="G22" s="353" t="s">
        <v>1005</v>
      </c>
      <c r="H22" s="1730">
        <f>'Short-Term Long-Term Debt 24'!F21</f>
        <v>0</v>
      </c>
      <c r="I22" s="353" t="s">
        <v>1005</v>
      </c>
      <c r="J22" s="1730">
        <f>'Short-Term Long-Term Debt 24'!F23</f>
        <v>0</v>
      </c>
      <c r="K22" s="353" t="s">
        <v>1005</v>
      </c>
      <c r="L22" s="1730">
        <f>'Short-Term Long-Term Debt 24'!F25</f>
        <v>0</v>
      </c>
      <c r="M22" s="353" t="s">
        <v>1005</v>
      </c>
    </row>
    <row r="23" spans="1:13" ht="15" customHeight="1" x14ac:dyDescent="0.2">
      <c r="A23" s="346"/>
      <c r="B23" s="221"/>
      <c r="C23" s="221"/>
      <c r="D23" s="357" t="s">
        <v>1063</v>
      </c>
      <c r="E23" s="358"/>
      <c r="F23" s="357" t="s">
        <v>156</v>
      </c>
      <c r="G23" s="221"/>
      <c r="H23" s="221"/>
      <c r="I23" s="221"/>
      <c r="J23" s="221"/>
      <c r="K23" s="221"/>
      <c r="L23" s="221"/>
      <c r="M23" s="221"/>
    </row>
    <row r="24" spans="1:13" ht="13.35" customHeight="1" x14ac:dyDescent="0.2">
      <c r="A24" s="346"/>
      <c r="B24" s="221"/>
      <c r="C24" s="353"/>
      <c r="D24" s="1730">
        <f>'Short-Term Long-Term Debt 24'!F27</f>
        <v>0</v>
      </c>
      <c r="E24" s="353" t="s">
        <v>1006</v>
      </c>
      <c r="F24" s="1731">
        <f>SUM(D22,F22,H22,J22,L22, D24)</f>
        <v>0</v>
      </c>
      <c r="G24" s="221"/>
      <c r="H24" s="221"/>
      <c r="I24" s="221"/>
      <c r="J24" s="221"/>
      <c r="K24" s="221"/>
      <c r="L24" s="221"/>
      <c r="M24" s="221"/>
    </row>
    <row r="25" spans="1:13" ht="11.25" customHeight="1" x14ac:dyDescent="0.2">
      <c r="A25" s="346"/>
      <c r="B25" s="181" t="s">
        <v>9</v>
      </c>
      <c r="C25" s="236" t="s">
        <v>2047</v>
      </c>
      <c r="D25" s="221"/>
      <c r="E25" s="221"/>
      <c r="F25" s="221"/>
      <c r="G25" s="221"/>
      <c r="H25" s="221"/>
      <c r="I25" s="221"/>
      <c r="J25" s="221"/>
      <c r="K25" s="221"/>
      <c r="L25" s="221"/>
      <c r="M25" s="221"/>
    </row>
    <row r="26" spans="1:13" ht="9" hidden="1" customHeight="1" x14ac:dyDescent="0.2">
      <c r="A26" s="346"/>
      <c r="B26" s="181"/>
      <c r="C26" s="236"/>
      <c r="D26" s="221"/>
      <c r="E26" s="221"/>
      <c r="F26" s="221"/>
      <c r="G26" s="221"/>
      <c r="H26" s="221"/>
      <c r="I26" s="221"/>
      <c r="J26" s="221"/>
      <c r="K26" s="221"/>
      <c r="L26" s="221"/>
      <c r="M26" s="221"/>
    </row>
    <row r="27" spans="1:13" ht="6.75" customHeight="1" x14ac:dyDescent="0.2">
      <c r="A27" s="346"/>
      <c r="B27" s="360"/>
      <c r="C27" s="361"/>
      <c r="D27" s="221"/>
      <c r="E27" s="221"/>
      <c r="F27" s="221"/>
      <c r="G27" s="221"/>
      <c r="H27" s="221"/>
      <c r="I27" s="221"/>
      <c r="J27" s="221"/>
      <c r="K27" s="221"/>
      <c r="L27" s="221"/>
      <c r="M27" s="221"/>
    </row>
    <row r="28" spans="1:13" ht="12.75" customHeight="1" x14ac:dyDescent="0.2">
      <c r="A28" s="346" t="s">
        <v>98</v>
      </c>
      <c r="B28" s="346" t="s">
        <v>141</v>
      </c>
      <c r="C28" s="221"/>
      <c r="D28" s="221"/>
      <c r="E28" s="221"/>
      <c r="F28" s="221"/>
      <c r="G28" s="221"/>
      <c r="H28" s="221"/>
      <c r="I28" s="221"/>
      <c r="J28" s="221"/>
      <c r="K28" s="221"/>
      <c r="L28" s="221"/>
      <c r="M28" s="221"/>
    </row>
    <row r="29" spans="1:13" ht="12.2" customHeight="1" x14ac:dyDescent="0.2">
      <c r="A29" s="346"/>
      <c r="B29" s="236" t="s">
        <v>385</v>
      </c>
      <c r="C29" s="221"/>
      <c r="D29" s="221"/>
      <c r="E29" s="221"/>
      <c r="F29" s="221"/>
      <c r="G29" s="221"/>
      <c r="H29" s="221"/>
      <c r="I29" s="221"/>
      <c r="J29" s="221"/>
      <c r="K29" s="221"/>
      <c r="L29" s="221"/>
      <c r="M29" s="221"/>
    </row>
    <row r="30" spans="1:13" ht="10.9" customHeight="1" x14ac:dyDescent="0.2">
      <c r="A30" s="346"/>
      <c r="B30" s="362"/>
      <c r="C30" s="221"/>
      <c r="D30" s="221"/>
      <c r="E30" s="221"/>
      <c r="F30" s="221"/>
      <c r="G30" s="221"/>
      <c r="H30" s="221"/>
      <c r="I30" s="221"/>
      <c r="J30" s="221"/>
      <c r="K30" s="221"/>
      <c r="L30" s="221"/>
      <c r="M30" s="221"/>
    </row>
    <row r="31" spans="1:13" ht="13.35" customHeight="1" x14ac:dyDescent="0.2">
      <c r="B31" s="363"/>
      <c r="C31" s="364" t="s">
        <v>586</v>
      </c>
      <c r="D31" s="236" t="s">
        <v>1072</v>
      </c>
      <c r="E31" s="221"/>
      <c r="F31" s="221"/>
      <c r="G31" s="360"/>
      <c r="H31" s="1732">
        <f>IF(B31="X",(J7*0.069),IF(B32="X",(J7*0.138),"Enter x in a.or b."))</f>
        <v>24169433.160000004</v>
      </c>
      <c r="I31" s="365"/>
      <c r="J31" s="221"/>
      <c r="K31" s="221"/>
      <c r="L31" s="221"/>
      <c r="M31" s="221"/>
    </row>
    <row r="32" spans="1:13" ht="13.35" customHeight="1" x14ac:dyDescent="0.2">
      <c r="B32" s="366" t="s">
        <v>2050</v>
      </c>
      <c r="C32" s="367" t="s">
        <v>587</v>
      </c>
      <c r="D32" s="236" t="s">
        <v>423</v>
      </c>
      <c r="E32" s="221"/>
      <c r="F32" s="221"/>
      <c r="G32" s="221"/>
      <c r="H32" s="221"/>
      <c r="I32" s="221"/>
      <c r="J32" s="221"/>
      <c r="K32" s="221"/>
      <c r="L32" s="221"/>
      <c r="M32" s="221"/>
    </row>
    <row r="33" spans="1:13" ht="8.25" customHeight="1" x14ac:dyDescent="0.2">
      <c r="B33" s="221"/>
      <c r="C33" s="368"/>
      <c r="D33" s="236"/>
      <c r="E33" s="221"/>
      <c r="F33" s="221"/>
      <c r="G33" s="221"/>
      <c r="H33" s="221"/>
      <c r="I33" s="221"/>
      <c r="J33" s="221"/>
      <c r="K33" s="221"/>
      <c r="L33" s="221"/>
      <c r="M33" s="221"/>
    </row>
    <row r="34" spans="1:13" ht="12.2" customHeight="1" x14ac:dyDescent="0.2">
      <c r="B34" s="221" t="s">
        <v>389</v>
      </c>
      <c r="C34" s="369"/>
      <c r="D34" s="221"/>
      <c r="E34" s="221"/>
      <c r="F34" s="221"/>
      <c r="G34" s="221"/>
      <c r="H34" s="221"/>
      <c r="I34" s="221"/>
      <c r="J34" s="221"/>
      <c r="K34" s="221"/>
      <c r="L34" s="221"/>
      <c r="M34" s="221"/>
    </row>
    <row r="35" spans="1:13" ht="8.25" customHeight="1" x14ac:dyDescent="0.2">
      <c r="B35" s="221"/>
      <c r="C35" s="369"/>
      <c r="D35" s="221"/>
      <c r="E35" s="221"/>
      <c r="F35" s="221"/>
      <c r="H35" s="370"/>
      <c r="I35" s="221"/>
      <c r="J35" s="221"/>
      <c r="K35" s="221"/>
      <c r="L35" s="221"/>
      <c r="M35" s="221"/>
    </row>
    <row r="36" spans="1:13" ht="13.5" customHeight="1" x14ac:dyDescent="0.2">
      <c r="B36" s="221"/>
      <c r="C36" s="371" t="s">
        <v>588</v>
      </c>
      <c r="D36" s="246" t="s">
        <v>0</v>
      </c>
      <c r="E36" s="221"/>
      <c r="F36" s="221"/>
      <c r="G36" s="372" t="s">
        <v>390</v>
      </c>
      <c r="H36" s="373"/>
      <c r="I36" s="221"/>
      <c r="J36" s="221"/>
      <c r="K36" s="221"/>
      <c r="L36" s="221"/>
      <c r="M36" s="221"/>
    </row>
    <row r="37" spans="1:13" ht="13.5" customHeight="1" x14ac:dyDescent="0.2">
      <c r="B37" s="221"/>
      <c r="C37" s="371"/>
      <c r="D37" s="246" t="s">
        <v>1135</v>
      </c>
      <c r="E37" s="221"/>
      <c r="F37" s="221"/>
      <c r="G37" s="374">
        <v>511</v>
      </c>
      <c r="H37" s="1731">
        <f>'Assets-Liab 5-6'!N36</f>
        <v>3855000</v>
      </c>
      <c r="I37" s="221"/>
      <c r="J37" s="212"/>
      <c r="K37" s="212"/>
      <c r="L37" s="212"/>
      <c r="M37" s="221"/>
    </row>
    <row r="38" spans="1:13" ht="7.5" customHeight="1" x14ac:dyDescent="0.2">
      <c r="B38" s="221"/>
      <c r="C38" s="326"/>
      <c r="D38" s="326"/>
      <c r="E38" s="326"/>
      <c r="F38" s="326"/>
      <c r="G38" s="326"/>
      <c r="H38" s="326"/>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6" t="s">
        <v>546</v>
      </c>
      <c r="B40" s="346" t="s">
        <v>195</v>
      </c>
      <c r="C40" s="346"/>
      <c r="D40" s="346"/>
      <c r="E40" s="346"/>
      <c r="F40" s="346"/>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5"/>
      <c r="C44" s="224" t="s">
        <v>302</v>
      </c>
      <c r="E44" s="221"/>
      <c r="F44" s="221"/>
      <c r="G44" s="221"/>
      <c r="H44" s="221"/>
      <c r="I44" s="221"/>
      <c r="J44" s="221"/>
      <c r="K44" s="221"/>
      <c r="L44" s="221"/>
      <c r="M44" s="221"/>
    </row>
    <row r="45" spans="1:13" ht="13.5" customHeight="1" x14ac:dyDescent="0.2">
      <c r="B45" s="375"/>
      <c r="C45" s="224" t="s">
        <v>381</v>
      </c>
      <c r="E45" s="221"/>
      <c r="F45" s="221"/>
      <c r="G45" s="221"/>
      <c r="H45" s="221"/>
      <c r="I45" s="221"/>
      <c r="J45" s="221"/>
      <c r="K45" s="221"/>
      <c r="L45" s="221"/>
      <c r="M45" s="221"/>
    </row>
    <row r="46" spans="1:13" ht="13.5" customHeight="1" x14ac:dyDescent="0.2">
      <c r="B46" s="375"/>
      <c r="C46" s="224" t="s">
        <v>863</v>
      </c>
      <c r="E46" s="221"/>
      <c r="F46" s="221"/>
      <c r="G46" s="221"/>
      <c r="H46" s="221"/>
      <c r="I46" s="221"/>
      <c r="J46" s="221"/>
      <c r="K46" s="221"/>
      <c r="L46" s="221"/>
      <c r="M46" s="221"/>
    </row>
    <row r="47" spans="1:13" ht="13.5" customHeight="1" x14ac:dyDescent="0.2">
      <c r="B47" s="375"/>
      <c r="C47" s="224" t="s">
        <v>55</v>
      </c>
      <c r="E47" s="221"/>
      <c r="F47" s="221"/>
      <c r="G47" s="221"/>
      <c r="H47" s="221"/>
      <c r="I47" s="221"/>
      <c r="J47" s="221"/>
      <c r="K47" s="221"/>
      <c r="L47" s="221"/>
      <c r="M47" s="221"/>
    </row>
    <row r="48" spans="1:13" ht="13.5" customHeight="1" x14ac:dyDescent="0.2">
      <c r="B48" s="375"/>
      <c r="C48" s="224" t="s">
        <v>56</v>
      </c>
      <c r="E48" s="221"/>
      <c r="F48" s="221"/>
      <c r="G48" s="221"/>
      <c r="H48" s="221"/>
      <c r="I48" s="221"/>
      <c r="J48" s="221"/>
      <c r="K48" s="221"/>
      <c r="L48" s="221"/>
      <c r="M48" s="221"/>
    </row>
    <row r="49" spans="1:13" ht="13.5" customHeight="1" x14ac:dyDescent="0.2">
      <c r="B49" s="375"/>
      <c r="C49" s="224" t="s">
        <v>339</v>
      </c>
      <c r="E49" s="221"/>
      <c r="F49" s="221"/>
      <c r="G49" s="221"/>
      <c r="H49" s="221"/>
      <c r="I49" s="221"/>
      <c r="J49" s="221"/>
      <c r="K49" s="221"/>
      <c r="L49" s="221"/>
      <c r="M49" s="221"/>
    </row>
    <row r="50" spans="1:13" ht="13.5" customHeight="1" x14ac:dyDescent="0.2">
      <c r="B50" s="375"/>
      <c r="C50" s="224" t="s">
        <v>340</v>
      </c>
      <c r="E50" s="221"/>
      <c r="F50" s="221"/>
      <c r="G50" s="221"/>
      <c r="H50" s="221"/>
      <c r="I50" s="221"/>
      <c r="J50" s="221"/>
      <c r="K50" s="221"/>
      <c r="L50" s="221"/>
      <c r="M50" s="221"/>
    </row>
    <row r="51" spans="1:13" ht="13.5" customHeight="1" x14ac:dyDescent="0.2">
      <c r="B51" s="375"/>
      <c r="C51" s="224" t="s">
        <v>544</v>
      </c>
      <c r="E51" s="221"/>
      <c r="F51" s="221"/>
      <c r="G51" s="221"/>
      <c r="H51" s="221"/>
      <c r="I51" s="221"/>
      <c r="J51" s="221"/>
      <c r="K51" s="221"/>
      <c r="L51" s="221"/>
      <c r="M51" s="221"/>
    </row>
    <row r="52" spans="1:13" ht="6" customHeight="1" x14ac:dyDescent="0.2">
      <c r="B52" s="221"/>
      <c r="C52" s="376"/>
      <c r="D52" s="236"/>
      <c r="E52" s="221"/>
      <c r="F52" s="221"/>
      <c r="G52" s="221"/>
      <c r="H52" s="221"/>
      <c r="I52" s="221"/>
      <c r="J52" s="221"/>
      <c r="K52" s="221"/>
      <c r="L52" s="221"/>
      <c r="M52" s="221"/>
    </row>
    <row r="53" spans="1:13" ht="15" customHeight="1" x14ac:dyDescent="0.2">
      <c r="B53" s="362" t="s">
        <v>387</v>
      </c>
      <c r="C53" s="221"/>
      <c r="D53" s="221"/>
      <c r="E53" s="221"/>
      <c r="F53" s="221"/>
      <c r="G53" s="221"/>
      <c r="H53" s="221"/>
      <c r="I53" s="221"/>
      <c r="J53" s="221"/>
      <c r="K53" s="221"/>
      <c r="L53" s="221"/>
      <c r="M53" s="221"/>
    </row>
    <row r="54" spans="1:13" ht="12.75" x14ac:dyDescent="0.2">
      <c r="B54" s="2089"/>
      <c r="C54" s="2090"/>
      <c r="D54" s="2090"/>
      <c r="E54" s="2090"/>
      <c r="F54" s="2090"/>
      <c r="G54" s="2090"/>
      <c r="H54" s="2090"/>
      <c r="I54" s="2090"/>
      <c r="J54" s="2090"/>
      <c r="K54" s="2090"/>
      <c r="L54" s="2091"/>
      <c r="M54" s="377"/>
    </row>
    <row r="55" spans="1:13" ht="12.75" customHeight="1" x14ac:dyDescent="0.2">
      <c r="B55" s="2092"/>
      <c r="C55" s="2093"/>
      <c r="D55" s="2093"/>
      <c r="E55" s="2093"/>
      <c r="F55" s="2093"/>
      <c r="G55" s="2093"/>
      <c r="H55" s="2093"/>
      <c r="I55" s="2093"/>
      <c r="J55" s="2093"/>
      <c r="K55" s="2093"/>
      <c r="L55" s="2094"/>
      <c r="M55" s="377"/>
    </row>
    <row r="56" spans="1:13" ht="12.75" customHeight="1" x14ac:dyDescent="0.2">
      <c r="B56" s="2092"/>
      <c r="C56" s="2093"/>
      <c r="D56" s="2093"/>
      <c r="E56" s="2093"/>
      <c r="F56" s="2093"/>
      <c r="G56" s="2093"/>
      <c r="H56" s="2093"/>
      <c r="I56" s="2093"/>
      <c r="J56" s="2093"/>
      <c r="K56" s="2093"/>
      <c r="L56" s="2094"/>
      <c r="M56" s="221"/>
    </row>
    <row r="57" spans="1:13" ht="12.75" customHeight="1" x14ac:dyDescent="0.2">
      <c r="B57" s="2092"/>
      <c r="C57" s="2093"/>
      <c r="D57" s="2093"/>
      <c r="E57" s="2093"/>
      <c r="F57" s="2093"/>
      <c r="G57" s="2093"/>
      <c r="H57" s="2093"/>
      <c r="I57" s="2093"/>
      <c r="J57" s="2093"/>
      <c r="K57" s="2093"/>
      <c r="L57" s="2094"/>
      <c r="M57" s="221"/>
    </row>
    <row r="58" spans="1:13" x14ac:dyDescent="0.2">
      <c r="B58" s="2095"/>
      <c r="C58" s="2096"/>
      <c r="D58" s="2096"/>
      <c r="E58" s="2096"/>
      <c r="F58" s="2096"/>
      <c r="G58" s="2096"/>
      <c r="H58" s="2096"/>
      <c r="I58" s="2096"/>
      <c r="J58" s="2096"/>
      <c r="K58" s="2096"/>
      <c r="L58" s="2097"/>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8"/>
      <c r="C61" s="2100"/>
      <c r="D61" s="2101"/>
      <c r="E61" s="379"/>
      <c r="F61" s="379"/>
      <c r="G61" s="379"/>
      <c r="H61" s="379"/>
      <c r="I61" s="379"/>
      <c r="J61" s="379"/>
      <c r="K61" s="379"/>
      <c r="L61" s="379"/>
      <c r="M61" s="221"/>
    </row>
    <row r="62" spans="1:13" x14ac:dyDescent="0.15">
      <c r="A62" s="246"/>
      <c r="B62" s="378"/>
      <c r="C62" s="246"/>
      <c r="E62" s="379"/>
      <c r="F62" s="379"/>
      <c r="G62" s="379"/>
      <c r="H62" s="379"/>
      <c r="I62" s="379"/>
      <c r="J62" s="379"/>
      <c r="K62" s="379"/>
      <c r="L62" s="379"/>
      <c r="M62" s="221"/>
    </row>
    <row r="63" spans="1:13" ht="12.2" customHeight="1" x14ac:dyDescent="0.15">
      <c r="A63" s="380"/>
      <c r="B63" s="379"/>
      <c r="C63" s="379"/>
      <c r="D63" s="379"/>
      <c r="E63" s="379"/>
      <c r="F63" s="379"/>
      <c r="G63" s="379"/>
      <c r="H63" s="379"/>
      <c r="I63" s="379"/>
      <c r="J63" s="379"/>
      <c r="K63" s="379"/>
      <c r="L63" s="379"/>
      <c r="M63" s="221"/>
    </row>
    <row r="64" spans="1:13" ht="12.2" customHeight="1" x14ac:dyDescent="0.15">
      <c r="A64" s="380"/>
      <c r="B64" s="379"/>
      <c r="C64" s="379"/>
      <c r="D64" s="379"/>
      <c r="E64" s="379"/>
      <c r="F64" s="379"/>
      <c r="G64" s="379"/>
      <c r="H64" s="379"/>
      <c r="I64" s="379"/>
      <c r="J64" s="379"/>
      <c r="K64" s="379"/>
      <c r="L64" s="379"/>
      <c r="M64" s="221"/>
    </row>
    <row r="65" spans="1:13" ht="9.6" customHeight="1" x14ac:dyDescent="0.15">
      <c r="A65" s="380"/>
      <c r="B65" s="379"/>
      <c r="C65" s="379"/>
      <c r="D65" s="379"/>
      <c r="E65" s="379"/>
      <c r="F65" s="379"/>
      <c r="G65" s="379"/>
      <c r="H65" s="379"/>
      <c r="I65" s="379"/>
      <c r="J65" s="379"/>
      <c r="K65" s="379"/>
      <c r="L65" s="379"/>
      <c r="M65" s="221"/>
    </row>
    <row r="66" spans="1:13" ht="12.2" customHeight="1" x14ac:dyDescent="0.2">
      <c r="A66" s="380"/>
      <c r="B66" s="361"/>
      <c r="C66" s="361"/>
      <c r="D66" s="361"/>
      <c r="E66" s="361"/>
      <c r="F66" s="361"/>
      <c r="G66" s="361"/>
      <c r="H66" s="361"/>
      <c r="I66" s="361"/>
      <c r="J66" s="361"/>
      <c r="K66" s="361"/>
      <c r="L66" s="361"/>
      <c r="M66" s="221"/>
    </row>
    <row r="67" spans="1:13" ht="12.2" customHeight="1" x14ac:dyDescent="0.2">
      <c r="A67" s="380"/>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8" zoomScale="110" zoomScaleNormal="110" workbookViewId="0">
      <selection activeCell="C5" sqref="C5"/>
    </sheetView>
  </sheetViews>
  <sheetFormatPr defaultColWidth="9.140625" defaultRowHeight="12" x14ac:dyDescent="0.2"/>
  <cols>
    <col min="1" max="1" width="2" style="382" customWidth="1"/>
    <col min="2" max="2" width="2.7109375" style="444" customWidth="1"/>
    <col min="3" max="3" width="15.28515625" style="382" customWidth="1"/>
    <col min="4" max="4" width="37.85546875" style="382" customWidth="1"/>
    <col min="5" max="5" width="1.7109375" style="382" customWidth="1"/>
    <col min="6" max="6" width="31.140625" style="382" customWidth="1"/>
    <col min="7" max="7" width="1.7109375" style="382" customWidth="1"/>
    <col min="8" max="8" width="15.7109375" style="446" customWidth="1"/>
    <col min="9" max="9" width="2.7109375" style="382" customWidth="1"/>
    <col min="10" max="10" width="5.85546875" style="382" hidden="1" customWidth="1"/>
    <col min="11" max="11" width="10.7109375" style="446" customWidth="1"/>
    <col min="12" max="12" width="2.7109375" style="382" customWidth="1"/>
    <col min="13" max="13" width="10.7109375" style="382" customWidth="1"/>
    <col min="14" max="14" width="2.7109375" style="382" customWidth="1"/>
    <col min="15" max="15" width="10.7109375" style="382" customWidth="1"/>
    <col min="16" max="16" width="0.85546875" style="382" customWidth="1"/>
    <col min="17" max="18" width="2.7109375" style="382" customWidth="1"/>
    <col min="19" max="16384" width="9.140625" style="382"/>
  </cols>
  <sheetData>
    <row r="1" spans="1:18" ht="12.75" x14ac:dyDescent="0.2">
      <c r="A1" s="2103"/>
      <c r="B1" s="2104"/>
      <c r="C1" s="2104"/>
      <c r="D1" s="381"/>
      <c r="E1" s="381"/>
      <c r="F1" s="381"/>
      <c r="G1" s="381"/>
      <c r="H1" s="381"/>
      <c r="I1" s="381"/>
      <c r="J1" s="381"/>
      <c r="K1" s="381"/>
      <c r="L1" s="381"/>
      <c r="M1" s="381"/>
      <c r="N1" s="381"/>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3"/>
      <c r="B5" s="384"/>
      <c r="C5" s="384"/>
      <c r="D5" s="384"/>
      <c r="E5" s="384"/>
      <c r="F5" s="384"/>
      <c r="G5" s="384"/>
      <c r="H5" s="384"/>
      <c r="I5" s="384"/>
      <c r="J5" s="384"/>
      <c r="K5" s="384"/>
      <c r="L5" s="384"/>
      <c r="M5" s="384"/>
      <c r="N5" s="384"/>
      <c r="O5" s="384"/>
      <c r="P5" s="384"/>
      <c r="Q5" s="385"/>
    </row>
    <row r="6" spans="1:18" ht="12.75" x14ac:dyDescent="0.2">
      <c r="A6" s="383"/>
      <c r="B6" s="384"/>
      <c r="C6" s="384"/>
      <c r="D6" s="384"/>
      <c r="E6" s="384"/>
      <c r="F6" s="384"/>
      <c r="G6" s="384"/>
      <c r="H6" s="384"/>
      <c r="I6" s="384"/>
      <c r="J6" s="384"/>
      <c r="K6" s="384"/>
      <c r="L6" s="384"/>
      <c r="M6" s="384"/>
      <c r="N6" s="384"/>
      <c r="O6" s="384"/>
      <c r="P6" s="384"/>
      <c r="Q6" s="385"/>
    </row>
    <row r="7" spans="1:18" ht="12.75" x14ac:dyDescent="0.2">
      <c r="A7" s="326"/>
      <c r="B7" s="326"/>
      <c r="C7" s="386" t="s">
        <v>1126</v>
      </c>
      <c r="D7" s="387" t="str">
        <f>COVER!A17</f>
        <v>El Paso-Gridley CUSD 11</v>
      </c>
      <c r="E7" s="388"/>
      <c r="G7" s="250"/>
      <c r="H7" s="384"/>
      <c r="I7" s="384"/>
      <c r="J7" s="384"/>
      <c r="K7" s="384"/>
      <c r="L7" s="326"/>
      <c r="M7" s="326"/>
      <c r="N7" s="326"/>
      <c r="O7" s="326"/>
      <c r="P7" s="326"/>
    </row>
    <row r="8" spans="1:18" ht="12.75" x14ac:dyDescent="0.2">
      <c r="A8" s="326"/>
      <c r="B8" s="326"/>
      <c r="C8" s="386" t="s">
        <v>1125</v>
      </c>
      <c r="D8" s="389">
        <f>COVER!A13</f>
        <v>53102011026</v>
      </c>
      <c r="E8" s="390"/>
      <c r="G8" s="326"/>
      <c r="H8" s="326"/>
      <c r="I8" s="326"/>
      <c r="J8" s="326"/>
      <c r="K8" s="326"/>
      <c r="L8" s="326"/>
      <c r="M8" s="326"/>
      <c r="N8" s="326"/>
      <c r="O8" s="326"/>
      <c r="P8" s="326"/>
    </row>
    <row r="9" spans="1:18" ht="12.75" x14ac:dyDescent="0.2">
      <c r="A9" s="326"/>
      <c r="B9" s="326"/>
      <c r="C9" s="386" t="s">
        <v>713</v>
      </c>
      <c r="D9" s="391" t="str">
        <f>COVER!A15</f>
        <v>Woodford</v>
      </c>
      <c r="E9" s="215"/>
      <c r="G9" s="215"/>
      <c r="H9" s="392"/>
      <c r="I9" s="215"/>
      <c r="J9" s="215"/>
      <c r="K9" s="392"/>
      <c r="L9" s="215"/>
      <c r="M9" s="215"/>
      <c r="N9" s="215"/>
      <c r="O9" s="215"/>
      <c r="P9" s="215"/>
    </row>
    <row r="10" spans="1:18" x14ac:dyDescent="0.2">
      <c r="A10" s="215"/>
      <c r="B10" s="393"/>
      <c r="C10" s="215"/>
      <c r="D10" s="215"/>
      <c r="E10" s="215"/>
      <c r="F10" s="215"/>
      <c r="G10" s="215"/>
      <c r="H10" s="392"/>
      <c r="I10" s="215"/>
      <c r="J10" s="215"/>
      <c r="K10" s="392"/>
      <c r="L10" s="215"/>
      <c r="M10" s="215"/>
      <c r="N10" s="215"/>
      <c r="O10" s="215"/>
      <c r="P10" s="215"/>
    </row>
    <row r="11" spans="1:18" ht="12.75" x14ac:dyDescent="0.2">
      <c r="A11" s="215"/>
      <c r="B11" s="394" t="s">
        <v>983</v>
      </c>
      <c r="C11" s="395" t="s">
        <v>1141</v>
      </c>
      <c r="D11" s="215"/>
      <c r="E11" s="215"/>
      <c r="F11" s="215"/>
      <c r="G11" s="215"/>
      <c r="H11" s="333" t="s">
        <v>156</v>
      </c>
      <c r="I11" s="333"/>
      <c r="J11" s="333"/>
      <c r="K11" s="396" t="s">
        <v>1142</v>
      </c>
      <c r="L11" s="333"/>
      <c r="M11" s="333" t="s">
        <v>1143</v>
      </c>
      <c r="N11" s="333"/>
      <c r="O11" s="397" t="str">
        <f>IF(K12&gt;0.24999,"4",IF(K12&gt;0.09999,"3",IF(K12&gt;=0,"2",1)))</f>
        <v>4</v>
      </c>
      <c r="P11" s="215"/>
      <c r="Q11" s="215"/>
    </row>
    <row r="12" spans="1:18" s="405" customFormat="1" ht="11.25" x14ac:dyDescent="0.2">
      <c r="A12" s="217"/>
      <c r="B12" s="398"/>
      <c r="C12" s="217" t="s">
        <v>1365</v>
      </c>
      <c r="D12" s="217"/>
      <c r="E12" s="217"/>
      <c r="F12" s="217" t="s">
        <v>1091</v>
      </c>
      <c r="G12" s="399"/>
      <c r="H12" s="400">
        <f>SUM('Acct Summary 7-8'!C81+'Acct Summary 7-8'!D81+'Acct Summary 7-8'!F81+'Acct Summary 7-8'!I81+IF('Acct Summary 7-8'!G81&lt;0,'Acct Summary 7-8'!G81,"0")+IF('Acct Summary 7-8'!J81&lt;0,'Acct Summary 7-8'!J81,"0"))</f>
        <v>3456229</v>
      </c>
      <c r="I12" s="401"/>
      <c r="J12" s="401"/>
      <c r="K12" s="402">
        <f>TRUNC((H12/H13*100000),5)/100000</f>
        <v>0.28948794509999998</v>
      </c>
      <c r="L12" s="403"/>
      <c r="M12" s="357" t="s">
        <v>1144</v>
      </c>
      <c r="N12" s="357"/>
      <c r="O12" s="404">
        <v>0.35</v>
      </c>
      <c r="P12" s="217"/>
      <c r="Q12" s="217"/>
    </row>
    <row r="13" spans="1:18" s="405" customFormat="1" ht="12.75" x14ac:dyDescent="0.2">
      <c r="A13" s="217"/>
      <c r="B13" s="398"/>
      <c r="C13" s="2105" t="s">
        <v>1324</v>
      </c>
      <c r="D13" s="2106"/>
      <c r="E13" s="217"/>
      <c r="F13" s="406" t="s">
        <v>793</v>
      </c>
      <c r="G13" s="399"/>
      <c r="H13" s="400">
        <f>SUM('Acct Summary 7-8'!C8+'Acct Summary 7-8'!D8+'Acct Summary 7-8'!F8+'Acct Summary 7-8'!I8)+H14</f>
        <v>11939112</v>
      </c>
      <c r="I13" s="401"/>
      <c r="J13" s="401"/>
      <c r="K13" s="407"/>
      <c r="L13" s="217"/>
      <c r="M13" s="357" t="s">
        <v>1145</v>
      </c>
      <c r="N13" s="357"/>
      <c r="O13" s="408">
        <f>(O11*O12)</f>
        <v>1.4</v>
      </c>
      <c r="P13" s="217"/>
      <c r="Q13" s="217"/>
      <c r="R13" s="409"/>
    </row>
    <row r="14" spans="1:18" s="405" customFormat="1" ht="12.75" x14ac:dyDescent="0.2">
      <c r="A14" s="217"/>
      <c r="B14" s="398"/>
      <c r="C14" s="239" t="s">
        <v>1397</v>
      </c>
      <c r="D14" s="410"/>
      <c r="E14" s="217"/>
      <c r="F14" s="406" t="s">
        <v>795</v>
      </c>
      <c r="G14" s="399"/>
      <c r="H14" s="400">
        <f>-SUM('Acct Summary 7-8'!C54:D56,'Acct Summary 7-8'!C58:D60,'Acct Summary 7-8'!C62:D64,'Acct Summary 7-8'!C66:D68,'Acct Summary 7-8'!C70:D72,'Acct Summary 7-8'!C74:D74)</f>
        <v>0</v>
      </c>
      <c r="I14" s="401"/>
      <c r="J14" s="401"/>
      <c r="K14" s="407"/>
      <c r="L14" s="217"/>
      <c r="M14" s="357"/>
      <c r="N14" s="357"/>
      <c r="O14" s="408"/>
      <c r="P14" s="217"/>
      <c r="Q14" s="217"/>
      <c r="R14" s="409"/>
    </row>
    <row r="15" spans="1:18" ht="11.45" customHeight="1" x14ac:dyDescent="0.2">
      <c r="A15" s="215"/>
      <c r="B15" s="393"/>
      <c r="C15" s="217" t="s">
        <v>1411</v>
      </c>
      <c r="D15" s="215"/>
      <c r="E15" s="215"/>
      <c r="F15" s="217"/>
      <c r="G15" s="411"/>
      <c r="H15" s="392"/>
      <c r="I15" s="215"/>
      <c r="J15" s="215"/>
      <c r="K15" s="392"/>
      <c r="L15" s="215"/>
      <c r="M15" s="412"/>
      <c r="N15" s="412"/>
      <c r="O15" s="215"/>
      <c r="P15" s="215"/>
      <c r="Q15" s="215"/>
      <c r="R15" s="381"/>
    </row>
    <row r="16" spans="1:18" ht="12.75" x14ac:dyDescent="0.2">
      <c r="A16" s="215"/>
      <c r="B16" s="394" t="s">
        <v>984</v>
      </c>
      <c r="C16" s="395" t="s">
        <v>1146</v>
      </c>
      <c r="D16" s="215"/>
      <c r="E16" s="215"/>
      <c r="F16" s="215"/>
      <c r="G16" s="215"/>
      <c r="H16" s="333" t="s">
        <v>156</v>
      </c>
      <c r="I16" s="333"/>
      <c r="J16" s="333"/>
      <c r="K16" s="396" t="s">
        <v>1142</v>
      </c>
      <c r="L16" s="333"/>
      <c r="M16" s="333" t="s">
        <v>1143</v>
      </c>
      <c r="N16" s="333"/>
      <c r="O16" s="397">
        <f>IF(K17&gt;1.2,"1",IF(K17&gt;1.1,"2",IF(K17&gt;1,"3",4)))</f>
        <v>4</v>
      </c>
      <c r="P16" s="215"/>
      <c r="R16" s="381"/>
    </row>
    <row r="17" spans="1:18" s="405" customFormat="1" ht="11.25" x14ac:dyDescent="0.2">
      <c r="A17" s="217"/>
      <c r="B17" s="398"/>
      <c r="C17" s="217" t="s">
        <v>797</v>
      </c>
      <c r="D17" s="217"/>
      <c r="E17" s="217"/>
      <c r="F17" s="217" t="s">
        <v>444</v>
      </c>
      <c r="G17" s="399"/>
      <c r="H17" s="400">
        <f>SUM('Acct Summary 7-8'!C17+'Acct Summary 7-8'!D17+'Acct Summary 7-8'!F17)</f>
        <v>11533534</v>
      </c>
      <c r="I17" s="401"/>
      <c r="J17" s="413"/>
      <c r="K17" s="402">
        <f>TRUNC((H17/H18*100000),5)/100000</f>
        <v>0.9660294667999999</v>
      </c>
      <c r="L17" s="403"/>
      <c r="M17" s="414" t="s">
        <v>1171</v>
      </c>
      <c r="O17" s="415" t="str">
        <f>IF(AND(O16="2", J20 &gt; 2),"1",IF(AND(O16 = "1", J20 &gt; 2),"2",IF(AND(O16="1", J20 &gt;1),"1","0")))</f>
        <v>0</v>
      </c>
      <c r="P17" s="217"/>
    </row>
    <row r="18" spans="1:18" s="405" customFormat="1" ht="11.25" x14ac:dyDescent="0.2">
      <c r="A18" s="217"/>
      <c r="B18" s="398"/>
      <c r="C18" s="2105" t="s">
        <v>1317</v>
      </c>
      <c r="D18" s="2106"/>
      <c r="E18" s="217"/>
      <c r="F18" s="416" t="s">
        <v>794</v>
      </c>
      <c r="G18" s="399"/>
      <c r="H18" s="400">
        <f>SUM('Acct Summary 7-8'!C8+'Acct Summary 7-8'!D8+'Acct Summary 7-8'!F8+'Acct Summary 7-8'!I8)+H19</f>
        <v>11939112</v>
      </c>
      <c r="I18" s="401"/>
      <c r="J18" s="401"/>
      <c r="K18" s="407"/>
      <c r="L18" s="217"/>
      <c r="M18" s="357" t="s">
        <v>1144</v>
      </c>
      <c r="N18" s="357"/>
      <c r="O18" s="407">
        <v>0.35</v>
      </c>
      <c r="P18" s="217"/>
    </row>
    <row r="19" spans="1:18" s="405" customFormat="1" ht="11.25" x14ac:dyDescent="0.2">
      <c r="A19" s="217"/>
      <c r="B19" s="398"/>
      <c r="C19" s="239" t="s">
        <v>1397</v>
      </c>
      <c r="D19" s="410"/>
      <c r="E19" s="217"/>
      <c r="F19" s="416" t="s">
        <v>795</v>
      </c>
      <c r="G19" s="399"/>
      <c r="H19" s="400">
        <f>-SUM('Acct Summary 7-8'!C54:D56,'Acct Summary 7-8'!C58:D60,'Acct Summary 7-8'!C62:D64,'Acct Summary 7-8'!C66:D68,'Acct Summary 7-8'!C70:D72,'Acct Summary 7-8'!C74:D74)</f>
        <v>0</v>
      </c>
      <c r="I19" s="401"/>
      <c r="J19" s="401"/>
      <c r="K19" s="407"/>
      <c r="L19" s="217"/>
      <c r="M19" s="357"/>
      <c r="N19" s="357"/>
      <c r="O19" s="407"/>
      <c r="P19" s="217"/>
    </row>
    <row r="20" spans="1:18" s="405" customFormat="1" ht="12.75" x14ac:dyDescent="0.2">
      <c r="A20" s="217"/>
      <c r="B20" s="398"/>
      <c r="C20" s="217" t="s">
        <v>1411</v>
      </c>
      <c r="D20" s="217"/>
      <c r="E20" s="217"/>
      <c r="F20" s="217"/>
      <c r="G20" s="399"/>
      <c r="H20" s="417"/>
      <c r="I20" s="401"/>
      <c r="J20" s="418" t="str">
        <f>IF(K17&lt;=1,"0",TRUNC(((K12-0.1)/(K17-1)*100),5)/100)</f>
        <v>0</v>
      </c>
      <c r="K20" s="402" t="str">
        <f>IF(K17&lt;=1,"0",IF(AND(O16="2", J20 &gt; 2),TRUNC(((K12-0.1)/(K17-1)*100),5)/100,IF(AND(O16 = "1", J20 &gt; 2),TRUNC(((K12-0.1)/(K17-1)*100),5)/100,IF(AND(O16="1", J20 &gt;1),TRUNC(((K12-0.1)/(K17-1)*100),5)/100,""))))</f>
        <v>0</v>
      </c>
      <c r="L20" s="217"/>
      <c r="M20" s="357" t="s">
        <v>1145</v>
      </c>
      <c r="N20" s="357"/>
      <c r="O20" s="408">
        <f>(O16+O17)*O18</f>
        <v>1.4</v>
      </c>
      <c r="P20" s="217"/>
      <c r="R20" s="409"/>
    </row>
    <row r="21" spans="1:18" ht="11.45" customHeight="1" x14ac:dyDescent="0.2">
      <c r="A21" s="215"/>
      <c r="B21" s="393"/>
      <c r="C21" s="217" t="s">
        <v>475</v>
      </c>
      <c r="D21" s="215"/>
      <c r="E21" s="215"/>
      <c r="F21" s="215"/>
      <c r="G21" s="411"/>
      <c r="H21" s="392"/>
      <c r="I21" s="215"/>
      <c r="J21" s="215"/>
      <c r="K21" s="392"/>
      <c r="L21" s="215"/>
      <c r="M21" s="412"/>
      <c r="N21" s="412"/>
      <c r="O21" s="215"/>
      <c r="P21" s="215"/>
      <c r="R21" s="381"/>
    </row>
    <row r="22" spans="1:18" ht="11.45" customHeight="1" x14ac:dyDescent="0.2">
      <c r="A22" s="215"/>
      <c r="B22" s="393"/>
      <c r="C22" s="217"/>
      <c r="D22" s="215"/>
      <c r="E22" s="215"/>
      <c r="F22" s="215"/>
      <c r="G22" s="411"/>
      <c r="H22" s="392"/>
      <c r="I22" s="215"/>
      <c r="J22" s="215"/>
      <c r="K22" s="392"/>
      <c r="L22" s="215"/>
      <c r="M22" s="412"/>
      <c r="N22" s="412"/>
      <c r="O22" s="215"/>
      <c r="P22" s="215"/>
      <c r="R22" s="381"/>
    </row>
    <row r="23" spans="1:18" ht="12.75" x14ac:dyDescent="0.2">
      <c r="A23" s="215"/>
      <c r="B23" s="394" t="s">
        <v>606</v>
      </c>
      <c r="C23" s="395" t="s">
        <v>1147</v>
      </c>
      <c r="D23" s="215"/>
      <c r="E23" s="215"/>
      <c r="F23" s="215"/>
      <c r="G23" s="215"/>
      <c r="H23" s="333" t="s">
        <v>156</v>
      </c>
      <c r="I23" s="333"/>
      <c r="J23" s="333"/>
      <c r="K23" s="396" t="s">
        <v>1148</v>
      </c>
      <c r="L23" s="333"/>
      <c r="M23" s="333" t="s">
        <v>1143</v>
      </c>
      <c r="N23" s="333"/>
      <c r="O23" s="397" t="str">
        <f>IF(K24&gt;=180,"4",IF(K24&gt;=90,"3",IF(K24&gt;=30,"2",1)))</f>
        <v>3</v>
      </c>
      <c r="P23" s="215"/>
      <c r="R23" s="381"/>
    </row>
    <row r="24" spans="1:18" s="405" customFormat="1" ht="11.25" x14ac:dyDescent="0.2">
      <c r="A24" s="217"/>
      <c r="B24" s="398"/>
      <c r="C24" s="2102" t="s">
        <v>1412</v>
      </c>
      <c r="D24" s="2102"/>
      <c r="E24" s="217"/>
      <c r="F24" s="217" t="s">
        <v>445</v>
      </c>
      <c r="G24" s="399"/>
      <c r="H24" s="400">
        <f>SUM('Assets-Liab 5-6'!C4+'Assets-Liab 5-6'!D4+'Assets-Liab 5-6'!F4+'Assets-Liab 5-6'!I4+'Assets-Liab 5-6'!C5+'Assets-Liab 5-6'!D5+'Assets-Liab 5-6'!F5+'Assets-Liab 5-6'!I5)</f>
        <v>3456229</v>
      </c>
      <c r="I24" s="419"/>
      <c r="J24" s="419"/>
      <c r="K24" s="420">
        <f>TRUNC(((H24/H25*100000)/100000),2)</f>
        <v>107.88</v>
      </c>
      <c r="L24" s="421"/>
      <c r="M24" s="357" t="s">
        <v>1144</v>
      </c>
      <c r="N24" s="357"/>
      <c r="O24" s="408">
        <v>0.1</v>
      </c>
      <c r="P24" s="217"/>
    </row>
    <row r="25" spans="1:18" s="405" customFormat="1" ht="12.75" x14ac:dyDescent="0.2">
      <c r="A25" s="217"/>
      <c r="B25" s="398"/>
      <c r="C25" s="217" t="s">
        <v>798</v>
      </c>
      <c r="D25" s="217"/>
      <c r="E25" s="217"/>
      <c r="F25" s="217" t="s">
        <v>446</v>
      </c>
      <c r="G25" s="399"/>
      <c r="H25" s="420">
        <f>ROUND((H17/360),5)</f>
        <v>32037.594440000001</v>
      </c>
      <c r="I25" s="422"/>
      <c r="J25" s="422"/>
      <c r="K25" s="407"/>
      <c r="L25" s="217"/>
      <c r="M25" s="357" t="s">
        <v>1145</v>
      </c>
      <c r="N25" s="357"/>
      <c r="O25" s="408">
        <f>O23*O24</f>
        <v>0.30000000000000004</v>
      </c>
      <c r="P25" s="217"/>
      <c r="R25" s="409"/>
    </row>
    <row r="26" spans="1:18" ht="12.2" customHeight="1" x14ac:dyDescent="0.2">
      <c r="A26" s="215"/>
      <c r="B26" s="393"/>
      <c r="C26" s="215"/>
      <c r="D26" s="215"/>
      <c r="E26" s="215"/>
      <c r="F26" s="215"/>
      <c r="G26" s="215"/>
      <c r="H26" s="392"/>
      <c r="I26" s="215"/>
      <c r="J26" s="215"/>
      <c r="K26" s="392"/>
      <c r="L26" s="215"/>
      <c r="M26" s="412"/>
      <c r="N26" s="412"/>
      <c r="O26" s="215"/>
      <c r="P26" s="215"/>
    </row>
    <row r="27" spans="1:18" ht="12.75" x14ac:dyDescent="0.2">
      <c r="A27" s="215"/>
      <c r="B27" s="394" t="s">
        <v>490</v>
      </c>
      <c r="C27" s="395"/>
      <c r="D27" s="215"/>
      <c r="E27" s="215"/>
      <c r="F27" s="215"/>
      <c r="G27" s="215"/>
      <c r="H27" s="333" t="s">
        <v>156</v>
      </c>
      <c r="I27" s="333"/>
      <c r="J27" s="333"/>
      <c r="K27" s="396" t="s">
        <v>491</v>
      </c>
      <c r="L27" s="333"/>
      <c r="M27" s="333" t="s">
        <v>1143</v>
      </c>
      <c r="N27" s="333"/>
      <c r="O27" s="423" t="str">
        <f>IF(K28&gt;=75,"4",IF(K28&gt;=50,"3",IF(K28&gt;=25,"2",1)))</f>
        <v>4</v>
      </c>
      <c r="P27" s="215"/>
    </row>
    <row r="28" spans="1:18" s="405" customFormat="1" ht="11.25" x14ac:dyDescent="0.2">
      <c r="A28" s="217"/>
      <c r="B28" s="398"/>
      <c r="C28" s="217" t="s">
        <v>1915</v>
      </c>
      <c r="D28" s="217"/>
      <c r="E28" s="217"/>
      <c r="F28" s="217" t="s">
        <v>444</v>
      </c>
      <c r="G28" s="399"/>
      <c r="H28" s="424">
        <f>SUM('Short-Term Long-Term Debt 24'!F6,'Short-Term Long-Term Debt 24'!F7,'Short-Term Long-Term Debt 24'!F11)</f>
        <v>0</v>
      </c>
      <c r="I28" s="425"/>
      <c r="J28" s="425"/>
      <c r="K28" s="420">
        <f>TRUNC(100-((((H28/H29*100))*100)/100),2)</f>
        <v>100</v>
      </c>
      <c r="L28" s="426"/>
      <c r="M28" s="357" t="s">
        <v>1144</v>
      </c>
      <c r="N28" s="357"/>
      <c r="O28" s="427">
        <v>0.1</v>
      </c>
      <c r="P28" s="217"/>
    </row>
    <row r="29" spans="1:18" s="405" customFormat="1" ht="11.25" x14ac:dyDescent="0.2">
      <c r="A29" s="217"/>
      <c r="B29" s="398"/>
      <c r="C29" s="217" t="s">
        <v>796</v>
      </c>
      <c r="D29" s="217"/>
      <c r="E29" s="217"/>
      <c r="F29" s="217" t="s">
        <v>800</v>
      </c>
      <c r="G29" s="399"/>
      <c r="H29" s="428">
        <f>ROUND((0.85*'FP Info 3'!J7*'FP Info 3'!J10),5)</f>
        <v>6178092.4254999999</v>
      </c>
      <c r="I29" s="425"/>
      <c r="J29" s="425"/>
      <c r="K29" s="407"/>
      <c r="L29" s="217"/>
      <c r="M29" s="357" t="s">
        <v>1145</v>
      </c>
      <c r="N29" s="357"/>
      <c r="O29" s="408">
        <f>O27*O28</f>
        <v>0.4</v>
      </c>
      <c r="P29" s="217"/>
    </row>
    <row r="30" spans="1:18" s="405" customFormat="1" ht="11.25" x14ac:dyDescent="0.2">
      <c r="A30" s="217"/>
      <c r="B30" s="398"/>
      <c r="C30" s="217"/>
      <c r="D30" s="217"/>
      <c r="E30" s="217"/>
      <c r="F30" s="429"/>
      <c r="G30" s="399"/>
      <c r="H30" s="407"/>
      <c r="I30" s="407"/>
      <c r="J30" s="407"/>
      <c r="K30" s="407"/>
      <c r="L30" s="217"/>
      <c r="M30" s="430"/>
      <c r="N30" s="430"/>
      <c r="O30" s="407"/>
      <c r="P30" s="217"/>
    </row>
    <row r="31" spans="1:18" ht="12.75" x14ac:dyDescent="0.2">
      <c r="A31" s="215"/>
      <c r="B31" s="394" t="s">
        <v>562</v>
      </c>
      <c r="C31" s="395"/>
      <c r="D31" s="215"/>
      <c r="E31" s="215"/>
      <c r="F31" s="215"/>
      <c r="G31" s="411"/>
      <c r="H31" s="333" t="s">
        <v>156</v>
      </c>
      <c r="I31" s="333"/>
      <c r="J31" s="333"/>
      <c r="K31" s="396" t="s">
        <v>491</v>
      </c>
      <c r="L31" s="333"/>
      <c r="M31" s="333" t="s">
        <v>1143</v>
      </c>
      <c r="N31" s="333"/>
      <c r="O31" s="397" t="str">
        <f>IF(K32&gt;=75,"4",IF(K32&gt;=50,"3",IF(K32&gt;=25,"2",1)))</f>
        <v>4</v>
      </c>
      <c r="P31" s="215"/>
    </row>
    <row r="32" spans="1:18" s="405" customFormat="1" ht="11.25" x14ac:dyDescent="0.2">
      <c r="A32" s="217"/>
      <c r="B32" s="398"/>
      <c r="C32" s="217" t="s">
        <v>847</v>
      </c>
      <c r="D32" s="217"/>
      <c r="E32" s="217"/>
      <c r="F32" s="217"/>
      <c r="G32" s="399"/>
      <c r="H32" s="400">
        <f>'FP Info 3'!H37</f>
        <v>3855000</v>
      </c>
      <c r="I32" s="417"/>
      <c r="J32" s="417"/>
      <c r="K32" s="420">
        <f>TRUNC(100-((((H32/H33*100))*100)/100),2)</f>
        <v>84.05</v>
      </c>
      <c r="L32" s="403"/>
      <c r="M32" s="357" t="s">
        <v>1144</v>
      </c>
      <c r="N32" s="357"/>
      <c r="O32" s="431">
        <v>0.1</v>
      </c>
    </row>
    <row r="33" spans="1:17" s="405" customFormat="1" ht="11.25" x14ac:dyDescent="0.2">
      <c r="A33" s="217"/>
      <c r="B33" s="398"/>
      <c r="C33" s="217" t="s">
        <v>799</v>
      </c>
      <c r="D33" s="217"/>
      <c r="E33" s="217"/>
      <c r="F33" s="217"/>
      <c r="G33" s="399"/>
      <c r="H33" s="400">
        <f>IF('FP Info 3'!H31="Enter X in a or b"," ",'FP Info 3'!H31)</f>
        <v>24169433.160000004</v>
      </c>
      <c r="I33" s="417"/>
      <c r="J33" s="417"/>
      <c r="K33" s="400"/>
      <c r="L33" s="217"/>
      <c r="M33" s="432" t="s">
        <v>1145</v>
      </c>
      <c r="N33" s="432"/>
      <c r="O33" s="431">
        <f>(O31*O32)</f>
        <v>0.4</v>
      </c>
    </row>
    <row r="34" spans="1:17" ht="12.2" customHeight="1" x14ac:dyDescent="0.2">
      <c r="A34" s="215"/>
      <c r="B34" s="393"/>
      <c r="C34" s="215"/>
      <c r="D34" s="215"/>
      <c r="E34" s="215"/>
      <c r="F34" s="215"/>
      <c r="G34" s="215"/>
      <c r="H34" s="392"/>
      <c r="I34" s="215"/>
      <c r="J34" s="215"/>
      <c r="K34" s="392"/>
      <c r="L34" s="215"/>
      <c r="M34" s="412"/>
      <c r="N34" s="412"/>
      <c r="O34" s="392"/>
    </row>
    <row r="35" spans="1:17" ht="14.25" customHeight="1" x14ac:dyDescent="0.25">
      <c r="A35" s="215"/>
      <c r="B35" s="393"/>
      <c r="C35" s="215"/>
      <c r="D35" s="215"/>
      <c r="E35" s="215"/>
      <c r="F35" s="215"/>
      <c r="G35" s="215"/>
      <c r="H35" s="433"/>
      <c r="I35" s="411"/>
      <c r="J35" s="411"/>
      <c r="K35" s="215"/>
      <c r="L35" s="434"/>
      <c r="M35" s="435" t="s">
        <v>295</v>
      </c>
      <c r="N35" s="411"/>
      <c r="O35" s="436">
        <f>(O13+O20+O25+O29+O33)</f>
        <v>3.8999999999999995</v>
      </c>
      <c r="P35" s="437" t="s">
        <v>196</v>
      </c>
    </row>
    <row r="36" spans="1:17" x14ac:dyDescent="0.2">
      <c r="A36" s="215"/>
      <c r="B36" s="393"/>
      <c r="C36" s="215"/>
      <c r="D36" s="215"/>
      <c r="E36" s="215"/>
      <c r="F36" s="215"/>
      <c r="G36" s="215"/>
      <c r="H36" s="433"/>
      <c r="I36" s="411"/>
      <c r="J36" s="411"/>
      <c r="K36" s="433"/>
      <c r="L36" s="411"/>
      <c r="M36" s="438"/>
      <c r="N36" s="438"/>
      <c r="O36" s="411"/>
    </row>
    <row r="37" spans="1:17" ht="12.75" x14ac:dyDescent="0.2">
      <c r="A37" s="215"/>
      <c r="B37" s="393"/>
      <c r="C37" s="215"/>
      <c r="D37" s="215"/>
      <c r="E37" s="215"/>
      <c r="F37" s="215"/>
      <c r="G37" s="215"/>
      <c r="H37" s="215"/>
      <c r="I37" s="411"/>
      <c r="J37" s="411"/>
      <c r="K37" s="433"/>
      <c r="L37" s="411"/>
      <c r="M37" s="435" t="s">
        <v>1970</v>
      </c>
      <c r="N37" s="411"/>
      <c r="O37" s="439" t="str">
        <f>IF(O35&gt;3.53,"RECOGNITION",IF(O35&gt;3.07,"REVIEW ",IF(O35&gt;2.61,"WARNING","WATCH")))</f>
        <v>RECOGNITION</v>
      </c>
    </row>
    <row r="38" spans="1:17" ht="16.5" customHeight="1" x14ac:dyDescent="0.2">
      <c r="A38" s="215"/>
      <c r="B38" s="393"/>
      <c r="C38" s="215"/>
      <c r="D38" s="215"/>
      <c r="E38" s="215"/>
      <c r="F38" s="215"/>
      <c r="G38" s="215"/>
      <c r="H38" s="392"/>
      <c r="I38" s="215"/>
      <c r="J38" s="215"/>
      <c r="K38" s="392"/>
      <c r="L38" s="215"/>
      <c r="M38" s="215"/>
      <c r="N38" s="215"/>
      <c r="O38" s="215"/>
      <c r="P38" s="215"/>
    </row>
    <row r="39" spans="1:17" ht="15.75" x14ac:dyDescent="0.2">
      <c r="A39" s="215"/>
      <c r="B39" s="393"/>
      <c r="C39" s="215"/>
      <c r="D39" s="215"/>
      <c r="E39" s="215"/>
      <c r="F39" s="440" t="s">
        <v>196</v>
      </c>
      <c r="H39" s="441" t="s">
        <v>1050</v>
      </c>
      <c r="I39" s="405"/>
      <c r="J39" s="405"/>
      <c r="K39" s="407"/>
      <c r="L39" s="405"/>
      <c r="M39" s="405"/>
      <c r="N39" s="405"/>
      <c r="O39" s="217"/>
      <c r="P39" s="215"/>
      <c r="Q39" s="215"/>
    </row>
    <row r="40" spans="1:17" x14ac:dyDescent="0.2">
      <c r="A40" s="215"/>
      <c r="B40" s="393"/>
      <c r="C40" s="215"/>
      <c r="D40" s="215"/>
      <c r="E40" s="215"/>
      <c r="F40" s="215"/>
      <c r="G40" s="442"/>
      <c r="H40" s="443" t="s">
        <v>1506</v>
      </c>
      <c r="I40" s="405"/>
      <c r="J40" s="405"/>
      <c r="K40" s="407"/>
      <c r="L40" s="405"/>
      <c r="M40" s="405"/>
      <c r="N40" s="405"/>
      <c r="O40" s="217"/>
      <c r="P40" s="215"/>
      <c r="Q40" s="215"/>
    </row>
    <row r="41" spans="1:17" x14ac:dyDescent="0.2">
      <c r="G41" s="445"/>
      <c r="H41" s="217" t="s">
        <v>1507</v>
      </c>
      <c r="M41" s="215"/>
      <c r="O41" s="215"/>
      <c r="P41" s="215"/>
      <c r="Q41" s="215"/>
    </row>
    <row r="42" spans="1:17" x14ac:dyDescent="0.2">
      <c r="A42" s="382" t="s">
        <v>1508</v>
      </c>
      <c r="G42" s="445"/>
      <c r="H42" s="217"/>
      <c r="M42" s="215"/>
      <c r="O42" s="215"/>
      <c r="P42" s="215"/>
      <c r="Q42" s="215"/>
    </row>
    <row r="43" spans="1:17" x14ac:dyDescent="0.2">
      <c r="G43" s="445"/>
      <c r="H43" s="447"/>
      <c r="L43" s="215"/>
      <c r="M43" s="405"/>
    </row>
    <row r="44" spans="1:17" ht="15.75" x14ac:dyDescent="0.2">
      <c r="F44" s="448"/>
      <c r="H44" s="443"/>
      <c r="L44" s="215"/>
      <c r="M44" s="405"/>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4" activePane="bottomLeft" state="frozen"/>
      <selection pane="bottomLeft" activeCell="H40" sqref="H40"/>
    </sheetView>
  </sheetViews>
  <sheetFormatPr defaultColWidth="9.140625" defaultRowHeight="12.75" x14ac:dyDescent="0.2"/>
  <cols>
    <col min="1" max="1" width="47.28515625" style="498" customWidth="1"/>
    <col min="2" max="2" width="4.5703125" style="499" customWidth="1"/>
    <col min="3" max="14" width="13.7109375" style="454" customWidth="1"/>
    <col min="15" max="16384" width="9.140625" style="454"/>
  </cols>
  <sheetData>
    <row r="1" spans="1:14" x14ac:dyDescent="0.2">
      <c r="A1" s="2110" t="s">
        <v>1494</v>
      </c>
      <c r="B1" s="449"/>
      <c r="C1" s="450" t="s">
        <v>425</v>
      </c>
      <c r="D1" s="450" t="s">
        <v>426</v>
      </c>
      <c r="E1" s="450" t="s">
        <v>427</v>
      </c>
      <c r="F1" s="450" t="s">
        <v>428</v>
      </c>
      <c r="G1" s="450" t="s">
        <v>429</v>
      </c>
      <c r="H1" s="450" t="s">
        <v>430</v>
      </c>
      <c r="I1" s="450" t="s">
        <v>431</v>
      </c>
      <c r="J1" s="450" t="s">
        <v>432</v>
      </c>
      <c r="K1" s="450" t="s">
        <v>756</v>
      </c>
      <c r="L1" s="451"/>
      <c r="M1" s="452" t="s">
        <v>571</v>
      </c>
      <c r="N1" s="453"/>
    </row>
    <row r="2" spans="1:14" s="344" customFormat="1" ht="33.75" x14ac:dyDescent="0.2">
      <c r="A2" s="2111"/>
      <c r="B2" s="455" t="s">
        <v>891</v>
      </c>
      <c r="C2" s="456" t="s">
        <v>1155</v>
      </c>
      <c r="D2" s="456" t="s">
        <v>870</v>
      </c>
      <c r="E2" s="456" t="s">
        <v>438</v>
      </c>
      <c r="F2" s="456" t="s">
        <v>155</v>
      </c>
      <c r="G2" s="456" t="s">
        <v>950</v>
      </c>
      <c r="H2" s="456" t="s">
        <v>437</v>
      </c>
      <c r="I2" s="456" t="s">
        <v>407</v>
      </c>
      <c r="J2" s="456" t="s">
        <v>436</v>
      </c>
      <c r="K2" s="456" t="s">
        <v>157</v>
      </c>
      <c r="L2" s="457" t="s">
        <v>534</v>
      </c>
      <c r="M2" s="458" t="s">
        <v>585</v>
      </c>
      <c r="N2" s="459" t="s">
        <v>535</v>
      </c>
    </row>
    <row r="3" spans="1:14" s="344" customFormat="1" ht="18" customHeight="1" x14ac:dyDescent="0.2">
      <c r="A3" s="2112" t="s">
        <v>973</v>
      </c>
      <c r="B3" s="2113"/>
      <c r="C3" s="1556"/>
      <c r="D3" s="1557"/>
      <c r="E3" s="1557"/>
      <c r="F3" s="1557"/>
      <c r="G3" s="1557"/>
      <c r="H3" s="1557"/>
      <c r="I3" s="1557"/>
      <c r="J3" s="1557"/>
      <c r="K3" s="1557"/>
      <c r="L3" s="1557"/>
      <c r="M3" s="1558"/>
      <c r="N3" s="1559"/>
    </row>
    <row r="4" spans="1:14" ht="13.5" customHeight="1" x14ac:dyDescent="0.2">
      <c r="A4" s="460" t="s">
        <v>1637</v>
      </c>
      <c r="B4" s="461"/>
      <c r="C4" s="462">
        <f>200+20000+14092476-14220236-115266+709354</f>
        <v>486528</v>
      </c>
      <c r="D4" s="463">
        <v>28162</v>
      </c>
      <c r="E4" s="463">
        <v>3040</v>
      </c>
      <c r="F4" s="463">
        <v>14743</v>
      </c>
      <c r="G4" s="463">
        <f>110355-43163</f>
        <v>67192</v>
      </c>
      <c r="H4" s="463">
        <v>36600</v>
      </c>
      <c r="I4" s="463">
        <v>27309</v>
      </c>
      <c r="J4" s="464">
        <v>33053</v>
      </c>
      <c r="K4" s="463">
        <v>22531</v>
      </c>
      <c r="L4" s="463">
        <f>188633+47238</f>
        <v>235871</v>
      </c>
      <c r="M4" s="465"/>
      <c r="N4" s="466"/>
    </row>
    <row r="5" spans="1:14" x14ac:dyDescent="0.2">
      <c r="A5" s="460" t="s">
        <v>992</v>
      </c>
      <c r="B5" s="467">
        <v>120</v>
      </c>
      <c r="C5" s="462">
        <f>157043+42445</f>
        <v>199488</v>
      </c>
      <c r="D5" s="463">
        <v>1021756</v>
      </c>
      <c r="E5" s="463">
        <v>394177</v>
      </c>
      <c r="F5" s="463">
        <v>434480</v>
      </c>
      <c r="G5" s="463">
        <v>546037</v>
      </c>
      <c r="H5" s="463">
        <v>240000</v>
      </c>
      <c r="I5" s="463">
        <v>1243763</v>
      </c>
      <c r="J5" s="464">
        <v>317695</v>
      </c>
      <c r="K5" s="468">
        <v>245459</v>
      </c>
      <c r="L5" s="469"/>
      <c r="M5" s="465"/>
      <c r="N5" s="466"/>
    </row>
    <row r="6" spans="1:14" ht="13.5" customHeight="1" x14ac:dyDescent="0.2">
      <c r="A6" s="470" t="s">
        <v>417</v>
      </c>
      <c r="B6" s="467">
        <v>130</v>
      </c>
      <c r="C6" s="462"/>
      <c r="D6" s="463"/>
      <c r="E6" s="463"/>
      <c r="F6" s="463"/>
      <c r="G6" s="468"/>
      <c r="H6" s="468"/>
      <c r="I6" s="463"/>
      <c r="J6" s="471"/>
      <c r="K6" s="468"/>
      <c r="L6" s="472"/>
      <c r="M6" s="465"/>
      <c r="N6" s="466"/>
    </row>
    <row r="7" spans="1:14" ht="13.5" customHeight="1" x14ac:dyDescent="0.2">
      <c r="A7" s="470" t="s">
        <v>418</v>
      </c>
      <c r="B7" s="467">
        <v>140</v>
      </c>
      <c r="C7" s="473"/>
      <c r="D7" s="464"/>
      <c r="E7" s="464"/>
      <c r="F7" s="464"/>
      <c r="G7" s="464"/>
      <c r="H7" s="464"/>
      <c r="I7" s="464"/>
      <c r="J7" s="464"/>
      <c r="K7" s="464"/>
      <c r="L7" s="474"/>
      <c r="M7" s="465"/>
      <c r="N7" s="466"/>
    </row>
    <row r="8" spans="1:14" ht="13.5" customHeight="1" x14ac:dyDescent="0.2">
      <c r="A8" s="470" t="s">
        <v>269</v>
      </c>
      <c r="B8" s="467">
        <v>150</v>
      </c>
      <c r="C8" s="473"/>
      <c r="D8" s="464"/>
      <c r="E8" s="464"/>
      <c r="F8" s="464"/>
      <c r="G8" s="475"/>
      <c r="H8" s="464"/>
      <c r="I8" s="471"/>
      <c r="J8" s="471"/>
      <c r="K8" s="476"/>
      <c r="L8" s="477"/>
      <c r="M8" s="465"/>
      <c r="N8" s="466"/>
    </row>
    <row r="9" spans="1:14" ht="13.5" customHeight="1" x14ac:dyDescent="0.2">
      <c r="A9" s="470" t="s">
        <v>270</v>
      </c>
      <c r="B9" s="467">
        <v>160</v>
      </c>
      <c r="C9" s="473"/>
      <c r="D9" s="464"/>
      <c r="E9" s="464"/>
      <c r="F9" s="464"/>
      <c r="G9" s="464"/>
      <c r="H9" s="475"/>
      <c r="I9" s="464"/>
      <c r="J9" s="464"/>
      <c r="K9" s="464"/>
      <c r="L9" s="464"/>
      <c r="M9" s="465"/>
      <c r="N9" s="466"/>
    </row>
    <row r="10" spans="1:14" ht="13.5" customHeight="1" x14ac:dyDescent="0.2">
      <c r="A10" s="470" t="s">
        <v>991</v>
      </c>
      <c r="B10" s="467">
        <v>170</v>
      </c>
      <c r="C10" s="462"/>
      <c r="D10" s="463"/>
      <c r="E10" s="464"/>
      <c r="F10" s="463"/>
      <c r="G10" s="475"/>
      <c r="H10" s="478"/>
      <c r="I10" s="464"/>
      <c r="J10" s="464"/>
      <c r="K10" s="478"/>
      <c r="L10" s="478"/>
      <c r="M10" s="466"/>
      <c r="N10" s="466"/>
    </row>
    <row r="11" spans="1:14" ht="13.5" customHeight="1" x14ac:dyDescent="0.2">
      <c r="A11" s="470" t="s">
        <v>271</v>
      </c>
      <c r="B11" s="467">
        <v>180</v>
      </c>
      <c r="C11" s="473"/>
      <c r="D11" s="464"/>
      <c r="E11" s="464"/>
      <c r="F11" s="464"/>
      <c r="G11" s="464"/>
      <c r="H11" s="464"/>
      <c r="I11" s="475"/>
      <c r="J11" s="475"/>
      <c r="K11" s="464"/>
      <c r="L11" s="464"/>
      <c r="M11" s="466"/>
      <c r="N11" s="466"/>
    </row>
    <row r="12" spans="1:14" ht="13.5" customHeight="1" x14ac:dyDescent="0.2">
      <c r="A12" s="470" t="s">
        <v>419</v>
      </c>
      <c r="B12" s="467">
        <v>190</v>
      </c>
      <c r="C12" s="462"/>
      <c r="D12" s="463"/>
      <c r="E12" s="463"/>
      <c r="F12" s="463"/>
      <c r="G12" s="463"/>
      <c r="H12" s="463"/>
      <c r="I12" s="463"/>
      <c r="J12" s="464"/>
      <c r="K12" s="463"/>
      <c r="L12" s="463"/>
      <c r="M12" s="466"/>
      <c r="N12" s="466"/>
    </row>
    <row r="13" spans="1:14" ht="13.5" customHeight="1" thickBot="1" x14ac:dyDescent="0.25">
      <c r="A13" s="1733" t="s">
        <v>644</v>
      </c>
      <c r="B13" s="1706"/>
      <c r="C13" s="1734">
        <f>SUM(C4:C12)</f>
        <v>686016</v>
      </c>
      <c r="D13" s="1734">
        <f t="shared" ref="D13:L13" si="0">SUM(D4:D12)</f>
        <v>1049918</v>
      </c>
      <c r="E13" s="1734">
        <f t="shared" si="0"/>
        <v>397217</v>
      </c>
      <c r="F13" s="1734">
        <f t="shared" si="0"/>
        <v>449223</v>
      </c>
      <c r="G13" s="1734">
        <f t="shared" si="0"/>
        <v>613229</v>
      </c>
      <c r="H13" s="1734">
        <f t="shared" si="0"/>
        <v>276600</v>
      </c>
      <c r="I13" s="1734">
        <f t="shared" si="0"/>
        <v>1271072</v>
      </c>
      <c r="J13" s="1734">
        <f t="shared" si="0"/>
        <v>350748</v>
      </c>
      <c r="K13" s="1734">
        <f t="shared" si="0"/>
        <v>267990</v>
      </c>
      <c r="L13" s="1734">
        <f t="shared" si="0"/>
        <v>235871</v>
      </c>
      <c r="M13" s="465"/>
      <c r="N13" s="466"/>
    </row>
    <row r="14" spans="1:14" ht="18" customHeight="1" thickTop="1" x14ac:dyDescent="0.2">
      <c r="A14" s="2114" t="s">
        <v>147</v>
      </c>
      <c r="B14" s="2115"/>
      <c r="C14" s="1560"/>
      <c r="D14" s="1561"/>
      <c r="E14" s="1561"/>
      <c r="F14" s="1561"/>
      <c r="G14" s="1561"/>
      <c r="H14" s="1561"/>
      <c r="I14" s="1561"/>
      <c r="J14" s="1561"/>
      <c r="K14" s="1561"/>
      <c r="L14" s="1561"/>
      <c r="M14" s="1562"/>
      <c r="N14" s="1563"/>
    </row>
    <row r="15" spans="1:14" s="482" customFormat="1" ht="12.75" customHeight="1" x14ac:dyDescent="0.2">
      <c r="A15" s="479" t="s">
        <v>1401</v>
      </c>
      <c r="B15" s="480">
        <v>210</v>
      </c>
      <c r="C15" s="474"/>
      <c r="D15" s="474"/>
      <c r="E15" s="474"/>
      <c r="F15" s="474"/>
      <c r="G15" s="474"/>
      <c r="H15" s="474"/>
      <c r="I15" s="474"/>
      <c r="J15" s="474"/>
      <c r="K15" s="474"/>
      <c r="L15" s="474"/>
      <c r="M15" s="475"/>
      <c r="N15" s="481"/>
    </row>
    <row r="16" spans="1:14" s="482" customFormat="1" ht="12.75" customHeight="1" x14ac:dyDescent="0.2">
      <c r="A16" s="479" t="s">
        <v>1402</v>
      </c>
      <c r="B16" s="480">
        <v>220</v>
      </c>
      <c r="C16" s="474"/>
      <c r="D16" s="474"/>
      <c r="E16" s="474"/>
      <c r="F16" s="474"/>
      <c r="G16" s="474"/>
      <c r="H16" s="474"/>
      <c r="I16" s="474"/>
      <c r="J16" s="474"/>
      <c r="K16" s="474"/>
      <c r="L16" s="474"/>
      <c r="M16" s="464"/>
      <c r="N16" s="481"/>
    </row>
    <row r="17" spans="1:14" s="482" customFormat="1" ht="12.75" customHeight="1" x14ac:dyDescent="0.2">
      <c r="A17" s="479" t="s">
        <v>1403</v>
      </c>
      <c r="B17" s="480">
        <v>230</v>
      </c>
      <c r="C17" s="474"/>
      <c r="D17" s="474"/>
      <c r="E17" s="474"/>
      <c r="F17" s="474"/>
      <c r="G17" s="474"/>
      <c r="H17" s="474"/>
      <c r="I17" s="474"/>
      <c r="J17" s="474"/>
      <c r="K17" s="474"/>
      <c r="L17" s="474"/>
      <c r="M17" s="464">
        <v>26017911</v>
      </c>
      <c r="N17" s="481"/>
    </row>
    <row r="18" spans="1:14" s="482" customFormat="1" ht="12.75" customHeight="1" x14ac:dyDescent="0.2">
      <c r="A18" s="479" t="s">
        <v>1404</v>
      </c>
      <c r="B18" s="480">
        <v>240</v>
      </c>
      <c r="C18" s="474"/>
      <c r="D18" s="474"/>
      <c r="E18" s="474"/>
      <c r="F18" s="474"/>
      <c r="G18" s="474"/>
      <c r="H18" s="474"/>
      <c r="I18" s="474"/>
      <c r="J18" s="474"/>
      <c r="K18" s="474"/>
      <c r="L18" s="474"/>
      <c r="M18" s="464">
        <v>1326597</v>
      </c>
      <c r="N18" s="481"/>
    </row>
    <row r="19" spans="1:14" s="482" customFormat="1" ht="12.75" customHeight="1" x14ac:dyDescent="0.2">
      <c r="A19" s="479" t="s">
        <v>1405</v>
      </c>
      <c r="B19" s="480">
        <v>250</v>
      </c>
      <c r="C19" s="474"/>
      <c r="D19" s="474"/>
      <c r="E19" s="474"/>
      <c r="F19" s="474"/>
      <c r="G19" s="474"/>
      <c r="H19" s="474"/>
      <c r="I19" s="474"/>
      <c r="J19" s="474"/>
      <c r="K19" s="474"/>
      <c r="L19" s="474"/>
      <c r="M19" s="464">
        <v>6840177</v>
      </c>
      <c r="N19" s="481"/>
    </row>
    <row r="20" spans="1:14" s="482" customFormat="1" ht="12.75" customHeight="1" x14ac:dyDescent="0.2">
      <c r="A20" s="479" t="s">
        <v>1406</v>
      </c>
      <c r="B20" s="480">
        <v>260</v>
      </c>
      <c r="C20" s="474"/>
      <c r="D20" s="474"/>
      <c r="E20" s="474"/>
      <c r="F20" s="474"/>
      <c r="G20" s="474"/>
      <c r="H20" s="474"/>
      <c r="I20" s="474"/>
      <c r="J20" s="474"/>
      <c r="K20" s="474"/>
      <c r="L20" s="474"/>
      <c r="M20" s="464"/>
      <c r="N20" s="481"/>
    </row>
    <row r="21" spans="1:14" s="482" customFormat="1" ht="12.75" customHeight="1" x14ac:dyDescent="0.2">
      <c r="A21" s="479" t="s">
        <v>1407</v>
      </c>
      <c r="B21" s="480">
        <v>340</v>
      </c>
      <c r="C21" s="474"/>
      <c r="D21" s="474"/>
      <c r="E21" s="474"/>
      <c r="F21" s="474"/>
      <c r="G21" s="474"/>
      <c r="H21" s="474"/>
      <c r="I21" s="474"/>
      <c r="J21" s="474"/>
      <c r="K21" s="474"/>
      <c r="L21" s="474"/>
      <c r="M21" s="483"/>
      <c r="N21" s="464">
        <v>397217</v>
      </c>
    </row>
    <row r="22" spans="1:14" s="482" customFormat="1" ht="12.75" customHeight="1" x14ac:dyDescent="0.2">
      <c r="A22" s="479" t="s">
        <v>1408</v>
      </c>
      <c r="B22" s="480">
        <v>350</v>
      </c>
      <c r="C22" s="474"/>
      <c r="D22" s="474"/>
      <c r="E22" s="474"/>
      <c r="F22" s="474"/>
      <c r="G22" s="474"/>
      <c r="H22" s="474"/>
      <c r="I22" s="474"/>
      <c r="J22" s="474"/>
      <c r="K22" s="474"/>
      <c r="L22" s="474"/>
      <c r="M22" s="483"/>
      <c r="N22" s="484">
        <f>'Short-Term Long-Term Debt 24'!J49</f>
        <v>3457783</v>
      </c>
    </row>
    <row r="23" spans="1:14" ht="13.5" customHeight="1" thickBot="1" x14ac:dyDescent="0.25">
      <c r="A23" s="1733" t="s">
        <v>643</v>
      </c>
      <c r="B23" s="1738"/>
      <c r="C23" s="465"/>
      <c r="D23" s="465"/>
      <c r="E23" s="465"/>
      <c r="F23" s="465"/>
      <c r="G23" s="465"/>
      <c r="H23" s="465"/>
      <c r="I23" s="465"/>
      <c r="J23" s="465"/>
      <c r="K23" s="465"/>
      <c r="L23" s="465"/>
      <c r="M23" s="1685">
        <f>SUM(M15:M22)</f>
        <v>34184685</v>
      </c>
      <c r="N23" s="1685">
        <f>SUM(N21:N22)</f>
        <v>3855000</v>
      </c>
    </row>
    <row r="24" spans="1:14" ht="18" customHeight="1" thickTop="1" x14ac:dyDescent="0.2">
      <c r="A24" s="2116" t="s">
        <v>598</v>
      </c>
      <c r="B24" s="2117"/>
      <c r="C24" s="1565"/>
      <c r="D24" s="1562"/>
      <c r="E24" s="1562"/>
      <c r="F24" s="1562"/>
      <c r="G24" s="1562"/>
      <c r="H24" s="1562"/>
      <c r="I24" s="1562"/>
      <c r="J24" s="1562"/>
      <c r="K24" s="1562"/>
      <c r="L24" s="1562"/>
      <c r="M24" s="1561"/>
      <c r="N24" s="1566"/>
    </row>
    <row r="25" spans="1:14" x14ac:dyDescent="0.2">
      <c r="A25" s="470" t="s">
        <v>645</v>
      </c>
      <c r="B25" s="467">
        <v>410</v>
      </c>
      <c r="C25" s="475"/>
      <c r="D25" s="475"/>
      <c r="E25" s="475"/>
      <c r="F25" s="475"/>
      <c r="G25" s="475"/>
      <c r="H25" s="476"/>
      <c r="I25" s="465"/>
      <c r="J25" s="475"/>
      <c r="K25" s="475"/>
      <c r="L25" s="465"/>
      <c r="M25" s="465"/>
      <c r="N25" s="465"/>
    </row>
    <row r="26" spans="1:14" x14ac:dyDescent="0.2">
      <c r="A26" s="470" t="s">
        <v>646</v>
      </c>
      <c r="B26" s="467">
        <v>420</v>
      </c>
      <c r="C26" s="464"/>
      <c r="D26" s="464"/>
      <c r="E26" s="464"/>
      <c r="F26" s="464"/>
      <c r="G26" s="464"/>
      <c r="H26" s="464"/>
      <c r="I26" s="464"/>
      <c r="J26" s="471"/>
      <c r="K26" s="464"/>
      <c r="L26" s="465"/>
      <c r="M26" s="465"/>
      <c r="N26" s="465"/>
    </row>
    <row r="27" spans="1:14" ht="13.5" customHeight="1" x14ac:dyDescent="0.2">
      <c r="A27" s="470" t="s">
        <v>647</v>
      </c>
      <c r="B27" s="467">
        <v>430</v>
      </c>
      <c r="C27" s="464"/>
      <c r="D27" s="464"/>
      <c r="E27" s="464"/>
      <c r="F27" s="464"/>
      <c r="G27" s="464"/>
      <c r="H27" s="464"/>
      <c r="I27" s="464"/>
      <c r="J27" s="464"/>
      <c r="K27" s="464"/>
      <c r="L27" s="465"/>
      <c r="M27" s="465"/>
      <c r="N27" s="465"/>
    </row>
    <row r="28" spans="1:14" ht="13.5" customHeight="1" x14ac:dyDescent="0.2">
      <c r="A28" s="470" t="s">
        <v>648</v>
      </c>
      <c r="B28" s="467">
        <v>440</v>
      </c>
      <c r="C28" s="464"/>
      <c r="D28" s="464"/>
      <c r="E28" s="471"/>
      <c r="F28" s="464"/>
      <c r="G28" s="471"/>
      <c r="H28" s="471"/>
      <c r="I28" s="464"/>
      <c r="J28" s="464"/>
      <c r="K28" s="476"/>
      <c r="L28" s="465"/>
      <c r="M28" s="465"/>
      <c r="N28" s="465"/>
    </row>
    <row r="29" spans="1:14" ht="13.5" customHeight="1" x14ac:dyDescent="0.2">
      <c r="A29" s="470" t="s">
        <v>649</v>
      </c>
      <c r="B29" s="467">
        <v>460</v>
      </c>
      <c r="C29" s="485"/>
      <c r="D29" s="486"/>
      <c r="E29" s="471"/>
      <c r="F29" s="464"/>
      <c r="G29" s="471"/>
      <c r="H29" s="471"/>
      <c r="I29" s="471"/>
      <c r="J29" s="471"/>
      <c r="K29" s="464"/>
      <c r="L29" s="465"/>
      <c r="M29" s="465"/>
      <c r="N29" s="465"/>
    </row>
    <row r="30" spans="1:14" ht="13.5" customHeight="1" x14ac:dyDescent="0.2">
      <c r="A30" s="470" t="s">
        <v>650</v>
      </c>
      <c r="B30" s="467">
        <v>470</v>
      </c>
      <c r="C30" s="464"/>
      <c r="D30" s="471"/>
      <c r="E30" s="464"/>
      <c r="F30" s="464"/>
      <c r="G30" s="464"/>
      <c r="H30" s="464"/>
      <c r="I30" s="464"/>
      <c r="J30" s="464"/>
      <c r="K30" s="475"/>
      <c r="L30" s="465"/>
      <c r="M30" s="465"/>
      <c r="N30" s="465"/>
    </row>
    <row r="31" spans="1:14" ht="13.5" customHeight="1" x14ac:dyDescent="0.2">
      <c r="A31" s="470" t="s">
        <v>651</v>
      </c>
      <c r="B31" s="467">
        <v>480</v>
      </c>
      <c r="C31" s="463"/>
      <c r="D31" s="464"/>
      <c r="E31" s="464"/>
      <c r="F31" s="463"/>
      <c r="G31" s="464"/>
      <c r="H31" s="464"/>
      <c r="I31" s="464"/>
      <c r="J31" s="464"/>
      <c r="K31" s="464"/>
      <c r="L31" s="465"/>
      <c r="M31" s="465"/>
      <c r="N31" s="465"/>
    </row>
    <row r="32" spans="1:14" ht="13.5" customHeight="1" x14ac:dyDescent="0.2">
      <c r="A32" s="487" t="s">
        <v>652</v>
      </c>
      <c r="B32" s="488">
        <v>490</v>
      </c>
      <c r="C32" s="489"/>
      <c r="D32" s="489"/>
      <c r="E32" s="471"/>
      <c r="F32" s="471"/>
      <c r="G32" s="471"/>
      <c r="H32" s="471"/>
      <c r="I32" s="471"/>
      <c r="J32" s="471"/>
      <c r="K32" s="476"/>
      <c r="L32" s="465"/>
      <c r="M32" s="465"/>
      <c r="N32" s="465"/>
    </row>
    <row r="33" spans="1:14" ht="13.5" customHeight="1" x14ac:dyDescent="0.2">
      <c r="A33" s="490" t="s">
        <v>303</v>
      </c>
      <c r="B33" s="488">
        <v>493</v>
      </c>
      <c r="C33" s="464"/>
      <c r="D33" s="464"/>
      <c r="E33" s="464"/>
      <c r="F33" s="464"/>
      <c r="G33" s="464"/>
      <c r="H33" s="464"/>
      <c r="I33" s="464"/>
      <c r="J33" s="464"/>
      <c r="K33" s="464"/>
      <c r="L33" s="464">
        <v>235871</v>
      </c>
      <c r="M33" s="465"/>
      <c r="N33" s="466"/>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235871</v>
      </c>
      <c r="M34" s="465"/>
      <c r="N34" s="477"/>
    </row>
    <row r="35" spans="1:14" ht="18" customHeight="1" thickTop="1" x14ac:dyDescent="0.2">
      <c r="A35" s="2118" t="s">
        <v>529</v>
      </c>
      <c r="B35" s="2119"/>
      <c r="C35" s="1567"/>
      <c r="D35" s="1568"/>
      <c r="E35" s="1568"/>
      <c r="F35" s="1568"/>
      <c r="G35" s="1568"/>
      <c r="H35" s="1568"/>
      <c r="I35" s="1568"/>
      <c r="J35" s="1568"/>
      <c r="K35" s="1568"/>
      <c r="L35" s="1568"/>
      <c r="M35" s="1562"/>
      <c r="N35" s="1566"/>
    </row>
    <row r="36" spans="1:14" x14ac:dyDescent="0.2">
      <c r="A36" s="491" t="s">
        <v>1</v>
      </c>
      <c r="B36" s="467">
        <v>511</v>
      </c>
      <c r="C36" s="474"/>
      <c r="D36" s="474"/>
      <c r="E36" s="474"/>
      <c r="F36" s="474"/>
      <c r="G36" s="474"/>
      <c r="H36" s="474"/>
      <c r="I36" s="474"/>
      <c r="J36" s="474"/>
      <c r="K36" s="474"/>
      <c r="L36" s="465"/>
      <c r="M36" s="465"/>
      <c r="N36" s="492">
        <f>'Short-Term Long-Term Debt 24'!I49</f>
        <v>3855000</v>
      </c>
    </row>
    <row r="37" spans="1:14" ht="13.5" thickBot="1" x14ac:dyDescent="0.25">
      <c r="A37" s="1733" t="s">
        <v>653</v>
      </c>
      <c r="B37" s="1738"/>
      <c r="C37" s="474"/>
      <c r="D37" s="474"/>
      <c r="E37" s="474"/>
      <c r="F37" s="474"/>
      <c r="G37" s="474"/>
      <c r="H37" s="474"/>
      <c r="I37" s="474"/>
      <c r="J37" s="474"/>
      <c r="K37" s="474"/>
      <c r="L37" s="477"/>
      <c r="M37" s="465"/>
      <c r="N37" s="1685">
        <f>SUM(N36:N36)</f>
        <v>3855000</v>
      </c>
    </row>
    <row r="38" spans="1:14" s="326" customFormat="1" ht="13.5" customHeight="1" thickTop="1" x14ac:dyDescent="0.2">
      <c r="A38" s="493" t="s">
        <v>420</v>
      </c>
      <c r="B38" s="480">
        <v>714</v>
      </c>
      <c r="C38" s="463"/>
      <c r="D38" s="463"/>
      <c r="E38" s="463"/>
      <c r="F38" s="463"/>
      <c r="G38" s="463"/>
      <c r="H38" s="463">
        <v>179552</v>
      </c>
      <c r="I38" s="463"/>
      <c r="J38" s="464"/>
      <c r="K38" s="463"/>
      <c r="L38" s="478"/>
      <c r="M38" s="494"/>
      <c r="N38" s="494"/>
    </row>
    <row r="39" spans="1:14" s="326" customFormat="1" ht="13.5" customHeight="1" x14ac:dyDescent="0.2">
      <c r="A39" s="493" t="s">
        <v>342</v>
      </c>
      <c r="B39" s="480">
        <v>730</v>
      </c>
      <c r="C39" s="463">
        <v>686016</v>
      </c>
      <c r="D39" s="463">
        <v>1049918</v>
      </c>
      <c r="E39" s="463">
        <v>397217</v>
      </c>
      <c r="F39" s="463">
        <v>449223</v>
      </c>
      <c r="G39" s="463">
        <v>613229</v>
      </c>
      <c r="H39" s="463">
        <f>276600-179552</f>
        <v>97048</v>
      </c>
      <c r="I39" s="463">
        <v>1271072</v>
      </c>
      <c r="J39" s="464">
        <v>350748</v>
      </c>
      <c r="K39" s="463">
        <v>267990</v>
      </c>
      <c r="L39" s="463"/>
      <c r="M39" s="494"/>
      <c r="N39" s="494"/>
    </row>
    <row r="40" spans="1:14" s="326" customFormat="1" ht="13.5" customHeight="1" x14ac:dyDescent="0.2">
      <c r="A40" s="495" t="s">
        <v>148</v>
      </c>
      <c r="B40" s="496"/>
      <c r="C40" s="497"/>
      <c r="D40" s="497"/>
      <c r="E40" s="497"/>
      <c r="F40" s="497"/>
      <c r="G40" s="497"/>
      <c r="H40" s="497"/>
      <c r="I40" s="497"/>
      <c r="J40" s="497"/>
      <c r="K40" s="497"/>
      <c r="L40" s="497"/>
      <c r="M40" s="464">
        <v>34184685</v>
      </c>
      <c r="N40" s="494"/>
    </row>
    <row r="41" spans="1:14" ht="13.5" customHeight="1" thickBot="1" x14ac:dyDescent="0.25">
      <c r="A41" s="1733" t="s">
        <v>655</v>
      </c>
      <c r="B41" s="1703"/>
      <c r="C41" s="1685">
        <f>(SUM(C34,C37,C38,C39))</f>
        <v>686016</v>
      </c>
      <c r="D41" s="1685">
        <f t="shared" ref="D41:L41" si="2">SUM(D34,D37,D38:D39)</f>
        <v>1049918</v>
      </c>
      <c r="E41" s="1685">
        <f t="shared" si="2"/>
        <v>397217</v>
      </c>
      <c r="F41" s="1685">
        <f t="shared" si="2"/>
        <v>449223</v>
      </c>
      <c r="G41" s="1685">
        <f t="shared" si="2"/>
        <v>613229</v>
      </c>
      <c r="H41" s="1685">
        <f t="shared" si="2"/>
        <v>276600</v>
      </c>
      <c r="I41" s="1685">
        <f t="shared" si="2"/>
        <v>1271072</v>
      </c>
      <c r="J41" s="1685">
        <f t="shared" si="2"/>
        <v>350748</v>
      </c>
      <c r="K41" s="1685">
        <f t="shared" si="2"/>
        <v>267990</v>
      </c>
      <c r="L41" s="1685">
        <f t="shared" si="2"/>
        <v>235871</v>
      </c>
      <c r="M41" s="1685">
        <f>SUM(M40)</f>
        <v>34184685</v>
      </c>
      <c r="N41" s="1685">
        <f>SUM(N37)</f>
        <v>3855000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1.02" bottom="0" header="0.55000000000000004"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
      <selection pane="bottomLeft" activeCell="C10" sqref="C10"/>
    </sheetView>
  </sheetViews>
  <sheetFormatPr defaultColWidth="9.140625" defaultRowHeight="12.75" x14ac:dyDescent="0.2"/>
  <cols>
    <col min="1" max="1" width="55.85546875" style="498" customWidth="1"/>
    <col min="2" max="2" width="4.7109375" style="499" customWidth="1"/>
    <col min="3" max="11" width="13.7109375" style="454" customWidth="1"/>
    <col min="12" max="12" width="2" style="454" customWidth="1"/>
    <col min="13" max="16384" width="9.140625" style="454"/>
  </cols>
  <sheetData>
    <row r="1" spans="1:13" ht="12.75" customHeight="1" x14ac:dyDescent="0.2">
      <c r="A1" s="2128" t="s">
        <v>1638</v>
      </c>
      <c r="B1" s="449"/>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9"/>
      <c r="B2" s="455" t="s">
        <v>378</v>
      </c>
      <c r="C2" s="456" t="s">
        <v>1155</v>
      </c>
      <c r="D2" s="456" t="s">
        <v>870</v>
      </c>
      <c r="E2" s="456" t="s">
        <v>438</v>
      </c>
      <c r="F2" s="456" t="s">
        <v>155</v>
      </c>
      <c r="G2" s="456" t="s">
        <v>989</v>
      </c>
      <c r="H2" s="456" t="s">
        <v>437</v>
      </c>
      <c r="I2" s="456" t="s">
        <v>407</v>
      </c>
      <c r="J2" s="456" t="s">
        <v>436</v>
      </c>
      <c r="K2" s="456" t="s">
        <v>157</v>
      </c>
      <c r="L2" s="499"/>
    </row>
    <row r="3" spans="1:13" s="504" customFormat="1" ht="16.7" customHeight="1" x14ac:dyDescent="0.2">
      <c r="A3" s="2140" t="s">
        <v>1175</v>
      </c>
      <c r="B3" s="2141"/>
      <c r="C3" s="1570"/>
      <c r="D3" s="1571"/>
      <c r="E3" s="1571"/>
      <c r="F3" s="1571"/>
      <c r="G3" s="1571"/>
      <c r="H3" s="1571"/>
      <c r="I3" s="1571"/>
      <c r="J3" s="1571"/>
      <c r="K3" s="1572"/>
      <c r="L3" s="503"/>
    </row>
    <row r="4" spans="1:13" ht="15.75" customHeight="1" x14ac:dyDescent="0.2">
      <c r="A4" s="1925" t="s">
        <v>1499</v>
      </c>
      <c r="B4" s="1926">
        <v>1000</v>
      </c>
      <c r="C4" s="1739">
        <f>'Revenues 9-14'!C109</f>
        <v>6805063</v>
      </c>
      <c r="D4" s="1739">
        <f>'Revenues 9-14'!D109</f>
        <v>940153</v>
      </c>
      <c r="E4" s="1739">
        <f>'Revenues 9-14'!E109</f>
        <v>1065913</v>
      </c>
      <c r="F4" s="1739">
        <f>'Revenues 9-14'!F109</f>
        <v>342224</v>
      </c>
      <c r="G4" s="1739">
        <f>'Revenues 9-14'!G109</f>
        <v>455084</v>
      </c>
      <c r="H4" s="1739">
        <f>'Revenues 9-14'!H109</f>
        <v>229196</v>
      </c>
      <c r="I4" s="1739">
        <f>'Revenues 9-14'!I109</f>
        <v>85432</v>
      </c>
      <c r="J4" s="1739">
        <f>'Revenues 9-14'!J109</f>
        <v>643798</v>
      </c>
      <c r="K4" s="1739">
        <f>'Revenues 9-14'!K109</f>
        <v>90310</v>
      </c>
      <c r="L4" s="344"/>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4"/>
    </row>
    <row r="6" spans="1:13" ht="15.75" customHeight="1" x14ac:dyDescent="0.2">
      <c r="A6" s="1573" t="s">
        <v>1501</v>
      </c>
      <c r="B6" s="1575">
        <v>3000</v>
      </c>
      <c r="C6" s="1740">
        <f>'Revenues 9-14'!C170</f>
        <v>3075600</v>
      </c>
      <c r="D6" s="1740">
        <f>'Revenues 9-14'!D170</f>
        <v>0</v>
      </c>
      <c r="E6" s="1740">
        <f>'Revenues 9-14'!E170</f>
        <v>0</v>
      </c>
      <c r="F6" s="1740">
        <f>'Revenues 9-14'!F170</f>
        <v>277645</v>
      </c>
      <c r="G6" s="1740">
        <f>'Revenues 9-14'!G170</f>
        <v>0</v>
      </c>
      <c r="H6" s="1740">
        <f>'Revenues 9-14'!H170</f>
        <v>0</v>
      </c>
      <c r="I6" s="1740">
        <f>'Revenues 9-14'!I170</f>
        <v>0</v>
      </c>
      <c r="J6" s="1740">
        <f>'Revenues 9-14'!J170</f>
        <v>0</v>
      </c>
      <c r="K6" s="1740">
        <f>'Revenues 9-14'!K170</f>
        <v>0</v>
      </c>
      <c r="L6" s="344"/>
      <c r="M6" s="510"/>
    </row>
    <row r="7" spans="1:13" ht="15.75" customHeight="1" x14ac:dyDescent="0.2">
      <c r="A7" s="1573" t="s">
        <v>1502</v>
      </c>
      <c r="B7" s="1575">
        <v>4000</v>
      </c>
      <c r="C7" s="1740">
        <f>'Revenues 9-14'!C267</f>
        <v>412995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4"/>
      <c r="M7" s="510"/>
    </row>
    <row r="8" spans="1:13" ht="13.5" thickBot="1" x14ac:dyDescent="0.25">
      <c r="A8" s="1733" t="s">
        <v>1172</v>
      </c>
      <c r="B8" s="1706"/>
      <c r="C8" s="1685">
        <f>SUM(C4:C7)</f>
        <v>10293658</v>
      </c>
      <c r="D8" s="1685">
        <f t="shared" ref="D8:K8" si="0">SUM(D4:D7)</f>
        <v>940153</v>
      </c>
      <c r="E8" s="1685">
        <f t="shared" si="0"/>
        <v>1065913</v>
      </c>
      <c r="F8" s="1685">
        <f t="shared" si="0"/>
        <v>619869</v>
      </c>
      <c r="G8" s="1685">
        <f t="shared" si="0"/>
        <v>455084</v>
      </c>
      <c r="H8" s="1685">
        <f t="shared" si="0"/>
        <v>229196</v>
      </c>
      <c r="I8" s="1685">
        <f t="shared" si="0"/>
        <v>85432</v>
      </c>
      <c r="J8" s="1685">
        <f t="shared" si="0"/>
        <v>643798</v>
      </c>
      <c r="K8" s="1685">
        <f t="shared" si="0"/>
        <v>90310</v>
      </c>
      <c r="L8" s="344"/>
    </row>
    <row r="9" spans="1:13" ht="15.75" thickTop="1" x14ac:dyDescent="0.2">
      <c r="A9" s="511" t="s">
        <v>1639</v>
      </c>
      <c r="B9" s="512">
        <v>3998</v>
      </c>
      <c r="C9" s="478">
        <f>4392076+79493</f>
        <v>4471569</v>
      </c>
      <c r="D9" s="513"/>
      <c r="E9" s="478"/>
      <c r="F9" s="478"/>
      <c r="G9" s="514"/>
      <c r="H9" s="478"/>
      <c r="I9" s="506" t="s">
        <v>1169</v>
      </c>
      <c r="J9" s="475"/>
      <c r="K9" s="478"/>
      <c r="L9" s="344"/>
    </row>
    <row r="10" spans="1:13" s="516" customFormat="1" ht="13.5" thickBot="1" x14ac:dyDescent="0.25">
      <c r="A10" s="1733" t="s">
        <v>1173</v>
      </c>
      <c r="B10" s="1706"/>
      <c r="C10" s="1685">
        <f>SUM(C8:C9)</f>
        <v>14765227</v>
      </c>
      <c r="D10" s="1685">
        <f t="shared" ref="D10:K10" si="1">SUM(D8:D9)</f>
        <v>940153</v>
      </c>
      <c r="E10" s="1685">
        <f t="shared" si="1"/>
        <v>1065913</v>
      </c>
      <c r="F10" s="1685">
        <f t="shared" si="1"/>
        <v>619869</v>
      </c>
      <c r="G10" s="1685">
        <f t="shared" si="1"/>
        <v>455084</v>
      </c>
      <c r="H10" s="1685">
        <f t="shared" si="1"/>
        <v>229196</v>
      </c>
      <c r="I10" s="1685">
        <f t="shared" si="1"/>
        <v>85432</v>
      </c>
      <c r="J10" s="1685">
        <f t="shared" si="1"/>
        <v>643798</v>
      </c>
      <c r="K10" s="1685">
        <f t="shared" si="1"/>
        <v>90310</v>
      </c>
      <c r="L10" s="515"/>
    </row>
    <row r="11" spans="1:13" s="516" customFormat="1" ht="16.7" customHeight="1" thickTop="1" x14ac:dyDescent="0.2">
      <c r="A11" s="2114" t="s">
        <v>1176</v>
      </c>
      <c r="B11" s="2115"/>
      <c r="C11" s="1567"/>
      <c r="D11" s="1568"/>
      <c r="E11" s="1568"/>
      <c r="F11" s="1568"/>
      <c r="G11" s="1568"/>
      <c r="H11" s="1568"/>
      <c r="I11" s="1568"/>
      <c r="J11" s="1568"/>
      <c r="K11" s="1569"/>
      <c r="L11" s="515"/>
    </row>
    <row r="12" spans="1:13" ht="15.75" customHeight="1" x14ac:dyDescent="0.2">
      <c r="A12" s="1573" t="s">
        <v>456</v>
      </c>
      <c r="B12" s="1575">
        <v>1000</v>
      </c>
      <c r="C12" s="1739">
        <f>'Expenditures 15-22'!K33</f>
        <v>7461578</v>
      </c>
      <c r="D12" s="517" t="s">
        <v>1169</v>
      </c>
      <c r="E12" s="465" t="s">
        <v>1169</v>
      </c>
      <c r="F12" s="465" t="s">
        <v>1169</v>
      </c>
      <c r="G12" s="1739">
        <f>'Expenditures 15-22'!K229</f>
        <v>122653</v>
      </c>
      <c r="H12" s="518"/>
      <c r="I12" s="465" t="s">
        <v>1169</v>
      </c>
      <c r="J12" s="465" t="s">
        <v>1169</v>
      </c>
      <c r="K12" s="518" t="s">
        <v>1169</v>
      </c>
      <c r="L12" s="344"/>
    </row>
    <row r="13" spans="1:13" ht="15.75" customHeight="1" x14ac:dyDescent="0.2">
      <c r="A13" s="1573" t="s">
        <v>457</v>
      </c>
      <c r="B13" s="1575">
        <v>2000</v>
      </c>
      <c r="C13" s="1740">
        <f>'Expenditures 15-22'!K74</f>
        <v>2357135</v>
      </c>
      <c r="D13" s="1740">
        <f>'Expenditures 15-22'!K129</f>
        <v>745936</v>
      </c>
      <c r="E13" s="466" t="s">
        <v>1169</v>
      </c>
      <c r="F13" s="1740">
        <f>'Expenditures 15-22'!K184</f>
        <v>619245</v>
      </c>
      <c r="G13" s="1740">
        <f>'Expenditures 15-22'!K279</f>
        <v>195019</v>
      </c>
      <c r="H13" s="1740">
        <f>'Expenditures 15-22'!K303</f>
        <v>0</v>
      </c>
      <c r="I13" s="465" t="s">
        <v>1169</v>
      </c>
      <c r="J13" s="1740">
        <f>'Expenditures 15-22'!K330</f>
        <v>629224</v>
      </c>
      <c r="K13" s="1744">
        <f>'Expenditures 15-22'!K352</f>
        <v>13338</v>
      </c>
      <c r="L13" s="344"/>
    </row>
    <row r="14" spans="1:13" ht="15.75" customHeight="1" x14ac:dyDescent="0.2">
      <c r="A14" s="1573" t="s">
        <v>449</v>
      </c>
      <c r="B14" s="1575">
        <v>3000</v>
      </c>
      <c r="C14" s="1740">
        <f>'Expenditures 15-22'!K75</f>
        <v>5111</v>
      </c>
      <c r="D14" s="1740">
        <f>'Expenditures 15-22'!K130</f>
        <v>0</v>
      </c>
      <c r="E14" s="517" t="s">
        <v>1169</v>
      </c>
      <c r="F14" s="1740">
        <f>'Expenditures 15-22'!K185</f>
        <v>0</v>
      </c>
      <c r="G14" s="1740">
        <f>'Expenditures 15-22'!K280</f>
        <v>0</v>
      </c>
      <c r="H14" s="509"/>
      <c r="I14" s="465" t="s">
        <v>1169</v>
      </c>
      <c r="J14" s="465" t="s">
        <v>1169</v>
      </c>
      <c r="K14" s="509" t="s">
        <v>1169</v>
      </c>
      <c r="L14" s="344"/>
    </row>
    <row r="15" spans="1:13" ht="15.75" customHeight="1" x14ac:dyDescent="0.2">
      <c r="A15" s="1573" t="s">
        <v>107</v>
      </c>
      <c r="B15" s="1575">
        <v>4000</v>
      </c>
      <c r="C15" s="1740">
        <f>'Expenditures 15-22'!K102</f>
        <v>344529</v>
      </c>
      <c r="D15" s="1740">
        <f>'Expenditures 15-22'!K139</f>
        <v>0</v>
      </c>
      <c r="E15" s="1740">
        <f>'Expenditures 15-22'!K160</f>
        <v>0</v>
      </c>
      <c r="F15" s="1740">
        <f>'Expenditures 15-22'!K196</f>
        <v>0</v>
      </c>
      <c r="G15" s="1740">
        <f>'Expenditures 15-22'!K285</f>
        <v>0</v>
      </c>
      <c r="H15" s="1740">
        <f>'Expenditures 15-22'!K310</f>
        <v>0</v>
      </c>
      <c r="I15" s="465" t="s">
        <v>1169</v>
      </c>
      <c r="J15" s="1832">
        <f>'Expenditures 15-22'!K334</f>
        <v>0</v>
      </c>
      <c r="K15" s="1740">
        <f>'Expenditures 15-22'!K357</f>
        <v>0</v>
      </c>
      <c r="L15" s="344"/>
    </row>
    <row r="16" spans="1:13" ht="15.75" customHeight="1" x14ac:dyDescent="0.2">
      <c r="A16" s="1573" t="s">
        <v>450</v>
      </c>
      <c r="B16" s="1575">
        <v>5000</v>
      </c>
      <c r="C16" s="1740">
        <f>'Expenditures 15-22'!K112</f>
        <v>0</v>
      </c>
      <c r="D16" s="1740">
        <f>'Expenditures 15-22'!K149</f>
        <v>0</v>
      </c>
      <c r="E16" s="1740">
        <f>'Expenditures 15-22'!K172</f>
        <v>1054122</v>
      </c>
      <c r="F16" s="1740">
        <f>'Expenditures 15-22'!K208</f>
        <v>0</v>
      </c>
      <c r="G16" s="1740">
        <f>'Expenditures 15-22'!K293</f>
        <v>0</v>
      </c>
      <c r="H16" s="520"/>
      <c r="I16" s="465" t="s">
        <v>1169</v>
      </c>
      <c r="J16" s="1745">
        <f>'Expenditures 15-22'!K340</f>
        <v>0</v>
      </c>
      <c r="K16" s="1740">
        <f>'Expenditures 15-22'!K365</f>
        <v>0</v>
      </c>
      <c r="L16" s="344"/>
    </row>
    <row r="17" spans="1:12" ht="13.5" thickBot="1" x14ac:dyDescent="0.25">
      <c r="A17" s="1705" t="s">
        <v>48</v>
      </c>
      <c r="B17" s="1706"/>
      <c r="C17" s="1685">
        <f t="shared" ref="C17:H17" si="2">SUM(C12:C16)</f>
        <v>10168353</v>
      </c>
      <c r="D17" s="1685">
        <f t="shared" si="2"/>
        <v>745936</v>
      </c>
      <c r="E17" s="1685">
        <f t="shared" si="2"/>
        <v>1054122</v>
      </c>
      <c r="F17" s="1685">
        <f t="shared" si="2"/>
        <v>619245</v>
      </c>
      <c r="G17" s="1685">
        <f t="shared" si="2"/>
        <v>317672</v>
      </c>
      <c r="H17" s="1685">
        <f t="shared" si="2"/>
        <v>0</v>
      </c>
      <c r="I17" s="465"/>
      <c r="J17" s="1685">
        <f>SUM(J12:J16)</f>
        <v>629224</v>
      </c>
      <c r="K17" s="1685">
        <f>SUM(K12:K16)</f>
        <v>13338</v>
      </c>
      <c r="L17" s="344"/>
    </row>
    <row r="18" spans="1:12" ht="15" customHeight="1" thickTop="1" x14ac:dyDescent="0.2">
      <c r="A18" s="1741" t="s">
        <v>1640</v>
      </c>
      <c r="B18" s="1742">
        <v>4180</v>
      </c>
      <c r="C18" s="1739">
        <f t="shared" ref="C18:H18" si="3">C9</f>
        <v>4471569</v>
      </c>
      <c r="D18" s="1739">
        <f t="shared" si="3"/>
        <v>0</v>
      </c>
      <c r="E18" s="1739">
        <f t="shared" si="3"/>
        <v>0</v>
      </c>
      <c r="F18" s="1739">
        <f t="shared" si="3"/>
        <v>0</v>
      </c>
      <c r="G18" s="1739">
        <f t="shared" si="3"/>
        <v>0</v>
      </c>
      <c r="H18" s="1739">
        <f t="shared" si="3"/>
        <v>0</v>
      </c>
      <c r="I18" s="465"/>
      <c r="J18" s="1739">
        <f>J9</f>
        <v>0</v>
      </c>
      <c r="K18" s="1739">
        <f>K9</f>
        <v>0</v>
      </c>
      <c r="L18" s="344"/>
    </row>
    <row r="19" spans="1:12" ht="13.5" thickBot="1" x14ac:dyDescent="0.25">
      <c r="A19" s="1705" t="s">
        <v>505</v>
      </c>
      <c r="B19" s="1706"/>
      <c r="C19" s="1685">
        <f t="shared" ref="C19:H19" si="4">SUM(C17:C18)</f>
        <v>14639922</v>
      </c>
      <c r="D19" s="1685">
        <f t="shared" si="4"/>
        <v>745936</v>
      </c>
      <c r="E19" s="1685">
        <f t="shared" si="4"/>
        <v>1054122</v>
      </c>
      <c r="F19" s="1685">
        <f t="shared" si="4"/>
        <v>619245</v>
      </c>
      <c r="G19" s="1685">
        <f t="shared" si="4"/>
        <v>317672</v>
      </c>
      <c r="H19" s="1685">
        <f t="shared" si="4"/>
        <v>0</v>
      </c>
      <c r="I19" s="465"/>
      <c r="J19" s="1685">
        <f>SUM(J17:J18)</f>
        <v>629224</v>
      </c>
      <c r="K19" s="1685">
        <f>SUM(K17:K18)</f>
        <v>13338</v>
      </c>
      <c r="L19" s="344"/>
    </row>
    <row r="20" spans="1:12" ht="16.5" thickTop="1" thickBot="1" x14ac:dyDescent="0.25">
      <c r="A20" s="2130" t="s">
        <v>1641</v>
      </c>
      <c r="B20" s="2131"/>
      <c r="C20" s="1743">
        <f>C8-C17</f>
        <v>125305</v>
      </c>
      <c r="D20" s="1743">
        <f t="shared" ref="D20:K20" si="5">D8-D17</f>
        <v>194217</v>
      </c>
      <c r="E20" s="1743">
        <f t="shared" si="5"/>
        <v>11791</v>
      </c>
      <c r="F20" s="1743">
        <f t="shared" si="5"/>
        <v>624</v>
      </c>
      <c r="G20" s="1743">
        <f t="shared" si="5"/>
        <v>137412</v>
      </c>
      <c r="H20" s="1743">
        <f t="shared" si="5"/>
        <v>229196</v>
      </c>
      <c r="I20" s="1743">
        <f t="shared" si="5"/>
        <v>85432</v>
      </c>
      <c r="J20" s="1743">
        <f t="shared" si="5"/>
        <v>14574</v>
      </c>
      <c r="K20" s="1743">
        <f t="shared" si="5"/>
        <v>76972</v>
      </c>
      <c r="L20" s="344"/>
    </row>
    <row r="21" spans="1:12" ht="16.7" customHeight="1" thickTop="1" x14ac:dyDescent="0.2">
      <c r="A21" s="2142" t="s">
        <v>595</v>
      </c>
      <c r="B21" s="2143"/>
      <c r="C21" s="1567"/>
      <c r="D21" s="1568"/>
      <c r="E21" s="1568"/>
      <c r="F21" s="1568"/>
      <c r="G21" s="1568"/>
      <c r="H21" s="1568"/>
      <c r="I21" s="1568"/>
      <c r="J21" s="1568"/>
      <c r="K21" s="1569"/>
      <c r="L21" s="521"/>
    </row>
    <row r="22" spans="1:12" ht="15.75" customHeight="1" collapsed="1" x14ac:dyDescent="0.2">
      <c r="A22" s="2138" t="s">
        <v>596</v>
      </c>
      <c r="B22" s="2139"/>
      <c r="C22" s="474"/>
      <c r="D22" s="474"/>
      <c r="E22" s="474"/>
      <c r="F22" s="474"/>
      <c r="G22" s="474"/>
      <c r="H22" s="474"/>
      <c r="I22" s="474"/>
      <c r="J22" s="474"/>
      <c r="K22" s="474"/>
      <c r="L22" s="344"/>
    </row>
    <row r="23" spans="1:12" s="482" customFormat="1" ht="15.75" customHeight="1" x14ac:dyDescent="0.2">
      <c r="A23" s="2134" t="s">
        <v>293</v>
      </c>
      <c r="B23" s="2135"/>
      <c r="C23" s="477"/>
      <c r="D23" s="474"/>
      <c r="E23" s="474"/>
      <c r="F23" s="474"/>
      <c r="G23" s="474"/>
      <c r="H23" s="474"/>
      <c r="I23" s="474"/>
      <c r="J23" s="474"/>
      <c r="K23" s="474"/>
      <c r="L23" s="521"/>
    </row>
    <row r="24" spans="1:12" s="482" customFormat="1" ht="13.5" customHeight="1" x14ac:dyDescent="0.2">
      <c r="A24" s="1486" t="s">
        <v>1642</v>
      </c>
      <c r="B24" s="522">
        <v>7110</v>
      </c>
      <c r="C24" s="464"/>
      <c r="D24" s="474"/>
      <c r="E24" s="474"/>
      <c r="F24" s="474"/>
      <c r="G24" s="474"/>
      <c r="H24" s="474"/>
      <c r="I24" s="474"/>
      <c r="J24" s="474"/>
      <c r="K24" s="474"/>
      <c r="L24" s="521"/>
    </row>
    <row r="25" spans="1:12" s="482" customFormat="1" ht="13.5" customHeight="1" x14ac:dyDescent="0.2">
      <c r="A25" s="1486" t="s">
        <v>1643</v>
      </c>
      <c r="B25" s="522">
        <v>7110</v>
      </c>
      <c r="C25" s="464"/>
      <c r="D25" s="464"/>
      <c r="E25" s="464"/>
      <c r="F25" s="464"/>
      <c r="G25" s="464"/>
      <c r="H25" s="464"/>
      <c r="I25" s="474"/>
      <c r="J25" s="464"/>
      <c r="K25" s="464"/>
      <c r="L25" s="521"/>
    </row>
    <row r="26" spans="1:12" s="482" customFormat="1" ht="13.5" customHeight="1" x14ac:dyDescent="0.2">
      <c r="A26" s="1486" t="s">
        <v>184</v>
      </c>
      <c r="B26" s="480">
        <v>7120</v>
      </c>
      <c r="C26" s="464"/>
      <c r="D26" s="464"/>
      <c r="E26" s="464"/>
      <c r="F26" s="464"/>
      <c r="G26" s="464"/>
      <c r="H26" s="464"/>
      <c r="I26" s="474"/>
      <c r="J26" s="464"/>
      <c r="K26" s="464"/>
      <c r="L26" s="521"/>
    </row>
    <row r="27" spans="1:12" s="482" customFormat="1" ht="13.5" customHeight="1" x14ac:dyDescent="0.2">
      <c r="A27" s="1486" t="s">
        <v>185</v>
      </c>
      <c r="B27" s="480">
        <v>7130</v>
      </c>
      <c r="C27" s="464"/>
      <c r="D27" s="464"/>
      <c r="E27" s="523"/>
      <c r="F27" s="464"/>
      <c r="G27" s="477"/>
      <c r="H27" s="477"/>
      <c r="I27" s="477"/>
      <c r="J27" s="477"/>
      <c r="K27" s="477"/>
      <c r="L27" s="521"/>
    </row>
    <row r="28" spans="1:12" s="482" customFormat="1" ht="13.5" customHeight="1" x14ac:dyDescent="0.2">
      <c r="A28" s="1486" t="s">
        <v>1398</v>
      </c>
      <c r="B28" s="480">
        <v>7140</v>
      </c>
      <c r="C28" s="464"/>
      <c r="D28" s="464"/>
      <c r="E28" s="464"/>
      <c r="F28" s="464"/>
      <c r="G28" s="464"/>
      <c r="H28" s="464"/>
      <c r="I28" s="464"/>
      <c r="J28" s="464"/>
      <c r="K28" s="464"/>
      <c r="L28" s="521"/>
    </row>
    <row r="29" spans="1:12" s="482" customFormat="1" ht="13.5" customHeight="1" x14ac:dyDescent="0.2">
      <c r="A29" s="1486" t="s">
        <v>294</v>
      </c>
      <c r="B29" s="480">
        <v>7150</v>
      </c>
      <c r="C29" s="472"/>
      <c r="D29" s="464"/>
      <c r="E29" s="472"/>
      <c r="F29" s="472"/>
      <c r="G29" s="472"/>
      <c r="H29" s="472"/>
      <c r="I29" s="472"/>
      <c r="J29" s="472"/>
      <c r="K29" s="472"/>
      <c r="L29" s="521"/>
    </row>
    <row r="30" spans="1:12" s="482" customFormat="1" ht="26.25" x14ac:dyDescent="0.2">
      <c r="A30" s="1486" t="s">
        <v>1779</v>
      </c>
      <c r="B30" s="524">
        <v>7160</v>
      </c>
      <c r="C30" s="474"/>
      <c r="D30" s="464"/>
      <c r="E30" s="474"/>
      <c r="F30" s="474"/>
      <c r="G30" s="474"/>
      <c r="H30" s="474"/>
      <c r="I30" s="474"/>
      <c r="J30" s="474"/>
      <c r="K30" s="474"/>
      <c r="L30" s="521"/>
    </row>
    <row r="31" spans="1:12" s="482" customFormat="1" ht="26.25" x14ac:dyDescent="0.2">
      <c r="A31" s="1486" t="s">
        <v>1783</v>
      </c>
      <c r="B31" s="524">
        <v>7170</v>
      </c>
      <c r="C31" s="474"/>
      <c r="D31" s="474"/>
      <c r="E31" s="471"/>
      <c r="F31" s="474"/>
      <c r="G31" s="474"/>
      <c r="H31" s="474"/>
      <c r="I31" s="474"/>
      <c r="J31" s="474"/>
      <c r="K31" s="474"/>
      <c r="L31" s="521"/>
    </row>
    <row r="32" spans="1:12" s="482" customFormat="1" ht="15.75" customHeight="1" x14ac:dyDescent="0.2">
      <c r="A32" s="2136" t="s">
        <v>981</v>
      </c>
      <c r="B32" s="2137"/>
      <c r="C32" s="474"/>
      <c r="D32" s="474"/>
      <c r="E32" s="472"/>
      <c r="F32" s="474"/>
      <c r="G32" s="474"/>
      <c r="H32" s="474"/>
      <c r="I32" s="474"/>
      <c r="J32" s="474"/>
      <c r="K32" s="474"/>
      <c r="L32" s="521"/>
    </row>
    <row r="33" spans="1:12" s="482" customFormat="1" x14ac:dyDescent="0.2">
      <c r="A33" s="1486" t="s">
        <v>412</v>
      </c>
      <c r="B33" s="522">
        <v>7210</v>
      </c>
      <c r="C33" s="464"/>
      <c r="D33" s="464"/>
      <c r="E33" s="464"/>
      <c r="F33" s="464"/>
      <c r="G33" s="474"/>
      <c r="H33" s="464"/>
      <c r="I33" s="464"/>
      <c r="J33" s="464"/>
      <c r="K33" s="464"/>
      <c r="L33" s="521"/>
    </row>
    <row r="34" spans="1:12" s="482" customFormat="1" x14ac:dyDescent="0.2">
      <c r="A34" s="1486" t="s">
        <v>1001</v>
      </c>
      <c r="B34" s="522">
        <v>7220</v>
      </c>
      <c r="C34" s="464"/>
      <c r="D34" s="464"/>
      <c r="E34" s="464"/>
      <c r="F34" s="464"/>
      <c r="G34" s="474"/>
      <c r="H34" s="475"/>
      <c r="I34" s="475"/>
      <c r="J34" s="475"/>
      <c r="K34" s="475"/>
      <c r="L34" s="521"/>
    </row>
    <row r="35" spans="1:12" s="482" customFormat="1" x14ac:dyDescent="0.2">
      <c r="A35" s="1486" t="s">
        <v>990</v>
      </c>
      <c r="B35" s="522">
        <v>7230</v>
      </c>
      <c r="C35" s="464"/>
      <c r="D35" s="464"/>
      <c r="E35" s="464"/>
      <c r="F35" s="464"/>
      <c r="G35" s="477"/>
      <c r="H35" s="464"/>
      <c r="I35" s="464"/>
      <c r="J35" s="464"/>
      <c r="K35" s="464"/>
      <c r="L35" s="521"/>
    </row>
    <row r="36" spans="1:12" s="482" customFormat="1" ht="15" x14ac:dyDescent="0.2">
      <c r="A36" s="1486" t="s">
        <v>1644</v>
      </c>
      <c r="B36" s="522">
        <v>7300</v>
      </c>
      <c r="C36" s="464"/>
      <c r="D36" s="464"/>
      <c r="E36" s="464"/>
      <c r="F36" s="464"/>
      <c r="G36" s="464"/>
      <c r="H36" s="464"/>
      <c r="I36" s="472"/>
      <c r="J36" s="464"/>
      <c r="K36" s="464"/>
      <c r="L36" s="521"/>
    </row>
    <row r="37" spans="1:12" s="482" customFormat="1" x14ac:dyDescent="0.2">
      <c r="A37" s="1486" t="s">
        <v>441</v>
      </c>
      <c r="B37" s="522">
        <v>7400</v>
      </c>
      <c r="C37" s="472"/>
      <c r="D37" s="472"/>
      <c r="E37" s="1740">
        <f>SUM(C54:D57,H54:H57)</f>
        <v>0</v>
      </c>
      <c r="F37" s="472"/>
      <c r="G37" s="472"/>
      <c r="H37" s="472"/>
      <c r="I37" s="474"/>
      <c r="J37" s="472"/>
      <c r="K37" s="472"/>
      <c r="L37" s="521"/>
    </row>
    <row r="38" spans="1:12" s="482" customFormat="1" x14ac:dyDescent="0.2">
      <c r="A38" s="1486" t="s">
        <v>442</v>
      </c>
      <c r="B38" s="522">
        <v>7500</v>
      </c>
      <c r="C38" s="474"/>
      <c r="D38" s="474"/>
      <c r="E38" s="1740">
        <f>SUM(C58:D61,H58:H61)</f>
        <v>0</v>
      </c>
      <c r="F38" s="474"/>
      <c r="G38" s="474"/>
      <c r="H38" s="474"/>
      <c r="I38" s="474"/>
      <c r="J38" s="474"/>
      <c r="K38" s="474"/>
      <c r="L38" s="521"/>
    </row>
    <row r="39" spans="1:12" s="482" customFormat="1" x14ac:dyDescent="0.2">
      <c r="A39" s="1486" t="s">
        <v>443</v>
      </c>
      <c r="B39" s="522">
        <v>7600</v>
      </c>
      <c r="C39" s="474"/>
      <c r="D39" s="474"/>
      <c r="E39" s="1740">
        <f>SUM(C62:D65)</f>
        <v>0</v>
      </c>
      <c r="F39" s="474"/>
      <c r="G39" s="474"/>
      <c r="H39" s="474"/>
      <c r="I39" s="474"/>
      <c r="J39" s="474"/>
      <c r="K39" s="474"/>
      <c r="L39" s="521"/>
    </row>
    <row r="40" spans="1:12" s="482" customFormat="1" ht="13.5" customHeight="1" x14ac:dyDescent="0.2">
      <c r="A40" s="1486" t="s">
        <v>642</v>
      </c>
      <c r="B40" s="480">
        <v>7700</v>
      </c>
      <c r="C40" s="474"/>
      <c r="D40" s="474"/>
      <c r="E40" s="1740">
        <f>SUM(C66:D69)</f>
        <v>0</v>
      </c>
      <c r="F40" s="474"/>
      <c r="G40" s="474"/>
      <c r="H40" s="477"/>
      <c r="I40" s="474"/>
      <c r="J40" s="474"/>
      <c r="K40" s="474"/>
      <c r="L40" s="521"/>
    </row>
    <row r="41" spans="1:12" s="482" customFormat="1" ht="13.5" customHeight="1" x14ac:dyDescent="0.2">
      <c r="A41" s="1486" t="s">
        <v>640</v>
      </c>
      <c r="B41" s="480">
        <v>7800</v>
      </c>
      <c r="C41" s="477"/>
      <c r="D41" s="477"/>
      <c r="E41" s="523"/>
      <c r="F41" s="477"/>
      <c r="G41" s="477"/>
      <c r="H41" s="1740">
        <f>SUM(C70:D73)</f>
        <v>0</v>
      </c>
      <c r="I41" s="474"/>
      <c r="J41" s="474"/>
      <c r="K41" s="477"/>
      <c r="L41" s="521"/>
    </row>
    <row r="42" spans="1:12" s="482" customFormat="1" ht="13.5" customHeight="1" x14ac:dyDescent="0.2">
      <c r="A42" s="1486" t="s">
        <v>641</v>
      </c>
      <c r="B42" s="480">
        <v>7900</v>
      </c>
      <c r="C42" s="464"/>
      <c r="D42" s="464"/>
      <c r="E42" s="464"/>
      <c r="F42" s="464"/>
      <c r="G42" s="464"/>
      <c r="H42" s="464"/>
      <c r="I42" s="477"/>
      <c r="J42" s="477"/>
      <c r="K42" s="464"/>
      <c r="L42" s="521"/>
    </row>
    <row r="43" spans="1:12" s="482" customFormat="1" ht="13.5" customHeight="1" x14ac:dyDescent="0.2">
      <c r="A43" s="1486" t="s">
        <v>373</v>
      </c>
      <c r="B43" s="480">
        <v>7990</v>
      </c>
      <c r="C43" s="464"/>
      <c r="D43" s="464"/>
      <c r="E43" s="464"/>
      <c r="F43" s="464"/>
      <c r="G43" s="464"/>
      <c r="H43" s="464"/>
      <c r="I43" s="464"/>
      <c r="J43" s="464"/>
      <c r="K43" s="464"/>
      <c r="L43" s="521"/>
    </row>
    <row r="44" spans="1:12" s="482" customFormat="1" ht="13.5" customHeight="1" thickBot="1" x14ac:dyDescent="0.25">
      <c r="A44" s="2144" t="s">
        <v>374</v>
      </c>
      <c r="B44" s="214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38" t="s">
        <v>108</v>
      </c>
      <c r="B45" s="2139"/>
      <c r="C45" s="525"/>
      <c r="D45" s="525"/>
      <c r="E45" s="525"/>
      <c r="F45" s="525"/>
      <c r="G45" s="525"/>
      <c r="H45" s="525"/>
      <c r="I45" s="525"/>
      <c r="J45" s="525"/>
      <c r="K45" s="525"/>
      <c r="L45" s="344"/>
    </row>
    <row r="46" spans="1:12" s="482" customFormat="1" ht="15.75" customHeight="1" x14ac:dyDescent="0.2">
      <c r="A46" s="2146" t="s">
        <v>109</v>
      </c>
      <c r="B46" s="2147"/>
      <c r="C46" s="474"/>
      <c r="D46" s="474"/>
      <c r="E46" s="474"/>
      <c r="F46" s="474"/>
      <c r="G46" s="474"/>
      <c r="H46" s="474"/>
      <c r="I46" s="477"/>
      <c r="J46" s="474"/>
      <c r="K46" s="474"/>
      <c r="L46" s="526"/>
    </row>
    <row r="47" spans="1:12" s="482" customFormat="1" ht="15" x14ac:dyDescent="0.2">
      <c r="A47" s="1487" t="s">
        <v>1645</v>
      </c>
      <c r="B47" s="480">
        <v>8110</v>
      </c>
      <c r="C47" s="474"/>
      <c r="D47" s="474"/>
      <c r="E47" s="474"/>
      <c r="F47" s="474"/>
      <c r="G47" s="474"/>
      <c r="H47" s="474"/>
      <c r="I47" s="1740">
        <f>SUM(C24,C25:H25,J25:K25)</f>
        <v>0</v>
      </c>
      <c r="J47" s="474"/>
      <c r="K47" s="474"/>
      <c r="L47" s="526"/>
    </row>
    <row r="48" spans="1:12" s="482" customFormat="1" ht="15" x14ac:dyDescent="0.2">
      <c r="A48" s="1487" t="s">
        <v>1646</v>
      </c>
      <c r="B48" s="480">
        <v>8120</v>
      </c>
      <c r="C48" s="477"/>
      <c r="D48" s="477"/>
      <c r="E48" s="474"/>
      <c r="F48" s="477"/>
      <c r="G48" s="474"/>
      <c r="H48" s="474"/>
      <c r="I48" s="1740">
        <f>SUM(C26:H26,J26,K26)</f>
        <v>0</v>
      </c>
      <c r="J48" s="474"/>
      <c r="K48" s="474"/>
      <c r="L48" s="526"/>
    </row>
    <row r="49" spans="1:12" s="482" customFormat="1" x14ac:dyDescent="0.2">
      <c r="A49" s="1487" t="s">
        <v>185</v>
      </c>
      <c r="B49" s="480">
        <v>8130</v>
      </c>
      <c r="C49" s="464"/>
      <c r="D49" s="464"/>
      <c r="E49" s="477"/>
      <c r="F49" s="464"/>
      <c r="G49" s="477"/>
      <c r="H49" s="477"/>
      <c r="I49" s="474"/>
      <c r="J49" s="477"/>
      <c r="K49" s="474"/>
      <c r="L49" s="521"/>
    </row>
    <row r="50" spans="1:12" s="482" customFormat="1" x14ac:dyDescent="0.2">
      <c r="A50" s="1487" t="s">
        <v>1398</v>
      </c>
      <c r="B50" s="480">
        <v>8140</v>
      </c>
      <c r="C50" s="464"/>
      <c r="D50" s="464"/>
      <c r="E50" s="464"/>
      <c r="F50" s="464"/>
      <c r="G50" s="464"/>
      <c r="H50" s="464"/>
      <c r="I50" s="474"/>
      <c r="J50" s="464"/>
      <c r="K50" s="474"/>
      <c r="L50" s="521"/>
    </row>
    <row r="51" spans="1:12" s="482" customFormat="1" x14ac:dyDescent="0.2">
      <c r="A51" s="1487" t="s">
        <v>294</v>
      </c>
      <c r="B51" s="480">
        <v>8150</v>
      </c>
      <c r="C51" s="472"/>
      <c r="D51" s="472"/>
      <c r="E51" s="472"/>
      <c r="F51" s="472"/>
      <c r="G51" s="472"/>
      <c r="H51" s="1740">
        <f>SUM(D29)</f>
        <v>0</v>
      </c>
      <c r="I51" s="474"/>
      <c r="J51" s="472"/>
      <c r="K51" s="477"/>
      <c r="L51" s="521"/>
    </row>
    <row r="52" spans="1:12" s="482" customFormat="1" ht="26.25" x14ac:dyDescent="0.2">
      <c r="A52" s="1487" t="s">
        <v>1782</v>
      </c>
      <c r="B52" s="480">
        <v>8160</v>
      </c>
      <c r="C52" s="474"/>
      <c r="D52" s="474"/>
      <c r="E52" s="474"/>
      <c r="F52" s="474"/>
      <c r="G52" s="474"/>
      <c r="H52" s="474"/>
      <c r="I52" s="474"/>
      <c r="J52" s="474"/>
      <c r="K52" s="1740">
        <f>D30</f>
        <v>0</v>
      </c>
      <c r="L52" s="521"/>
    </row>
    <row r="53" spans="1:12" s="482" customFormat="1" ht="26.25" x14ac:dyDescent="0.2">
      <c r="A53" s="1487" t="s">
        <v>1781</v>
      </c>
      <c r="B53" s="480">
        <v>8170</v>
      </c>
      <c r="C53" s="477"/>
      <c r="D53" s="477"/>
      <c r="E53" s="474"/>
      <c r="F53" s="474"/>
      <c r="G53" s="474"/>
      <c r="H53" s="477"/>
      <c r="I53" s="474"/>
      <c r="J53" s="474"/>
      <c r="K53" s="1740">
        <f>E31</f>
        <v>0</v>
      </c>
      <c r="L53" s="521"/>
    </row>
    <row r="54" spans="1:12" s="482" customFormat="1" ht="13.5" thickBot="1" x14ac:dyDescent="0.25">
      <c r="A54" s="1487" t="s">
        <v>692</v>
      </c>
      <c r="B54" s="480">
        <v>8410</v>
      </c>
      <c r="C54" s="527"/>
      <c r="D54" s="527"/>
      <c r="E54" s="474"/>
      <c r="F54" s="474"/>
      <c r="G54" s="474"/>
      <c r="H54" s="527"/>
      <c r="I54" s="474"/>
      <c r="J54" s="474"/>
      <c r="K54" s="472"/>
      <c r="L54" s="521"/>
    </row>
    <row r="55" spans="1:12" s="482" customFormat="1" ht="14.25" thickTop="1" thickBot="1" x14ac:dyDescent="0.25">
      <c r="A55" s="1488" t="s">
        <v>693</v>
      </c>
      <c r="B55" s="480">
        <v>8420</v>
      </c>
      <c r="C55" s="528"/>
      <c r="D55" s="528"/>
      <c r="E55" s="474"/>
      <c r="F55" s="474"/>
      <c r="G55" s="474"/>
      <c r="H55" s="527"/>
      <c r="I55" s="474"/>
      <c r="J55" s="474"/>
      <c r="K55" s="474"/>
      <c r="L55" s="521"/>
    </row>
    <row r="56" spans="1:12" s="482" customFormat="1" ht="14.25" thickTop="1" thickBot="1" x14ac:dyDescent="0.25">
      <c r="A56" s="1487" t="s">
        <v>581</v>
      </c>
      <c r="B56" s="480">
        <v>8430</v>
      </c>
      <c r="C56" s="528"/>
      <c r="D56" s="528"/>
      <c r="E56" s="474"/>
      <c r="F56" s="474"/>
      <c r="G56" s="474"/>
      <c r="H56" s="527"/>
      <c r="I56" s="474"/>
      <c r="J56" s="474"/>
      <c r="K56" s="474"/>
      <c r="L56" s="521"/>
    </row>
    <row r="57" spans="1:12" s="482" customFormat="1" ht="14.25" thickTop="1" thickBot="1" x14ac:dyDescent="0.25">
      <c r="A57" s="1488" t="s">
        <v>578</v>
      </c>
      <c r="B57" s="480">
        <v>8440</v>
      </c>
      <c r="C57" s="528"/>
      <c r="D57" s="528"/>
      <c r="E57" s="474"/>
      <c r="F57" s="474"/>
      <c r="G57" s="474"/>
      <c r="H57" s="527"/>
      <c r="I57" s="474"/>
      <c r="J57" s="474"/>
      <c r="K57" s="474"/>
      <c r="L57" s="521"/>
    </row>
    <row r="58" spans="1:12" s="482" customFormat="1" ht="14.25" thickTop="1" thickBot="1" x14ac:dyDescent="0.25">
      <c r="A58" s="1487" t="s">
        <v>579</v>
      </c>
      <c r="B58" s="480">
        <v>8510</v>
      </c>
      <c r="C58" s="528"/>
      <c r="D58" s="528"/>
      <c r="E58" s="474"/>
      <c r="F58" s="474"/>
      <c r="G58" s="474"/>
      <c r="H58" s="527"/>
      <c r="I58" s="474"/>
      <c r="J58" s="474"/>
      <c r="K58" s="474"/>
      <c r="L58" s="521"/>
    </row>
    <row r="59" spans="1:12" s="482" customFormat="1" ht="14.25" thickTop="1" thickBot="1" x14ac:dyDescent="0.25">
      <c r="A59" s="1489" t="s">
        <v>694</v>
      </c>
      <c r="B59" s="480">
        <v>8520</v>
      </c>
      <c r="C59" s="528"/>
      <c r="D59" s="528"/>
      <c r="E59" s="474"/>
      <c r="F59" s="474"/>
      <c r="G59" s="474"/>
      <c r="H59" s="527"/>
      <c r="I59" s="474"/>
      <c r="J59" s="474"/>
      <c r="K59" s="474"/>
      <c r="L59" s="521"/>
    </row>
    <row r="60" spans="1:12" s="482" customFormat="1" ht="14.25" thickTop="1" thickBot="1" x14ac:dyDescent="0.25">
      <c r="A60" s="1487" t="s">
        <v>580</v>
      </c>
      <c r="B60" s="480">
        <v>8530</v>
      </c>
      <c r="C60" s="528"/>
      <c r="D60" s="528"/>
      <c r="E60" s="474"/>
      <c r="F60" s="474"/>
      <c r="G60" s="474"/>
      <c r="H60" s="527"/>
      <c r="I60" s="474"/>
      <c r="J60" s="474"/>
      <c r="K60" s="474"/>
      <c r="L60" s="521"/>
    </row>
    <row r="61" spans="1:12" s="482" customFormat="1" ht="14.25" thickTop="1" thickBot="1" x14ac:dyDescent="0.25">
      <c r="A61" s="1488" t="s">
        <v>743</v>
      </c>
      <c r="B61" s="480">
        <v>8540</v>
      </c>
      <c r="C61" s="528"/>
      <c r="D61" s="528"/>
      <c r="E61" s="474"/>
      <c r="F61" s="474"/>
      <c r="G61" s="474"/>
      <c r="H61" s="527"/>
      <c r="I61" s="474"/>
      <c r="J61" s="474"/>
      <c r="K61" s="474"/>
      <c r="L61" s="521"/>
    </row>
    <row r="62" spans="1:12" s="482" customFormat="1" ht="13.5" customHeight="1" thickTop="1" thickBot="1" x14ac:dyDescent="0.25">
      <c r="A62" s="1487" t="s">
        <v>744</v>
      </c>
      <c r="B62" s="480">
        <v>8610</v>
      </c>
      <c r="C62" s="528"/>
      <c r="D62" s="528"/>
      <c r="E62" s="474"/>
      <c r="F62" s="474"/>
      <c r="G62" s="474"/>
      <c r="H62" s="474"/>
      <c r="I62" s="474"/>
      <c r="J62" s="474"/>
      <c r="K62" s="474"/>
      <c r="L62" s="521"/>
    </row>
    <row r="63" spans="1:12" s="482" customFormat="1" ht="14.25" thickTop="1" thickBot="1" x14ac:dyDescent="0.25">
      <c r="A63" s="1488" t="s">
        <v>695</v>
      </c>
      <c r="B63" s="480">
        <v>8620</v>
      </c>
      <c r="C63" s="528"/>
      <c r="D63" s="528"/>
      <c r="E63" s="474"/>
      <c r="F63" s="474"/>
      <c r="G63" s="474"/>
      <c r="H63" s="474"/>
      <c r="I63" s="474"/>
      <c r="J63" s="474"/>
      <c r="K63" s="474"/>
      <c r="L63" s="521"/>
    </row>
    <row r="64" spans="1:12" s="482" customFormat="1" ht="13.5" customHeight="1" thickTop="1" thickBot="1" x14ac:dyDescent="0.25">
      <c r="A64" s="1487" t="s">
        <v>745</v>
      </c>
      <c r="B64" s="480">
        <v>8630</v>
      </c>
      <c r="C64" s="528"/>
      <c r="D64" s="528"/>
      <c r="E64" s="474"/>
      <c r="F64" s="474"/>
      <c r="G64" s="474"/>
      <c r="H64" s="474"/>
      <c r="I64" s="474"/>
      <c r="J64" s="474"/>
      <c r="K64" s="474"/>
      <c r="L64" s="521"/>
    </row>
    <row r="65" spans="1:12" s="482" customFormat="1" ht="14.25" thickTop="1" thickBot="1" x14ac:dyDescent="0.25">
      <c r="A65" s="1488" t="s">
        <v>746</v>
      </c>
      <c r="B65" s="480">
        <v>8640</v>
      </c>
      <c r="C65" s="528"/>
      <c r="D65" s="528"/>
      <c r="E65" s="474"/>
      <c r="F65" s="474"/>
      <c r="G65" s="474"/>
      <c r="H65" s="474"/>
      <c r="I65" s="474"/>
      <c r="J65" s="474"/>
      <c r="K65" s="474"/>
      <c r="L65" s="521"/>
    </row>
    <row r="66" spans="1:12" s="482" customFormat="1" ht="14.25" thickTop="1" thickBot="1" x14ac:dyDescent="0.25">
      <c r="A66" s="1487" t="s">
        <v>747</v>
      </c>
      <c r="B66" s="480">
        <v>8710</v>
      </c>
      <c r="C66" s="528"/>
      <c r="D66" s="528"/>
      <c r="E66" s="474"/>
      <c r="F66" s="474"/>
      <c r="G66" s="474"/>
      <c r="H66" s="474"/>
      <c r="I66" s="474"/>
      <c r="J66" s="474"/>
      <c r="K66" s="474"/>
      <c r="L66" s="521"/>
    </row>
    <row r="67" spans="1:12" s="482" customFormat="1" ht="14.25" thickTop="1" thickBot="1" x14ac:dyDescent="0.25">
      <c r="A67" s="1488" t="s">
        <v>696</v>
      </c>
      <c r="B67" s="480">
        <v>8720</v>
      </c>
      <c r="C67" s="528"/>
      <c r="D67" s="528"/>
      <c r="E67" s="474"/>
      <c r="F67" s="474"/>
      <c r="G67" s="474"/>
      <c r="H67" s="474"/>
      <c r="I67" s="474"/>
      <c r="J67" s="474"/>
      <c r="K67" s="474"/>
      <c r="L67" s="521"/>
    </row>
    <row r="68" spans="1:12" s="482" customFormat="1" ht="14.25" thickTop="1" thickBot="1" x14ac:dyDescent="0.25">
      <c r="A68" s="1489" t="s">
        <v>748</v>
      </c>
      <c r="B68" s="480">
        <v>8730</v>
      </c>
      <c r="C68" s="528"/>
      <c r="D68" s="528"/>
      <c r="E68" s="474"/>
      <c r="F68" s="474"/>
      <c r="G68" s="474"/>
      <c r="H68" s="474"/>
      <c r="I68" s="474"/>
      <c r="J68" s="474"/>
      <c r="K68" s="474"/>
      <c r="L68" s="521"/>
    </row>
    <row r="69" spans="1:12" s="482" customFormat="1" ht="14.25" thickTop="1" thickBot="1" x14ac:dyDescent="0.25">
      <c r="A69" s="1488" t="s">
        <v>749</v>
      </c>
      <c r="B69" s="480">
        <v>8740</v>
      </c>
      <c r="C69" s="528"/>
      <c r="D69" s="528"/>
      <c r="E69" s="474"/>
      <c r="F69" s="474"/>
      <c r="G69" s="474"/>
      <c r="H69" s="474"/>
      <c r="I69" s="474"/>
      <c r="J69" s="474"/>
      <c r="K69" s="474"/>
      <c r="L69" s="521"/>
    </row>
    <row r="70" spans="1:12" s="482" customFormat="1" ht="14.25" thickTop="1" thickBot="1" x14ac:dyDescent="0.25">
      <c r="A70" s="1487" t="s">
        <v>750</v>
      </c>
      <c r="B70" s="480">
        <v>8810</v>
      </c>
      <c r="C70" s="528"/>
      <c r="D70" s="528"/>
      <c r="E70" s="474"/>
      <c r="F70" s="474"/>
      <c r="G70" s="474"/>
      <c r="H70" s="474"/>
      <c r="I70" s="474"/>
      <c r="J70" s="474"/>
      <c r="K70" s="474"/>
      <c r="L70" s="521"/>
    </row>
    <row r="71" spans="1:12" s="482" customFormat="1" ht="14.25" thickTop="1" thickBot="1" x14ac:dyDescent="0.25">
      <c r="A71" s="1487" t="s">
        <v>754</v>
      </c>
      <c r="B71" s="480">
        <v>8820</v>
      </c>
      <c r="C71" s="528"/>
      <c r="D71" s="528"/>
      <c r="E71" s="474"/>
      <c r="F71" s="474"/>
      <c r="G71" s="474"/>
      <c r="H71" s="474"/>
      <c r="I71" s="474"/>
      <c r="J71" s="474"/>
      <c r="K71" s="474"/>
      <c r="L71" s="521"/>
    </row>
    <row r="72" spans="1:12" s="482" customFormat="1" ht="14.25" thickTop="1" thickBot="1" x14ac:dyDescent="0.25">
      <c r="A72" s="1487" t="s">
        <v>751</v>
      </c>
      <c r="B72" s="480">
        <v>8830</v>
      </c>
      <c r="C72" s="528"/>
      <c r="D72" s="528"/>
      <c r="E72" s="474"/>
      <c r="F72" s="474"/>
      <c r="G72" s="474"/>
      <c r="H72" s="474"/>
      <c r="I72" s="474"/>
      <c r="J72" s="474"/>
      <c r="K72" s="474"/>
      <c r="L72" s="521"/>
    </row>
    <row r="73" spans="1:12" s="482" customFormat="1" ht="14.25" thickTop="1" thickBot="1" x14ac:dyDescent="0.25">
      <c r="A73" s="1487" t="s">
        <v>752</v>
      </c>
      <c r="B73" s="480">
        <v>8840</v>
      </c>
      <c r="C73" s="528"/>
      <c r="D73" s="528"/>
      <c r="E73" s="474"/>
      <c r="F73" s="474"/>
      <c r="G73" s="474"/>
      <c r="H73" s="474"/>
      <c r="I73" s="474"/>
      <c r="J73" s="474"/>
      <c r="K73" s="477"/>
      <c r="L73" s="521"/>
    </row>
    <row r="74" spans="1:12" s="482" customFormat="1" ht="14.25" thickTop="1" thickBot="1" x14ac:dyDescent="0.25">
      <c r="A74" s="1487" t="s">
        <v>375</v>
      </c>
      <c r="B74" s="480">
        <v>8910</v>
      </c>
      <c r="C74" s="528"/>
      <c r="D74" s="528"/>
      <c r="E74" s="477"/>
      <c r="F74" s="527"/>
      <c r="G74" s="527"/>
      <c r="H74" s="527"/>
      <c r="I74" s="477"/>
      <c r="J74" s="477"/>
      <c r="K74" s="527"/>
      <c r="L74" s="521"/>
    </row>
    <row r="75" spans="1:12" s="482" customFormat="1" ht="14.25" thickTop="1" thickBot="1" x14ac:dyDescent="0.25">
      <c r="A75" s="1490" t="s">
        <v>439</v>
      </c>
      <c r="B75" s="480">
        <v>8990</v>
      </c>
      <c r="C75" s="528"/>
      <c r="D75" s="528"/>
      <c r="E75" s="527"/>
      <c r="F75" s="529"/>
      <c r="G75" s="529"/>
      <c r="H75" s="529"/>
      <c r="I75" s="527"/>
      <c r="J75" s="527"/>
      <c r="K75" s="529"/>
      <c r="L75" s="521"/>
    </row>
    <row r="76" spans="1:12" s="482" customFormat="1" ht="14.25" thickTop="1" thickBot="1" x14ac:dyDescent="0.25">
      <c r="A76" s="2120" t="s">
        <v>440</v>
      </c>
      <c r="B76" s="212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22" t="s">
        <v>1177</v>
      </c>
      <c r="B77" s="212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4"/>
    </row>
    <row r="78" spans="1:12" ht="21.75" customHeight="1" thickTop="1" thickBot="1" x14ac:dyDescent="0.25">
      <c r="A78" s="2126" t="s">
        <v>597</v>
      </c>
      <c r="B78" s="2127"/>
      <c r="C78" s="1699">
        <f t="shared" ref="C78:K78" si="9">C20+C77</f>
        <v>125305</v>
      </c>
      <c r="D78" s="1699">
        <f t="shared" si="9"/>
        <v>194217</v>
      </c>
      <c r="E78" s="1699">
        <f t="shared" si="9"/>
        <v>11791</v>
      </c>
      <c r="F78" s="1699">
        <f t="shared" si="9"/>
        <v>624</v>
      </c>
      <c r="G78" s="1699">
        <f t="shared" si="9"/>
        <v>137412</v>
      </c>
      <c r="H78" s="1699">
        <f t="shared" si="9"/>
        <v>229196</v>
      </c>
      <c r="I78" s="1699">
        <f t="shared" si="9"/>
        <v>85432</v>
      </c>
      <c r="J78" s="1699">
        <f t="shared" si="9"/>
        <v>14574</v>
      </c>
      <c r="K78" s="1699">
        <f t="shared" si="9"/>
        <v>76972</v>
      </c>
      <c r="L78" s="530"/>
    </row>
    <row r="79" spans="1:12" ht="13.5" thickTop="1" x14ac:dyDescent="0.2">
      <c r="A79" s="1491" t="s">
        <v>1933</v>
      </c>
      <c r="B79" s="531"/>
      <c r="C79" s="475">
        <v>560711</v>
      </c>
      <c r="D79" s="532">
        <v>855701</v>
      </c>
      <c r="E79" s="532">
        <v>385426</v>
      </c>
      <c r="F79" s="532">
        <v>448599</v>
      </c>
      <c r="G79" s="532">
        <v>475817</v>
      </c>
      <c r="H79" s="532">
        <v>47404</v>
      </c>
      <c r="I79" s="532">
        <v>1185640</v>
      </c>
      <c r="J79" s="532">
        <v>336174</v>
      </c>
      <c r="K79" s="532">
        <v>191018</v>
      </c>
      <c r="L79" s="344"/>
    </row>
    <row r="80" spans="1:12" x14ac:dyDescent="0.2">
      <c r="A80" s="2132" t="s">
        <v>1780</v>
      </c>
      <c r="B80" s="2133"/>
      <c r="C80" s="464"/>
      <c r="D80" s="464"/>
      <c r="E80" s="464"/>
      <c r="F80" s="464"/>
      <c r="G80" s="464"/>
      <c r="H80" s="464"/>
      <c r="I80" s="464"/>
      <c r="J80" s="464"/>
      <c r="K80" s="464"/>
      <c r="L80" s="344"/>
    </row>
    <row r="81" spans="1:12" ht="13.5" thickBot="1" x14ac:dyDescent="0.25">
      <c r="A81" s="2124" t="s">
        <v>1934</v>
      </c>
      <c r="B81" s="2125"/>
      <c r="C81" s="1685">
        <f>(SUM(C78:C80))</f>
        <v>686016</v>
      </c>
      <c r="D81" s="1685">
        <f>SUM(D78:D80)</f>
        <v>1049918</v>
      </c>
      <c r="E81" s="1685">
        <f t="shared" ref="E81:K81" si="10">SUM(E78:E80)</f>
        <v>397217</v>
      </c>
      <c r="F81" s="1685">
        <f t="shared" si="10"/>
        <v>449223</v>
      </c>
      <c r="G81" s="1685">
        <f t="shared" si="10"/>
        <v>613229</v>
      </c>
      <c r="H81" s="1685">
        <f t="shared" si="10"/>
        <v>276600</v>
      </c>
      <c r="I81" s="1685">
        <f t="shared" si="10"/>
        <v>1271072</v>
      </c>
      <c r="J81" s="1685">
        <f t="shared" si="10"/>
        <v>350748</v>
      </c>
      <c r="K81" s="1685">
        <f t="shared" si="10"/>
        <v>267990</v>
      </c>
      <c r="L81" s="344"/>
    </row>
    <row r="82" spans="1:12" ht="0.75" customHeight="1" thickTop="1" thickBot="1" x14ac:dyDescent="0.25">
      <c r="A82" s="533" t="s">
        <v>343</v>
      </c>
      <c r="B82" s="534"/>
      <c r="C82" s="535">
        <f>(C81-C79)</f>
        <v>125305</v>
      </c>
      <c r="D82" s="535">
        <f t="shared" ref="D82:K82" si="11">(D81-D79)</f>
        <v>194217</v>
      </c>
      <c r="E82" s="535">
        <f t="shared" si="11"/>
        <v>11791</v>
      </c>
      <c r="F82" s="535">
        <f t="shared" si="11"/>
        <v>624</v>
      </c>
      <c r="G82" s="535">
        <f t="shared" si="11"/>
        <v>137412</v>
      </c>
      <c r="H82" s="535">
        <f t="shared" si="11"/>
        <v>229196</v>
      </c>
      <c r="I82" s="535">
        <f t="shared" si="11"/>
        <v>85432</v>
      </c>
      <c r="J82" s="535">
        <f t="shared" si="11"/>
        <v>14574</v>
      </c>
      <c r="K82" s="535">
        <f t="shared" si="11"/>
        <v>76972</v>
      </c>
    </row>
    <row r="83" spans="1:12" ht="14.25" hidden="1" thickTop="1" thickBot="1" x14ac:dyDescent="0.25">
      <c r="A83" s="536" t="s">
        <v>344</v>
      </c>
      <c r="B83" s="461"/>
      <c r="C83" s="537">
        <f>C82/C81</f>
        <v>0.18265608965388563</v>
      </c>
      <c r="D83" s="537">
        <f t="shared" ref="D83:K83" si="12">D82/D81</f>
        <v>0.18498301772138395</v>
      </c>
      <c r="E83" s="537">
        <f t="shared" si="12"/>
        <v>2.968402661517508E-2</v>
      </c>
      <c r="F83" s="537">
        <f t="shared" si="12"/>
        <v>1.3890651191056558E-3</v>
      </c>
      <c r="G83" s="537">
        <f t="shared" si="12"/>
        <v>0.22407942220606006</v>
      </c>
      <c r="H83" s="537">
        <f t="shared" si="12"/>
        <v>0.82861894432393346</v>
      </c>
      <c r="I83" s="537">
        <f t="shared" si="12"/>
        <v>6.7212557589184568E-2</v>
      </c>
      <c r="J83" s="537">
        <f t="shared" si="12"/>
        <v>4.1551199151527593E-2</v>
      </c>
      <c r="K83" s="537">
        <f t="shared" si="12"/>
        <v>0.2872196723758349</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1" bottom="0.48" header="0.4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86" activePane="bottomLeft" state="frozen"/>
      <selection pane="bottomLeft" activeCell="C200" sqref="C200"/>
    </sheetView>
  </sheetViews>
  <sheetFormatPr defaultColWidth="9.140625" defaultRowHeight="12.75" x14ac:dyDescent="0.2"/>
  <cols>
    <col min="1" max="1" width="54.140625" style="591" customWidth="1"/>
    <col min="2" max="2" width="4.7109375" style="592" customWidth="1"/>
    <col min="3" max="11" width="13.7109375" style="381" customWidth="1"/>
    <col min="12" max="16384" width="9.140625" style="381"/>
  </cols>
  <sheetData>
    <row r="1" spans="1:12" x14ac:dyDescent="0.2">
      <c r="A1" s="2128" t="s">
        <v>1787</v>
      </c>
      <c r="B1" s="449"/>
      <c r="C1" s="450" t="s">
        <v>425</v>
      </c>
      <c r="D1" s="450" t="s">
        <v>426</v>
      </c>
      <c r="E1" s="450" t="s">
        <v>427</v>
      </c>
      <c r="F1" s="450" t="s">
        <v>428</v>
      </c>
      <c r="G1" s="450" t="s">
        <v>429</v>
      </c>
      <c r="H1" s="450" t="s">
        <v>430</v>
      </c>
      <c r="I1" s="450" t="s">
        <v>431</v>
      </c>
      <c r="J1" s="450" t="s">
        <v>432</v>
      </c>
      <c r="K1" s="450" t="s">
        <v>756</v>
      </c>
    </row>
    <row r="2" spans="1:12" ht="36" x14ac:dyDescent="0.2">
      <c r="A2" s="212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1647</v>
      </c>
      <c r="B5" s="544"/>
      <c r="C5" s="478">
        <f>5476180+323239</f>
        <v>5799419</v>
      </c>
      <c r="D5" s="478">
        <v>939745</v>
      </c>
      <c r="E5" s="463">
        <v>1056030</v>
      </c>
      <c r="F5" s="545">
        <v>341724</v>
      </c>
      <c r="G5" s="463">
        <v>221062</v>
      </c>
      <c r="H5" s="463"/>
      <c r="I5" s="463">
        <v>85432</v>
      </c>
      <c r="J5" s="464">
        <v>630624</v>
      </c>
      <c r="K5" s="463">
        <v>85432</v>
      </c>
    </row>
    <row r="6" spans="1:12" ht="15" x14ac:dyDescent="0.2">
      <c r="A6" s="460" t="s">
        <v>1648</v>
      </c>
      <c r="B6" s="467">
        <v>1130</v>
      </c>
      <c r="C6" s="463">
        <f>408671-323239</f>
        <v>85432</v>
      </c>
      <c r="D6" s="463"/>
      <c r="E6" s="472"/>
      <c r="F6" s="472"/>
      <c r="G6" s="465"/>
      <c r="H6" s="465"/>
      <c r="I6" s="465"/>
      <c r="J6" s="465"/>
      <c r="K6" s="465"/>
    </row>
    <row r="7" spans="1:12" x14ac:dyDescent="0.2">
      <c r="A7" s="460" t="s">
        <v>110</v>
      </c>
      <c r="B7" s="546">
        <v>1140</v>
      </c>
      <c r="C7" s="463">
        <v>68346</v>
      </c>
      <c r="D7" s="463"/>
      <c r="E7" s="465"/>
      <c r="F7" s="464"/>
      <c r="G7" s="464"/>
      <c r="H7" s="464"/>
      <c r="I7" s="465"/>
      <c r="J7" s="465"/>
      <c r="K7" s="465"/>
    </row>
    <row r="8" spans="1:12" x14ac:dyDescent="0.2">
      <c r="A8" s="460" t="s">
        <v>413</v>
      </c>
      <c r="B8" s="467">
        <v>1150</v>
      </c>
      <c r="C8" s="472"/>
      <c r="D8" s="472"/>
      <c r="E8" s="474"/>
      <c r="F8" s="474"/>
      <c r="G8" s="478">
        <v>213384</v>
      </c>
      <c r="H8" s="465"/>
      <c r="I8" s="465"/>
      <c r="J8" s="465"/>
      <c r="K8" s="465"/>
    </row>
    <row r="9" spans="1:12" x14ac:dyDescent="0.2">
      <c r="A9" s="470" t="s">
        <v>111</v>
      </c>
      <c r="B9" s="467">
        <v>1160</v>
      </c>
      <c r="C9" s="465"/>
      <c r="D9" s="464"/>
      <c r="E9" s="464"/>
      <c r="F9" s="466"/>
      <c r="G9" s="472"/>
      <c r="H9" s="464"/>
      <c r="I9" s="465"/>
      <c r="J9" s="465"/>
      <c r="K9" s="465"/>
    </row>
    <row r="10" spans="1:12" x14ac:dyDescent="0.2">
      <c r="A10" s="470" t="s">
        <v>112</v>
      </c>
      <c r="B10" s="467">
        <v>1170</v>
      </c>
      <c r="C10" s="464"/>
      <c r="D10" s="523"/>
      <c r="E10" s="523"/>
      <c r="F10" s="466"/>
      <c r="G10" s="465"/>
      <c r="H10" s="465"/>
      <c r="I10" s="465"/>
      <c r="J10" s="465"/>
      <c r="K10" s="465"/>
    </row>
    <row r="11" spans="1:12" x14ac:dyDescent="0.2">
      <c r="A11" s="470" t="s">
        <v>414</v>
      </c>
      <c r="B11" s="547">
        <v>1190</v>
      </c>
      <c r="C11" s="548"/>
      <c r="D11" s="463"/>
      <c r="E11" s="463"/>
      <c r="F11" s="463"/>
      <c r="G11" s="463"/>
      <c r="H11" s="463"/>
      <c r="I11" s="463"/>
      <c r="J11" s="464"/>
      <c r="K11" s="463"/>
      <c r="L11" s="549"/>
    </row>
    <row r="12" spans="1:12" ht="12.75" customHeight="1" thickBot="1" x14ac:dyDescent="0.25">
      <c r="A12" s="1702" t="s">
        <v>29</v>
      </c>
      <c r="B12" s="1703"/>
      <c r="C12" s="1704">
        <f t="shared" ref="C12:K12" si="0">SUM(C5:C11)</f>
        <v>5953197</v>
      </c>
      <c r="D12" s="1704">
        <f t="shared" si="0"/>
        <v>939745</v>
      </c>
      <c r="E12" s="1704">
        <f t="shared" si="0"/>
        <v>1056030</v>
      </c>
      <c r="F12" s="1704">
        <f t="shared" si="0"/>
        <v>341724</v>
      </c>
      <c r="G12" s="1704">
        <f t="shared" si="0"/>
        <v>434446</v>
      </c>
      <c r="H12" s="1704">
        <f t="shared" si="0"/>
        <v>0</v>
      </c>
      <c r="I12" s="1704">
        <f t="shared" si="0"/>
        <v>85432</v>
      </c>
      <c r="J12" s="1704">
        <f t="shared" si="0"/>
        <v>630624</v>
      </c>
      <c r="K12" s="1685">
        <f t="shared" si="0"/>
        <v>85432</v>
      </c>
    </row>
    <row r="13" spans="1:12" ht="15.75" customHeight="1" thickTop="1" x14ac:dyDescent="0.2">
      <c r="A13" s="1589" t="s">
        <v>451</v>
      </c>
      <c r="B13" s="1590">
        <v>1200</v>
      </c>
      <c r="C13" s="550"/>
      <c r="D13" s="550"/>
      <c r="E13" s="550"/>
      <c r="F13" s="550"/>
      <c r="G13" s="550"/>
      <c r="H13" s="550"/>
      <c r="I13" s="550"/>
      <c r="J13" s="550"/>
      <c r="K13" s="465"/>
    </row>
    <row r="14" spans="1:12" x14ac:dyDescent="0.2">
      <c r="A14" s="460" t="s">
        <v>3</v>
      </c>
      <c r="B14" s="467">
        <v>1210</v>
      </c>
      <c r="C14" s="548"/>
      <c r="D14" s="463"/>
      <c r="E14" s="463"/>
      <c r="F14" s="463"/>
      <c r="G14" s="463"/>
      <c r="H14" s="463"/>
      <c r="I14" s="463"/>
      <c r="J14" s="464"/>
      <c r="K14" s="463"/>
    </row>
    <row r="15" spans="1:12" ht="12.75" customHeight="1" x14ac:dyDescent="0.2">
      <c r="A15" s="460" t="s">
        <v>95</v>
      </c>
      <c r="B15" s="467">
        <v>1220</v>
      </c>
      <c r="C15" s="548"/>
      <c r="D15" s="463"/>
      <c r="E15" s="463"/>
      <c r="F15" s="463"/>
      <c r="G15" s="463"/>
      <c r="H15" s="463"/>
      <c r="I15" s="463"/>
      <c r="J15" s="464"/>
      <c r="K15" s="463"/>
    </row>
    <row r="16" spans="1:12" ht="15" customHeight="1" x14ac:dyDescent="0.2">
      <c r="A16" s="460" t="s">
        <v>1649</v>
      </c>
      <c r="B16" s="546">
        <v>1230</v>
      </c>
      <c r="C16" s="548">
        <v>383216</v>
      </c>
      <c r="D16" s="463"/>
      <c r="E16" s="463"/>
      <c r="F16" s="463"/>
      <c r="G16" s="463">
        <v>7500</v>
      </c>
      <c r="H16" s="463"/>
      <c r="I16" s="463"/>
      <c r="J16" s="464"/>
      <c r="K16" s="463"/>
    </row>
    <row r="17" spans="1:11" ht="12.75" customHeight="1" x14ac:dyDescent="0.2">
      <c r="A17" s="460" t="s">
        <v>807</v>
      </c>
      <c r="B17" s="467">
        <v>1290</v>
      </c>
      <c r="C17" s="548"/>
      <c r="D17" s="463"/>
      <c r="E17" s="463"/>
      <c r="F17" s="463"/>
      <c r="G17" s="463"/>
      <c r="H17" s="463"/>
      <c r="I17" s="463"/>
      <c r="J17" s="464"/>
      <c r="K17" s="463"/>
    </row>
    <row r="18" spans="1:11" ht="12.75" customHeight="1" thickBot="1" x14ac:dyDescent="0.25">
      <c r="A18" s="1705" t="s">
        <v>537</v>
      </c>
      <c r="B18" s="1706"/>
      <c r="C18" s="1707">
        <f>SUM(C14:C17)</f>
        <v>383216</v>
      </c>
      <c r="D18" s="1707">
        <f t="shared" ref="D18:K18" si="1">SUM(D14:D17)</f>
        <v>0</v>
      </c>
      <c r="E18" s="1707">
        <f t="shared" si="1"/>
        <v>0</v>
      </c>
      <c r="F18" s="1707">
        <f t="shared" si="1"/>
        <v>0</v>
      </c>
      <c r="G18" s="1707">
        <f t="shared" si="1"/>
        <v>7500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0" t="s">
        <v>1073</v>
      </c>
      <c r="B20" s="467">
        <v>1311</v>
      </c>
      <c r="C20" s="463">
        <v>24585</v>
      </c>
      <c r="D20" s="465"/>
      <c r="E20" s="465"/>
      <c r="F20" s="465"/>
      <c r="G20" s="465"/>
      <c r="H20" s="465"/>
      <c r="I20" s="465"/>
      <c r="J20" s="465"/>
      <c r="K20" s="465"/>
    </row>
    <row r="21" spans="1:11" ht="12.75" customHeight="1" x14ac:dyDescent="0.2">
      <c r="A21" s="460" t="s">
        <v>832</v>
      </c>
      <c r="B21" s="467">
        <v>1312</v>
      </c>
      <c r="C21" s="548"/>
      <c r="D21" s="465"/>
      <c r="E21" s="465"/>
      <c r="F21" s="465"/>
      <c r="G21" s="465"/>
      <c r="H21" s="465"/>
      <c r="I21" s="465"/>
      <c r="J21" s="465"/>
      <c r="K21" s="465"/>
    </row>
    <row r="22" spans="1:11" ht="12.75" customHeight="1" x14ac:dyDescent="0.2">
      <c r="A22" s="460" t="s">
        <v>1074</v>
      </c>
      <c r="B22" s="467">
        <v>1313</v>
      </c>
      <c r="C22" s="548"/>
      <c r="D22" s="465"/>
      <c r="E22" s="465"/>
      <c r="F22" s="465"/>
      <c r="G22" s="465"/>
      <c r="H22" s="465"/>
      <c r="I22" s="465"/>
      <c r="J22" s="465"/>
      <c r="K22" s="465"/>
    </row>
    <row r="23" spans="1:11" ht="12.75" customHeight="1" x14ac:dyDescent="0.2">
      <c r="A23" s="460" t="s">
        <v>1075</v>
      </c>
      <c r="B23" s="467">
        <v>1314</v>
      </c>
      <c r="C23" s="486"/>
      <c r="D23" s="465"/>
      <c r="E23" s="465"/>
      <c r="F23" s="465"/>
      <c r="G23" s="465"/>
      <c r="H23" s="465"/>
      <c r="I23" s="465"/>
      <c r="J23" s="465"/>
      <c r="K23" s="465"/>
    </row>
    <row r="24" spans="1:11" ht="12.75" customHeight="1" x14ac:dyDescent="0.2">
      <c r="A24" s="460" t="s">
        <v>1027</v>
      </c>
      <c r="B24" s="467">
        <v>1321</v>
      </c>
      <c r="C24" s="548"/>
      <c r="D24" s="465"/>
      <c r="E24" s="465"/>
      <c r="F24" s="465"/>
      <c r="G24" s="465"/>
      <c r="H24" s="465"/>
      <c r="I24" s="465"/>
      <c r="J24" s="465"/>
      <c r="K24" s="465"/>
    </row>
    <row r="25" spans="1:11" ht="12.75" customHeight="1" x14ac:dyDescent="0.2">
      <c r="A25" s="460" t="s">
        <v>833</v>
      </c>
      <c r="B25" s="467">
        <v>1322</v>
      </c>
      <c r="C25" s="548"/>
      <c r="D25" s="465"/>
      <c r="E25" s="465"/>
      <c r="F25" s="465"/>
      <c r="G25" s="465"/>
      <c r="H25" s="465"/>
      <c r="I25" s="465"/>
      <c r="J25" s="465"/>
      <c r="K25" s="465"/>
    </row>
    <row r="26" spans="1:11" ht="12.75" customHeight="1" x14ac:dyDescent="0.2">
      <c r="A26" s="460" t="s">
        <v>1101</v>
      </c>
      <c r="B26" s="467">
        <v>1323</v>
      </c>
      <c r="C26" s="548"/>
      <c r="D26" s="465"/>
      <c r="E26" s="465"/>
      <c r="F26" s="465"/>
      <c r="G26" s="465"/>
      <c r="H26" s="465"/>
      <c r="I26" s="465"/>
      <c r="J26" s="465"/>
      <c r="K26" s="465"/>
    </row>
    <row r="27" spans="1:11" ht="12.75" customHeight="1" x14ac:dyDescent="0.2">
      <c r="A27" s="460" t="s">
        <v>1023</v>
      </c>
      <c r="B27" s="467">
        <v>1324</v>
      </c>
      <c r="C27" s="486"/>
      <c r="D27" s="465"/>
      <c r="E27" s="465"/>
      <c r="F27" s="465"/>
      <c r="G27" s="465"/>
      <c r="H27" s="465"/>
      <c r="I27" s="465"/>
      <c r="J27" s="465"/>
      <c r="K27" s="465"/>
    </row>
    <row r="28" spans="1:11" ht="12.75" customHeight="1" x14ac:dyDescent="0.2">
      <c r="A28" s="460" t="s">
        <v>1024</v>
      </c>
      <c r="B28" s="467">
        <v>1331</v>
      </c>
      <c r="C28" s="548"/>
      <c r="D28" s="465"/>
      <c r="E28" s="465"/>
      <c r="F28" s="465"/>
      <c r="G28" s="465"/>
      <c r="H28" s="465"/>
      <c r="I28" s="465"/>
      <c r="J28" s="465"/>
      <c r="K28" s="465"/>
    </row>
    <row r="29" spans="1:11" ht="12.75" customHeight="1" x14ac:dyDescent="0.2">
      <c r="A29" s="460" t="s">
        <v>834</v>
      </c>
      <c r="B29" s="467">
        <v>1332</v>
      </c>
      <c r="C29" s="548"/>
      <c r="D29" s="465"/>
      <c r="E29" s="465"/>
      <c r="F29" s="465"/>
      <c r="G29" s="465"/>
      <c r="H29" s="465"/>
      <c r="I29" s="465"/>
      <c r="J29" s="465"/>
      <c r="K29" s="465"/>
    </row>
    <row r="30" spans="1:11" ht="12.75" customHeight="1" x14ac:dyDescent="0.2">
      <c r="A30" s="460" t="s">
        <v>1026</v>
      </c>
      <c r="B30" s="467">
        <v>1333</v>
      </c>
      <c r="C30" s="548"/>
      <c r="D30" s="465"/>
      <c r="E30" s="465"/>
      <c r="F30" s="465"/>
      <c r="G30" s="465"/>
      <c r="H30" s="465"/>
      <c r="I30" s="465"/>
      <c r="J30" s="465"/>
      <c r="K30" s="465"/>
    </row>
    <row r="31" spans="1:11" ht="12.75" customHeight="1" x14ac:dyDescent="0.2">
      <c r="A31" s="460" t="s">
        <v>1025</v>
      </c>
      <c r="B31" s="467">
        <v>1334</v>
      </c>
      <c r="C31" s="486"/>
      <c r="D31" s="465"/>
      <c r="E31" s="465"/>
      <c r="F31" s="465"/>
      <c r="G31" s="465"/>
      <c r="H31" s="465"/>
      <c r="I31" s="465"/>
      <c r="J31" s="465"/>
      <c r="K31" s="465"/>
    </row>
    <row r="32" spans="1:11" ht="12.75" customHeight="1" x14ac:dyDescent="0.2">
      <c r="A32" s="460" t="s">
        <v>494</v>
      </c>
      <c r="B32" s="467">
        <v>1341</v>
      </c>
      <c r="C32" s="548"/>
      <c r="D32" s="465"/>
      <c r="E32" s="465"/>
      <c r="F32" s="465"/>
      <c r="G32" s="465"/>
      <c r="H32" s="465"/>
      <c r="I32" s="465"/>
      <c r="J32" s="465"/>
      <c r="K32" s="465"/>
    </row>
    <row r="33" spans="1:11" ht="12.75" customHeight="1" x14ac:dyDescent="0.2">
      <c r="A33" s="460" t="s">
        <v>835</v>
      </c>
      <c r="B33" s="467">
        <v>1342</v>
      </c>
      <c r="C33" s="548"/>
      <c r="D33" s="465"/>
      <c r="E33" s="465"/>
      <c r="F33" s="465"/>
      <c r="G33" s="465"/>
      <c r="H33" s="465"/>
      <c r="I33" s="465"/>
      <c r="J33" s="465"/>
      <c r="K33" s="465"/>
    </row>
    <row r="34" spans="1:11" ht="12.75" customHeight="1" x14ac:dyDescent="0.2">
      <c r="A34" s="460" t="s">
        <v>495</v>
      </c>
      <c r="B34" s="467">
        <v>1343</v>
      </c>
      <c r="C34" s="548"/>
      <c r="D34" s="465"/>
      <c r="E34" s="465"/>
      <c r="F34" s="465"/>
      <c r="G34" s="465"/>
      <c r="H34" s="465"/>
      <c r="I34" s="465"/>
      <c r="J34" s="465"/>
      <c r="K34" s="465"/>
    </row>
    <row r="35" spans="1:11" ht="12.75" customHeight="1" x14ac:dyDescent="0.2">
      <c r="A35" s="460" t="s">
        <v>493</v>
      </c>
      <c r="B35" s="467">
        <v>1344</v>
      </c>
      <c r="C35" s="486"/>
      <c r="D35" s="465"/>
      <c r="E35" s="465"/>
      <c r="F35" s="465"/>
      <c r="G35" s="465"/>
      <c r="H35" s="465"/>
      <c r="I35" s="465"/>
      <c r="J35" s="465"/>
      <c r="K35" s="465"/>
    </row>
    <row r="36" spans="1:11" ht="12.75" customHeight="1" x14ac:dyDescent="0.2">
      <c r="A36" s="460" t="s">
        <v>831</v>
      </c>
      <c r="B36" s="467">
        <v>1351</v>
      </c>
      <c r="C36" s="548"/>
      <c r="D36" s="465"/>
      <c r="E36" s="465"/>
      <c r="F36" s="465"/>
      <c r="G36" s="465"/>
      <c r="H36" s="465"/>
      <c r="I36" s="465"/>
      <c r="J36" s="465"/>
      <c r="K36" s="465"/>
    </row>
    <row r="37" spans="1:11" ht="12.75" customHeight="1" x14ac:dyDescent="0.2">
      <c r="A37" s="460" t="s">
        <v>836</v>
      </c>
      <c r="B37" s="467">
        <v>1352</v>
      </c>
      <c r="C37" s="548"/>
      <c r="D37" s="465"/>
      <c r="E37" s="465"/>
      <c r="F37" s="465"/>
      <c r="G37" s="465"/>
      <c r="H37" s="465"/>
      <c r="I37" s="465"/>
      <c r="J37" s="465"/>
      <c r="K37" s="465"/>
    </row>
    <row r="38" spans="1:11" ht="12.75" customHeight="1" x14ac:dyDescent="0.2">
      <c r="A38" s="460" t="s">
        <v>593</v>
      </c>
      <c r="B38" s="467">
        <v>1353</v>
      </c>
      <c r="C38" s="548"/>
      <c r="D38" s="465"/>
      <c r="E38" s="465"/>
      <c r="F38" s="465"/>
      <c r="G38" s="465"/>
      <c r="H38" s="465"/>
      <c r="I38" s="465"/>
      <c r="J38" s="465"/>
      <c r="K38" s="465"/>
    </row>
    <row r="39" spans="1:11" ht="12.75" customHeight="1" x14ac:dyDescent="0.2">
      <c r="A39" s="1492" t="s">
        <v>594</v>
      </c>
      <c r="B39" s="553">
        <v>1354</v>
      </c>
      <c r="C39" s="486"/>
      <c r="D39" s="465"/>
      <c r="E39" s="465"/>
      <c r="F39" s="465"/>
      <c r="G39" s="465"/>
      <c r="H39" s="465"/>
      <c r="I39" s="465"/>
      <c r="J39" s="465"/>
      <c r="K39" s="465"/>
    </row>
    <row r="40" spans="1:11" ht="12.75" customHeight="1" thickBot="1" x14ac:dyDescent="0.25">
      <c r="A40" s="1705" t="s">
        <v>538</v>
      </c>
      <c r="B40" s="1706"/>
      <c r="C40" s="1685">
        <f>SUM(C20:C39)</f>
        <v>24585</v>
      </c>
      <c r="D40" s="465"/>
      <c r="E40" s="465"/>
      <c r="F40" s="465"/>
      <c r="G40" s="465"/>
      <c r="H40" s="465"/>
      <c r="I40" s="465"/>
      <c r="J40" s="465"/>
      <c r="K40" s="465"/>
    </row>
    <row r="41" spans="1:11" ht="15.75" customHeight="1" thickTop="1" x14ac:dyDescent="0.2">
      <c r="A41" s="1589" t="s">
        <v>274</v>
      </c>
      <c r="B41" s="1590">
        <v>1400</v>
      </c>
      <c r="C41" s="465"/>
      <c r="D41" s="465"/>
      <c r="E41" s="465"/>
      <c r="F41" s="518"/>
      <c r="G41" s="465"/>
      <c r="H41" s="465"/>
      <c r="I41" s="465"/>
      <c r="J41" s="465"/>
      <c r="K41" s="465"/>
    </row>
    <row r="42" spans="1:11" ht="12.75" customHeight="1" x14ac:dyDescent="0.2">
      <c r="A42" s="460" t="s">
        <v>1076</v>
      </c>
      <c r="B42" s="467">
        <v>1411</v>
      </c>
      <c r="C42" s="465"/>
      <c r="D42" s="465"/>
      <c r="E42" s="465"/>
      <c r="F42" s="478"/>
      <c r="G42" s="465"/>
      <c r="H42" s="465"/>
      <c r="I42" s="465"/>
      <c r="J42" s="465"/>
      <c r="K42" s="465"/>
    </row>
    <row r="43" spans="1:11" ht="12.75" customHeight="1" x14ac:dyDescent="0.2">
      <c r="A43" s="460" t="s">
        <v>837</v>
      </c>
      <c r="B43" s="467">
        <v>1412</v>
      </c>
      <c r="C43" s="465"/>
      <c r="D43" s="465"/>
      <c r="E43" s="465"/>
      <c r="F43" s="463"/>
      <c r="G43" s="465"/>
      <c r="H43" s="465"/>
      <c r="I43" s="465"/>
      <c r="J43" s="465"/>
      <c r="K43" s="465"/>
    </row>
    <row r="44" spans="1:11" ht="12.75" customHeight="1" x14ac:dyDescent="0.2">
      <c r="A44" s="460" t="s">
        <v>384</v>
      </c>
      <c r="B44" s="467">
        <v>1413</v>
      </c>
      <c r="C44" s="465"/>
      <c r="D44" s="465"/>
      <c r="E44" s="465"/>
      <c r="F44" s="463"/>
      <c r="G44" s="465"/>
      <c r="H44" s="465"/>
      <c r="I44" s="465"/>
      <c r="J44" s="465"/>
      <c r="K44" s="465"/>
    </row>
    <row r="45" spans="1:11" ht="12.75" customHeight="1" x14ac:dyDescent="0.2">
      <c r="A45" s="460" t="s">
        <v>240</v>
      </c>
      <c r="B45" s="467">
        <v>1415</v>
      </c>
      <c r="C45" s="465"/>
      <c r="D45" s="465"/>
      <c r="E45" s="465"/>
      <c r="F45" s="463"/>
      <c r="G45" s="465"/>
      <c r="H45" s="465"/>
      <c r="I45" s="465"/>
      <c r="J45" s="465"/>
      <c r="K45" s="465"/>
    </row>
    <row r="46" spans="1:11" ht="12.75" customHeight="1" x14ac:dyDescent="0.2">
      <c r="A46" s="460" t="s">
        <v>1174</v>
      </c>
      <c r="B46" s="467">
        <v>1416</v>
      </c>
      <c r="C46" s="465"/>
      <c r="D46" s="465"/>
      <c r="E46" s="465"/>
      <c r="F46" s="464"/>
      <c r="G46" s="465"/>
      <c r="H46" s="465"/>
      <c r="I46" s="465"/>
      <c r="J46" s="465"/>
      <c r="K46" s="465"/>
    </row>
    <row r="47" spans="1:11" ht="12.75" customHeight="1" x14ac:dyDescent="0.2">
      <c r="A47" s="460" t="s">
        <v>57</v>
      </c>
      <c r="B47" s="467">
        <v>1421</v>
      </c>
      <c r="C47" s="465"/>
      <c r="D47" s="465"/>
      <c r="E47" s="465"/>
      <c r="F47" s="463"/>
      <c r="G47" s="465"/>
      <c r="H47" s="465"/>
      <c r="I47" s="465"/>
      <c r="J47" s="465"/>
      <c r="K47" s="465"/>
    </row>
    <row r="48" spans="1:11" ht="12.75" customHeight="1" x14ac:dyDescent="0.2">
      <c r="A48" s="460" t="s">
        <v>838</v>
      </c>
      <c r="B48" s="467">
        <v>1422</v>
      </c>
      <c r="C48" s="465"/>
      <c r="D48" s="465"/>
      <c r="E48" s="465"/>
      <c r="F48" s="463"/>
      <c r="G48" s="465"/>
      <c r="H48" s="465"/>
      <c r="I48" s="465"/>
      <c r="J48" s="465"/>
      <c r="K48" s="465"/>
    </row>
    <row r="49" spans="1:11" ht="12.75" customHeight="1" x14ac:dyDescent="0.2">
      <c r="A49" s="460" t="s">
        <v>58</v>
      </c>
      <c r="B49" s="467">
        <v>1423</v>
      </c>
      <c r="C49" s="465"/>
      <c r="D49" s="465"/>
      <c r="E49" s="465"/>
      <c r="F49" s="463"/>
      <c r="G49" s="465"/>
      <c r="H49" s="465"/>
      <c r="I49" s="465"/>
      <c r="J49" s="465"/>
      <c r="K49" s="465"/>
    </row>
    <row r="50" spans="1:11" ht="12.75" customHeight="1" x14ac:dyDescent="0.2">
      <c r="A50" s="460" t="s">
        <v>59</v>
      </c>
      <c r="B50" s="467">
        <v>1424</v>
      </c>
      <c r="C50" s="465"/>
      <c r="D50" s="465"/>
      <c r="E50" s="465"/>
      <c r="F50" s="464"/>
      <c r="G50" s="465"/>
      <c r="H50" s="465"/>
      <c r="I50" s="465"/>
      <c r="J50" s="465"/>
      <c r="K50" s="465"/>
    </row>
    <row r="51" spans="1:11" ht="12.75" customHeight="1" x14ac:dyDescent="0.2">
      <c r="A51" s="1493" t="s">
        <v>60</v>
      </c>
      <c r="B51" s="554">
        <v>1431</v>
      </c>
      <c r="C51" s="465"/>
      <c r="D51" s="465"/>
      <c r="E51" s="465"/>
      <c r="F51" s="463"/>
      <c r="G51" s="465"/>
      <c r="H51" s="465"/>
      <c r="I51" s="465"/>
      <c r="J51" s="465"/>
      <c r="K51" s="465"/>
    </row>
    <row r="52" spans="1:11" ht="12.75" customHeight="1" x14ac:dyDescent="0.2">
      <c r="A52" s="1493" t="s">
        <v>1106</v>
      </c>
      <c r="B52" s="554">
        <v>1432</v>
      </c>
      <c r="C52" s="465"/>
      <c r="D52" s="465"/>
      <c r="E52" s="465"/>
      <c r="F52" s="463"/>
      <c r="G52" s="465"/>
      <c r="H52" s="465"/>
      <c r="I52" s="465"/>
      <c r="J52" s="465"/>
      <c r="K52" s="465"/>
    </row>
    <row r="53" spans="1:11" ht="12.75" customHeight="1" x14ac:dyDescent="0.2">
      <c r="A53" s="1493" t="s">
        <v>61</v>
      </c>
      <c r="B53" s="554">
        <v>1433</v>
      </c>
      <c r="C53" s="465"/>
      <c r="D53" s="465"/>
      <c r="E53" s="465"/>
      <c r="F53" s="463"/>
      <c r="G53" s="465"/>
      <c r="H53" s="465"/>
      <c r="I53" s="465"/>
      <c r="J53" s="465"/>
      <c r="K53" s="465"/>
    </row>
    <row r="54" spans="1:11" ht="12.75" customHeight="1" x14ac:dyDescent="0.2">
      <c r="A54" s="1493" t="s">
        <v>62</v>
      </c>
      <c r="B54" s="554">
        <v>1434</v>
      </c>
      <c r="C54" s="465"/>
      <c r="D54" s="465"/>
      <c r="E54" s="465"/>
      <c r="F54" s="464"/>
      <c r="G54" s="465"/>
      <c r="H54" s="465"/>
      <c r="I54" s="465"/>
      <c r="J54" s="465"/>
      <c r="K54" s="465"/>
    </row>
    <row r="55" spans="1:11" ht="12.75" customHeight="1" x14ac:dyDescent="0.2">
      <c r="A55" s="1493" t="s">
        <v>63</v>
      </c>
      <c r="B55" s="554">
        <v>1441</v>
      </c>
      <c r="C55" s="465"/>
      <c r="D55" s="465"/>
      <c r="E55" s="465"/>
      <c r="F55" s="463"/>
      <c r="G55" s="465"/>
      <c r="H55" s="465"/>
      <c r="I55" s="465"/>
      <c r="J55" s="465"/>
      <c r="K55" s="465"/>
    </row>
    <row r="56" spans="1:11" ht="12.75" customHeight="1" x14ac:dyDescent="0.2">
      <c r="A56" s="1493" t="s">
        <v>1107</v>
      </c>
      <c r="B56" s="554">
        <v>1442</v>
      </c>
      <c r="C56" s="465"/>
      <c r="D56" s="465"/>
      <c r="E56" s="465"/>
      <c r="F56" s="463"/>
      <c r="G56" s="465"/>
      <c r="H56" s="465"/>
      <c r="I56" s="465"/>
      <c r="J56" s="465"/>
      <c r="K56" s="465"/>
    </row>
    <row r="57" spans="1:11" ht="12.75" customHeight="1" x14ac:dyDescent="0.2">
      <c r="A57" s="1493" t="s">
        <v>489</v>
      </c>
      <c r="B57" s="554">
        <v>1443</v>
      </c>
      <c r="C57" s="465"/>
      <c r="D57" s="465"/>
      <c r="E57" s="465"/>
      <c r="F57" s="463"/>
      <c r="G57" s="465"/>
      <c r="H57" s="465"/>
      <c r="I57" s="465"/>
      <c r="J57" s="465"/>
      <c r="K57" s="465"/>
    </row>
    <row r="58" spans="1:11" ht="12.75" customHeight="1" x14ac:dyDescent="0.2">
      <c r="A58" s="1493" t="s">
        <v>65</v>
      </c>
      <c r="B58" s="554">
        <v>1444</v>
      </c>
      <c r="C58" s="465"/>
      <c r="D58" s="465"/>
      <c r="E58" s="465"/>
      <c r="F58" s="463"/>
      <c r="G58" s="465"/>
      <c r="H58" s="465"/>
      <c r="I58" s="465"/>
      <c r="J58" s="465"/>
      <c r="K58" s="465"/>
    </row>
    <row r="59" spans="1:11" ht="12.75" customHeight="1" x14ac:dyDescent="0.2">
      <c r="A59" s="1493" t="s">
        <v>878</v>
      </c>
      <c r="B59" s="554">
        <v>1451</v>
      </c>
      <c r="C59" s="465"/>
      <c r="D59" s="465"/>
      <c r="E59" s="465"/>
      <c r="F59" s="463"/>
      <c r="G59" s="465"/>
      <c r="H59" s="465"/>
      <c r="I59" s="465"/>
      <c r="J59" s="465"/>
      <c r="K59" s="465"/>
    </row>
    <row r="60" spans="1:11" ht="12.75" customHeight="1" x14ac:dyDescent="0.2">
      <c r="A60" s="1493" t="s">
        <v>1108</v>
      </c>
      <c r="B60" s="554">
        <v>1452</v>
      </c>
      <c r="C60" s="465"/>
      <c r="D60" s="465"/>
      <c r="E60" s="465"/>
      <c r="F60" s="463"/>
      <c r="G60" s="465"/>
      <c r="H60" s="465"/>
      <c r="I60" s="465"/>
      <c r="J60" s="465"/>
      <c r="K60" s="465"/>
    </row>
    <row r="61" spans="1:11" ht="12.75" customHeight="1" x14ac:dyDescent="0.2">
      <c r="A61" s="560" t="s">
        <v>879</v>
      </c>
      <c r="B61" s="554">
        <v>1453</v>
      </c>
      <c r="C61" s="465"/>
      <c r="D61" s="465"/>
      <c r="E61" s="465"/>
      <c r="F61" s="463"/>
      <c r="G61" s="465"/>
      <c r="H61" s="465"/>
      <c r="I61" s="465"/>
      <c r="J61" s="465"/>
      <c r="K61" s="465"/>
    </row>
    <row r="62" spans="1:11" ht="12.75" customHeight="1" x14ac:dyDescent="0.2">
      <c r="A62" s="1494" t="s">
        <v>880</v>
      </c>
      <c r="B62" s="555">
        <v>1454</v>
      </c>
      <c r="C62" s="465"/>
      <c r="D62" s="465"/>
      <c r="E62" s="465"/>
      <c r="F62" s="464"/>
      <c r="G62" s="465"/>
      <c r="H62" s="465"/>
      <c r="I62" s="465"/>
      <c r="J62" s="465"/>
      <c r="K62" s="465"/>
    </row>
    <row r="63" spans="1:11" ht="12.75" customHeight="1" thickBot="1" x14ac:dyDescent="0.25">
      <c r="A63" s="1705" t="s">
        <v>485</v>
      </c>
      <c r="B63" s="1706"/>
      <c r="C63" s="465"/>
      <c r="D63" s="465"/>
      <c r="E63" s="465"/>
      <c r="F63" s="1685">
        <f>SUM(F42:F62)</f>
        <v>0</v>
      </c>
      <c r="G63" s="465"/>
      <c r="H63" s="465"/>
      <c r="I63" s="465"/>
      <c r="J63" s="465"/>
      <c r="K63" s="465"/>
    </row>
    <row r="64" spans="1:11" ht="15.75" customHeight="1" thickTop="1" x14ac:dyDescent="0.2">
      <c r="A64" s="1589" t="s">
        <v>454</v>
      </c>
      <c r="B64" s="1590">
        <v>1500</v>
      </c>
      <c r="C64" s="465"/>
      <c r="D64" s="465"/>
      <c r="E64" s="465"/>
      <c r="F64" s="465"/>
      <c r="G64" s="465"/>
      <c r="H64" s="465"/>
      <c r="I64" s="465"/>
      <c r="J64" s="465"/>
      <c r="K64" s="465"/>
    </row>
    <row r="65" spans="1:11" ht="12.75" customHeight="1" x14ac:dyDescent="0.2">
      <c r="A65" s="460" t="s">
        <v>547</v>
      </c>
      <c r="B65" s="467">
        <v>1510</v>
      </c>
      <c r="C65" s="463">
        <v>100401</v>
      </c>
      <c r="D65" s="463">
        <v>408</v>
      </c>
      <c r="E65" s="463">
        <v>9883</v>
      </c>
      <c r="F65" s="464"/>
      <c r="G65" s="463">
        <f>12821+317</f>
        <v>13138</v>
      </c>
      <c r="H65" s="463"/>
      <c r="I65" s="463"/>
      <c r="J65" s="464">
        <v>13174</v>
      </c>
      <c r="K65" s="463">
        <v>4878</v>
      </c>
    </row>
    <row r="66" spans="1:11" ht="12.75" customHeight="1" x14ac:dyDescent="0.2">
      <c r="A66" s="460" t="s">
        <v>679</v>
      </c>
      <c r="B66" s="467">
        <v>1520</v>
      </c>
      <c r="C66" s="463"/>
      <c r="D66" s="463"/>
      <c r="E66" s="463"/>
      <c r="F66" s="463"/>
      <c r="G66" s="463"/>
      <c r="H66" s="463"/>
      <c r="I66" s="463"/>
      <c r="J66" s="464"/>
      <c r="K66" s="463"/>
    </row>
    <row r="67" spans="1:11" ht="12.75" customHeight="1" thickBot="1" x14ac:dyDescent="0.25">
      <c r="A67" s="1705" t="s">
        <v>486</v>
      </c>
      <c r="B67" s="1706"/>
      <c r="C67" s="1685">
        <f>SUM(C65:C66)</f>
        <v>100401</v>
      </c>
      <c r="D67" s="1685">
        <f t="shared" ref="D67:K67" si="2">SUM(D65:D66)</f>
        <v>408</v>
      </c>
      <c r="E67" s="1685">
        <f t="shared" si="2"/>
        <v>9883</v>
      </c>
      <c r="F67" s="1685">
        <f t="shared" si="2"/>
        <v>0</v>
      </c>
      <c r="G67" s="1685">
        <f t="shared" si="2"/>
        <v>13138</v>
      </c>
      <c r="H67" s="1685">
        <f t="shared" si="2"/>
        <v>0</v>
      </c>
      <c r="I67" s="1685">
        <f t="shared" si="2"/>
        <v>0</v>
      </c>
      <c r="J67" s="1685">
        <f t="shared" si="2"/>
        <v>13174</v>
      </c>
      <c r="K67" s="1685">
        <f t="shared" si="2"/>
        <v>4878</v>
      </c>
    </row>
    <row r="68" spans="1:11" ht="15.75" customHeight="1" thickTop="1" x14ac:dyDescent="0.2">
      <c r="A68" s="1589" t="s">
        <v>455</v>
      </c>
      <c r="B68" s="1591">
        <v>1600</v>
      </c>
      <c r="C68" s="550"/>
      <c r="D68" s="465"/>
      <c r="E68" s="465"/>
      <c r="F68" s="465"/>
      <c r="G68" s="465"/>
      <c r="H68" s="465"/>
      <c r="I68" s="465"/>
      <c r="J68" s="465"/>
      <c r="K68" s="465"/>
    </row>
    <row r="69" spans="1:11" ht="12.75" customHeight="1" x14ac:dyDescent="0.2">
      <c r="A69" s="460" t="s">
        <v>666</v>
      </c>
      <c r="B69" s="467">
        <v>1611</v>
      </c>
      <c r="C69" s="463">
        <v>103556</v>
      </c>
      <c r="D69" s="465"/>
      <c r="E69" s="465"/>
      <c r="F69" s="465"/>
      <c r="G69" s="465"/>
      <c r="H69" s="465"/>
      <c r="I69" s="465"/>
      <c r="J69" s="465"/>
      <c r="K69" s="465"/>
    </row>
    <row r="70" spans="1:11" ht="12.75" customHeight="1" x14ac:dyDescent="0.2">
      <c r="A70" s="460" t="s">
        <v>997</v>
      </c>
      <c r="B70" s="467">
        <v>1612</v>
      </c>
      <c r="C70" s="548">
        <v>5796</v>
      </c>
      <c r="D70" s="465"/>
      <c r="E70" s="465"/>
      <c r="F70" s="465"/>
      <c r="G70" s="465"/>
      <c r="H70" s="465"/>
      <c r="I70" s="465"/>
      <c r="J70" s="465"/>
      <c r="K70" s="465"/>
    </row>
    <row r="71" spans="1:11" ht="12.75" customHeight="1" x14ac:dyDescent="0.2">
      <c r="A71" s="460" t="s">
        <v>273</v>
      </c>
      <c r="B71" s="467">
        <v>1613</v>
      </c>
      <c r="C71" s="548">
        <v>48332</v>
      </c>
      <c r="D71" s="465"/>
      <c r="E71" s="465"/>
      <c r="F71" s="465"/>
      <c r="G71" s="465"/>
      <c r="H71" s="465"/>
      <c r="I71" s="465"/>
      <c r="J71" s="465"/>
      <c r="K71" s="465"/>
    </row>
    <row r="72" spans="1:11" ht="12.75" customHeight="1" x14ac:dyDescent="0.2">
      <c r="A72" s="460" t="s">
        <v>24</v>
      </c>
      <c r="B72" s="467">
        <v>1614</v>
      </c>
      <c r="C72" s="548"/>
      <c r="D72" s="465"/>
      <c r="E72" s="465"/>
      <c r="F72" s="465"/>
      <c r="G72" s="465"/>
      <c r="H72" s="465"/>
      <c r="I72" s="465"/>
      <c r="J72" s="465"/>
      <c r="K72" s="465"/>
    </row>
    <row r="73" spans="1:11" ht="12.75" customHeight="1" x14ac:dyDescent="0.2">
      <c r="A73" s="460" t="s">
        <v>998</v>
      </c>
      <c r="B73" s="467">
        <v>1620</v>
      </c>
      <c r="C73" s="548">
        <v>1106</v>
      </c>
      <c r="D73" s="465"/>
      <c r="E73" s="465"/>
      <c r="F73" s="465"/>
      <c r="G73" s="465"/>
      <c r="H73" s="465"/>
      <c r="I73" s="465"/>
      <c r="J73" s="465"/>
      <c r="K73" s="465"/>
    </row>
    <row r="74" spans="1:11" ht="12.75" customHeight="1" x14ac:dyDescent="0.2">
      <c r="A74" s="460" t="s">
        <v>25</v>
      </c>
      <c r="B74" s="467">
        <v>1690</v>
      </c>
      <c r="C74" s="548">
        <v>6894</v>
      </c>
      <c r="D74" s="465"/>
      <c r="E74" s="465"/>
      <c r="F74" s="465"/>
      <c r="G74" s="465"/>
      <c r="H74" s="465"/>
      <c r="I74" s="465"/>
      <c r="J74" s="465"/>
      <c r="K74" s="465"/>
    </row>
    <row r="75" spans="1:11" ht="12.75" customHeight="1" thickBot="1" x14ac:dyDescent="0.25">
      <c r="A75" s="1705" t="s">
        <v>548</v>
      </c>
      <c r="B75" s="1706"/>
      <c r="C75" s="1685">
        <f>SUM(C69:C74)</f>
        <v>165684</v>
      </c>
      <c r="D75" s="465"/>
      <c r="E75" s="465"/>
      <c r="F75" s="465"/>
      <c r="G75" s="465"/>
      <c r="H75" s="465"/>
      <c r="I75" s="465"/>
      <c r="J75" s="465"/>
      <c r="K75" s="465"/>
    </row>
    <row r="76" spans="1:11" ht="15.75" customHeight="1" thickTop="1" x14ac:dyDescent="0.2">
      <c r="A76" s="1589" t="s">
        <v>881</v>
      </c>
      <c r="B76" s="1591">
        <v>1700</v>
      </c>
      <c r="C76" s="550"/>
      <c r="D76" s="465"/>
      <c r="E76" s="465"/>
      <c r="F76" s="465"/>
      <c r="G76" s="465"/>
      <c r="H76" s="465"/>
      <c r="I76" s="465"/>
      <c r="J76" s="465"/>
      <c r="K76" s="465"/>
    </row>
    <row r="77" spans="1:11" ht="12.75" customHeight="1" x14ac:dyDescent="0.2">
      <c r="A77" s="460" t="s">
        <v>549</v>
      </c>
      <c r="B77" s="467">
        <v>1711</v>
      </c>
      <c r="C77" s="513">
        <v>14628</v>
      </c>
      <c r="D77" s="463"/>
      <c r="E77" s="465"/>
      <c r="F77" s="465"/>
      <c r="G77" s="465"/>
      <c r="H77" s="465"/>
      <c r="I77" s="465"/>
      <c r="J77" s="465"/>
      <c r="K77" s="465"/>
    </row>
    <row r="78" spans="1:11" ht="12.75" customHeight="1" x14ac:dyDescent="0.2">
      <c r="A78" s="460" t="s">
        <v>76</v>
      </c>
      <c r="B78" s="467">
        <v>1719</v>
      </c>
      <c r="C78" s="548"/>
      <c r="D78" s="463"/>
      <c r="E78" s="465"/>
      <c r="F78" s="465"/>
      <c r="G78" s="465"/>
      <c r="H78" s="465"/>
      <c r="I78" s="465"/>
      <c r="J78" s="465"/>
      <c r="K78" s="465"/>
    </row>
    <row r="79" spans="1:11" ht="12.75" customHeight="1" x14ac:dyDescent="0.2">
      <c r="A79" s="460" t="s">
        <v>550</v>
      </c>
      <c r="B79" s="467">
        <v>1720</v>
      </c>
      <c r="C79" s="548"/>
      <c r="D79" s="463"/>
      <c r="E79" s="465"/>
      <c r="F79" s="465"/>
      <c r="G79" s="465"/>
      <c r="H79" s="465"/>
      <c r="I79" s="465"/>
      <c r="J79" s="465"/>
      <c r="K79" s="465"/>
    </row>
    <row r="80" spans="1:11" ht="12.75" customHeight="1" x14ac:dyDescent="0.2">
      <c r="A80" s="460" t="s">
        <v>551</v>
      </c>
      <c r="B80" s="467">
        <v>1730</v>
      </c>
      <c r="C80" s="548"/>
      <c r="D80" s="463"/>
      <c r="E80" s="465"/>
      <c r="F80" s="465"/>
      <c r="G80" s="465"/>
      <c r="H80" s="465"/>
      <c r="I80" s="465"/>
      <c r="J80" s="465"/>
      <c r="K80" s="465"/>
    </row>
    <row r="81" spans="1:11" ht="12.75" customHeight="1" x14ac:dyDescent="0.2">
      <c r="A81" s="460" t="s">
        <v>26</v>
      </c>
      <c r="B81" s="467">
        <v>1790</v>
      </c>
      <c r="C81" s="548">
        <v>5073</v>
      </c>
      <c r="D81" s="463"/>
      <c r="E81" s="465"/>
      <c r="F81" s="465"/>
      <c r="G81" s="465"/>
      <c r="H81" s="465"/>
      <c r="I81" s="465"/>
      <c r="J81" s="465"/>
      <c r="K81" s="465"/>
    </row>
    <row r="82" spans="1:11" ht="12.75" customHeight="1" thickBot="1" x14ac:dyDescent="0.25">
      <c r="A82" s="1705" t="s">
        <v>241</v>
      </c>
      <c r="B82" s="1706"/>
      <c r="C82" s="1704">
        <f>SUM(C77:C81)</f>
        <v>19701</v>
      </c>
      <c r="D82" s="1685">
        <f>SUM(D77:D81)</f>
        <v>0</v>
      </c>
      <c r="E82" s="465"/>
      <c r="F82" s="465"/>
      <c r="G82" s="465"/>
      <c r="H82" s="465"/>
      <c r="I82" s="465"/>
      <c r="J82" s="465"/>
      <c r="K82" s="465"/>
    </row>
    <row r="83" spans="1:11" ht="15.75" customHeight="1" thickTop="1" x14ac:dyDescent="0.2">
      <c r="A83" s="1589" t="s">
        <v>242</v>
      </c>
      <c r="B83" s="1591">
        <v>1800</v>
      </c>
      <c r="C83" s="550"/>
      <c r="D83" s="465"/>
      <c r="E83" s="465"/>
      <c r="F83" s="465"/>
      <c r="G83" s="465"/>
      <c r="H83" s="465"/>
      <c r="I83" s="465"/>
      <c r="J83" s="465"/>
      <c r="K83" s="465"/>
    </row>
    <row r="84" spans="1:11" ht="12.75" customHeight="1" x14ac:dyDescent="0.2">
      <c r="A84" s="460" t="s">
        <v>552</v>
      </c>
      <c r="B84" s="467">
        <v>1811</v>
      </c>
      <c r="C84" s="463">
        <v>78131</v>
      </c>
      <c r="D84" s="465"/>
      <c r="E84" s="465"/>
      <c r="F84" s="465"/>
      <c r="G84" s="465"/>
      <c r="H84" s="465"/>
      <c r="I84" s="465"/>
      <c r="J84" s="465"/>
      <c r="K84" s="465"/>
    </row>
    <row r="85" spans="1:11" ht="12.75" customHeight="1" x14ac:dyDescent="0.2">
      <c r="A85" s="460" t="s">
        <v>553</v>
      </c>
      <c r="B85" s="467">
        <v>1812</v>
      </c>
      <c r="C85" s="548"/>
      <c r="D85" s="465"/>
      <c r="E85" s="465"/>
      <c r="F85" s="465"/>
      <c r="G85" s="465"/>
      <c r="H85" s="465"/>
      <c r="I85" s="465"/>
      <c r="J85" s="465"/>
      <c r="K85" s="465"/>
    </row>
    <row r="86" spans="1:11" ht="12.75" customHeight="1" x14ac:dyDescent="0.2">
      <c r="A86" s="460" t="s">
        <v>999</v>
      </c>
      <c r="B86" s="467">
        <v>1813</v>
      </c>
      <c r="C86" s="548"/>
      <c r="D86" s="465"/>
      <c r="E86" s="465"/>
      <c r="F86" s="465"/>
      <c r="G86" s="465"/>
      <c r="H86" s="465"/>
      <c r="I86" s="465"/>
      <c r="J86" s="465"/>
      <c r="K86" s="465"/>
    </row>
    <row r="87" spans="1:11" ht="12.75" customHeight="1" x14ac:dyDescent="0.2">
      <c r="A87" s="460" t="s">
        <v>77</v>
      </c>
      <c r="B87" s="467">
        <v>1819</v>
      </c>
      <c r="C87" s="548"/>
      <c r="D87" s="465"/>
      <c r="E87" s="465"/>
      <c r="F87" s="465"/>
      <c r="G87" s="465"/>
      <c r="H87" s="465"/>
      <c r="I87" s="465"/>
      <c r="J87" s="465"/>
      <c r="K87" s="465"/>
    </row>
    <row r="88" spans="1:11" ht="12.75" customHeight="1" x14ac:dyDescent="0.2">
      <c r="A88" s="460" t="s">
        <v>554</v>
      </c>
      <c r="B88" s="467">
        <v>1821</v>
      </c>
      <c r="C88" s="548"/>
      <c r="D88" s="465"/>
      <c r="E88" s="465"/>
      <c r="F88" s="465"/>
      <c r="G88" s="465"/>
      <c r="H88" s="465"/>
      <c r="I88" s="465"/>
      <c r="J88" s="465"/>
      <c r="K88" s="465"/>
    </row>
    <row r="89" spans="1:11" ht="12.75" customHeight="1" x14ac:dyDescent="0.2">
      <c r="A89" s="460" t="s">
        <v>714</v>
      </c>
      <c r="B89" s="467">
        <v>1822</v>
      </c>
      <c r="C89" s="548"/>
      <c r="D89" s="465"/>
      <c r="E89" s="465"/>
      <c r="F89" s="465"/>
      <c r="G89" s="465"/>
      <c r="H89" s="465"/>
      <c r="I89" s="465"/>
      <c r="J89" s="465"/>
      <c r="K89" s="465"/>
    </row>
    <row r="90" spans="1:11" ht="12.75" customHeight="1" x14ac:dyDescent="0.2">
      <c r="A90" s="460" t="s">
        <v>139</v>
      </c>
      <c r="B90" s="467">
        <v>1823</v>
      </c>
      <c r="C90" s="548"/>
      <c r="D90" s="465"/>
      <c r="E90" s="465"/>
      <c r="F90" s="465"/>
      <c r="G90" s="465"/>
      <c r="H90" s="465"/>
      <c r="I90" s="465"/>
      <c r="J90" s="465"/>
      <c r="K90" s="465"/>
    </row>
    <row r="91" spans="1:11" ht="12.75" customHeight="1" x14ac:dyDescent="0.2">
      <c r="A91" s="460" t="s">
        <v>27</v>
      </c>
      <c r="B91" s="467">
        <v>1829</v>
      </c>
      <c r="C91" s="548"/>
      <c r="D91" s="465"/>
      <c r="E91" s="465"/>
      <c r="F91" s="465"/>
      <c r="G91" s="465"/>
      <c r="H91" s="465"/>
      <c r="I91" s="465"/>
      <c r="J91" s="465"/>
      <c r="K91" s="465"/>
    </row>
    <row r="92" spans="1:11" ht="12.75" customHeight="1" x14ac:dyDescent="0.2">
      <c r="A92" s="460" t="s">
        <v>762</v>
      </c>
      <c r="B92" s="467">
        <v>1890</v>
      </c>
      <c r="C92" s="548"/>
      <c r="D92" s="465"/>
      <c r="E92" s="465"/>
      <c r="F92" s="465"/>
      <c r="G92" s="465"/>
      <c r="H92" s="465"/>
      <c r="I92" s="465"/>
      <c r="J92" s="465"/>
      <c r="K92" s="465"/>
    </row>
    <row r="93" spans="1:11" ht="12.75" customHeight="1" thickBot="1" x14ac:dyDescent="0.25">
      <c r="A93" s="1705" t="s">
        <v>243</v>
      </c>
      <c r="B93" s="1706"/>
      <c r="C93" s="1685">
        <f>SUM(C84:C92)</f>
        <v>78131</v>
      </c>
      <c r="D93" s="465"/>
      <c r="E93" s="465"/>
      <c r="F93" s="465"/>
      <c r="G93" s="465"/>
      <c r="H93" s="465"/>
      <c r="I93" s="465"/>
      <c r="J93" s="465"/>
      <c r="K93" s="465"/>
    </row>
    <row r="94" spans="1:11" ht="15.75" customHeight="1" thickTop="1" x14ac:dyDescent="0.2">
      <c r="A94" s="1589" t="s">
        <v>1137</v>
      </c>
      <c r="B94" s="1591">
        <v>1900</v>
      </c>
      <c r="C94" s="550"/>
      <c r="D94" s="518"/>
      <c r="E94" s="465"/>
      <c r="F94" s="465"/>
      <c r="G94" s="465"/>
      <c r="H94" s="465"/>
      <c r="I94" s="465"/>
      <c r="J94" s="465"/>
      <c r="K94" s="465"/>
    </row>
    <row r="95" spans="1:11" ht="12.75" customHeight="1" x14ac:dyDescent="0.2">
      <c r="A95" s="460" t="s">
        <v>1064</v>
      </c>
      <c r="B95" s="467">
        <v>1910</v>
      </c>
      <c r="C95" s="463"/>
      <c r="D95" s="548"/>
      <c r="E95" s="518"/>
      <c r="F95" s="518"/>
      <c r="G95" s="518"/>
      <c r="H95" s="518"/>
      <c r="I95" s="518"/>
      <c r="J95" s="518"/>
      <c r="K95" s="518"/>
    </row>
    <row r="96" spans="1:11" ht="12.75" customHeight="1" x14ac:dyDescent="0.2">
      <c r="A96" s="460" t="s">
        <v>391</v>
      </c>
      <c r="B96" s="467">
        <v>1920</v>
      </c>
      <c r="C96" s="548"/>
      <c r="D96" s="548"/>
      <c r="E96" s="476"/>
      <c r="F96" s="475"/>
      <c r="G96" s="475"/>
      <c r="H96" s="475"/>
      <c r="I96" s="475"/>
      <c r="J96" s="475"/>
      <c r="K96" s="475"/>
    </row>
    <row r="97" spans="1:12" ht="12.75" customHeight="1" x14ac:dyDescent="0.2">
      <c r="A97" s="1492" t="s">
        <v>244</v>
      </c>
      <c r="B97" s="556">
        <v>1930</v>
      </c>
      <c r="C97" s="486"/>
      <c r="D97" s="464"/>
      <c r="E97" s="471"/>
      <c r="F97" s="464"/>
      <c r="G97" s="464"/>
      <c r="H97" s="464"/>
      <c r="I97" s="464"/>
      <c r="J97" s="464"/>
      <c r="K97" s="464"/>
    </row>
    <row r="98" spans="1:12" ht="12.75" customHeight="1" x14ac:dyDescent="0.2">
      <c r="A98" s="460" t="s">
        <v>189</v>
      </c>
      <c r="B98" s="467">
        <v>1940</v>
      </c>
      <c r="C98" s="486"/>
      <c r="D98" s="463"/>
      <c r="E98" s="509"/>
      <c r="F98" s="463"/>
      <c r="G98" s="509"/>
      <c r="H98" s="509"/>
      <c r="I98" s="507"/>
      <c r="J98" s="509"/>
      <c r="K98" s="509"/>
    </row>
    <row r="99" spans="1:12" ht="12.75" customHeight="1" x14ac:dyDescent="0.2">
      <c r="A99" s="460" t="s">
        <v>821</v>
      </c>
      <c r="B99" s="467">
        <v>1950</v>
      </c>
      <c r="C99" s="486"/>
      <c r="D99" s="463"/>
      <c r="E99" s="463"/>
      <c r="F99" s="463"/>
      <c r="G99" s="463"/>
      <c r="H99" s="463"/>
      <c r="I99" s="465"/>
      <c r="J99" s="464"/>
      <c r="K99" s="463"/>
    </row>
    <row r="100" spans="1:12" ht="12.75" customHeight="1" x14ac:dyDescent="0.2">
      <c r="A100" s="460" t="s">
        <v>245</v>
      </c>
      <c r="B100" s="467">
        <v>1960</v>
      </c>
      <c r="C100" s="486"/>
      <c r="D100" s="486"/>
      <c r="E100" s="486"/>
      <c r="F100" s="486"/>
      <c r="G100" s="486"/>
      <c r="H100" s="486">
        <v>29958</v>
      </c>
      <c r="I100" s="464"/>
      <c r="J100" s="486"/>
      <c r="K100" s="464"/>
    </row>
    <row r="101" spans="1:12" ht="12.75" customHeight="1" x14ac:dyDescent="0.2">
      <c r="A101" s="460" t="s">
        <v>246</v>
      </c>
      <c r="B101" s="467">
        <v>1970</v>
      </c>
      <c r="C101" s="486">
        <v>14785</v>
      </c>
      <c r="D101" s="523"/>
      <c r="E101" s="477"/>
      <c r="F101" s="523"/>
      <c r="G101" s="472"/>
      <c r="H101" s="523"/>
      <c r="I101" s="465"/>
      <c r="J101" s="472"/>
      <c r="K101" s="472"/>
    </row>
    <row r="102" spans="1:12" ht="12.75" customHeight="1" x14ac:dyDescent="0.2">
      <c r="A102" s="460" t="s">
        <v>247</v>
      </c>
      <c r="B102" s="467">
        <v>1980</v>
      </c>
      <c r="C102" s="486"/>
      <c r="D102" s="486"/>
      <c r="E102" s="486"/>
      <c r="F102" s="486"/>
      <c r="G102" s="486"/>
      <c r="H102" s="486"/>
      <c r="I102" s="464"/>
      <c r="J102" s="486"/>
      <c r="K102" s="464"/>
    </row>
    <row r="103" spans="1:12" ht="12.75" customHeight="1" x14ac:dyDescent="0.2">
      <c r="A103" s="460" t="s">
        <v>345</v>
      </c>
      <c r="B103" s="467">
        <v>1983</v>
      </c>
      <c r="C103" s="465"/>
      <c r="D103" s="465"/>
      <c r="E103" s="557"/>
      <c r="F103" s="465"/>
      <c r="G103" s="465"/>
      <c r="H103" s="486">
        <v>199238</v>
      </c>
      <c r="I103" s="465"/>
      <c r="J103" s="507"/>
      <c r="K103" s="507"/>
    </row>
    <row r="104" spans="1:12" ht="12.75" customHeight="1" x14ac:dyDescent="0.2">
      <c r="A104" s="460" t="s">
        <v>830</v>
      </c>
      <c r="B104" s="467">
        <v>1991</v>
      </c>
      <c r="C104" s="486"/>
      <c r="D104" s="463"/>
      <c r="E104" s="478"/>
      <c r="F104" s="464"/>
      <c r="G104" s="464"/>
      <c r="H104" s="463"/>
      <c r="I104" s="465"/>
      <c r="J104" s="465"/>
      <c r="K104" s="465"/>
    </row>
    <row r="105" spans="1:12" ht="12.75" customHeight="1" x14ac:dyDescent="0.2">
      <c r="A105" s="460" t="s">
        <v>822</v>
      </c>
      <c r="B105" s="467">
        <v>1992</v>
      </c>
      <c r="C105" s="463"/>
      <c r="D105" s="558"/>
      <c r="E105" s="465"/>
      <c r="F105" s="465"/>
      <c r="G105" s="465"/>
      <c r="H105" s="507"/>
      <c r="I105" s="465"/>
      <c r="J105" s="465"/>
      <c r="K105" s="465"/>
    </row>
    <row r="106" spans="1:12" ht="12.75" customHeight="1" x14ac:dyDescent="0.2">
      <c r="A106" s="460" t="s">
        <v>1430</v>
      </c>
      <c r="B106" s="467">
        <v>1993</v>
      </c>
      <c r="C106" s="463">
        <v>27898</v>
      </c>
      <c r="D106" s="486"/>
      <c r="E106" s="464"/>
      <c r="F106" s="464"/>
      <c r="G106" s="464"/>
      <c r="H106" s="464"/>
      <c r="I106" s="518"/>
      <c r="J106" s="464"/>
      <c r="K106" s="464"/>
    </row>
    <row r="107" spans="1:12" ht="12.75" customHeight="1" x14ac:dyDescent="0.2">
      <c r="A107" s="460" t="s">
        <v>78</v>
      </c>
      <c r="B107" s="467">
        <v>1999</v>
      </c>
      <c r="C107" s="548">
        <v>37465</v>
      </c>
      <c r="D107" s="463"/>
      <c r="E107" s="463"/>
      <c r="F107" s="463">
        <v>500</v>
      </c>
      <c r="G107" s="463"/>
      <c r="H107" s="463"/>
      <c r="I107" s="463"/>
      <c r="J107" s="464"/>
      <c r="K107" s="463"/>
    </row>
    <row r="108" spans="1:12" ht="12.75" customHeight="1" thickBot="1" x14ac:dyDescent="0.25">
      <c r="A108" s="1705" t="s">
        <v>487</v>
      </c>
      <c r="B108" s="1709"/>
      <c r="C108" s="1704">
        <f>SUM(C95:C107)</f>
        <v>80148</v>
      </c>
      <c r="D108" s="1704">
        <f t="shared" ref="D108:K108" si="3">SUM(D95:D107)</f>
        <v>0</v>
      </c>
      <c r="E108" s="1704">
        <f t="shared" si="3"/>
        <v>0</v>
      </c>
      <c r="F108" s="1704">
        <f t="shared" si="3"/>
        <v>500</v>
      </c>
      <c r="G108" s="1704">
        <f t="shared" si="3"/>
        <v>0</v>
      </c>
      <c r="H108" s="1704">
        <f t="shared" si="3"/>
        <v>229196</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6805063</v>
      </c>
      <c r="D109" s="1712">
        <f t="shared" si="4"/>
        <v>940153</v>
      </c>
      <c r="E109" s="1712">
        <f t="shared" si="4"/>
        <v>1065913</v>
      </c>
      <c r="F109" s="1712">
        <f t="shared" si="4"/>
        <v>342224</v>
      </c>
      <c r="G109" s="1712">
        <f t="shared" si="4"/>
        <v>455084</v>
      </c>
      <c r="H109" s="1712">
        <f t="shared" si="4"/>
        <v>229196</v>
      </c>
      <c r="I109" s="1712">
        <f t="shared" si="4"/>
        <v>85432</v>
      </c>
      <c r="J109" s="1712">
        <f t="shared" si="4"/>
        <v>643798</v>
      </c>
      <c r="K109" s="1699">
        <f t="shared" si="4"/>
        <v>90310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c r="D111" s="478"/>
      <c r="E111" s="558"/>
      <c r="F111" s="478"/>
      <c r="G111" s="478"/>
      <c r="H111" s="558"/>
      <c r="I111" s="465"/>
      <c r="J111" s="465"/>
      <c r="K111" s="465"/>
    </row>
    <row r="112" spans="1:12" ht="12.75" customHeight="1" x14ac:dyDescent="0.2">
      <c r="A112" s="460" t="s">
        <v>824</v>
      </c>
      <c r="B112" s="467">
        <v>2200</v>
      </c>
      <c r="C112" s="548"/>
      <c r="D112" s="463"/>
      <c r="E112" s="558"/>
      <c r="F112" s="463"/>
      <c r="G112" s="463"/>
      <c r="H112" s="558"/>
      <c r="I112" s="465"/>
      <c r="J112" s="465"/>
      <c r="K112" s="465"/>
      <c r="L112" s="549"/>
    </row>
    <row r="113" spans="1:11" ht="12.75" customHeight="1" x14ac:dyDescent="0.2">
      <c r="A113" s="460" t="s">
        <v>28</v>
      </c>
      <c r="B113" s="467">
        <v>2300</v>
      </c>
      <c r="C113" s="548"/>
      <c r="D113" s="463"/>
      <c r="E113" s="558"/>
      <c r="F113" s="463"/>
      <c r="G113" s="463"/>
      <c r="H113" s="558"/>
      <c r="I113" s="465"/>
      <c r="J113" s="465"/>
      <c r="K113" s="465"/>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5"/>
      <c r="J114" s="465"/>
      <c r="K114" s="465"/>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5"/>
      <c r="J116" s="518"/>
      <c r="K116" s="518"/>
    </row>
    <row r="117" spans="1:11" ht="12.75" customHeight="1" x14ac:dyDescent="0.2">
      <c r="A117" s="460" t="s">
        <v>1653</v>
      </c>
      <c r="B117" s="559">
        <v>3001</v>
      </c>
      <c r="C117" s="513">
        <v>2565185</v>
      </c>
      <c r="D117" s="478"/>
      <c r="E117" s="463"/>
      <c r="F117" s="478"/>
      <c r="G117" s="478"/>
      <c r="H117" s="463"/>
      <c r="I117" s="465"/>
      <c r="J117" s="464"/>
      <c r="K117" s="463"/>
    </row>
    <row r="118" spans="1:11" ht="12.75" customHeight="1" x14ac:dyDescent="0.2">
      <c r="A118" s="460" t="s">
        <v>1784</v>
      </c>
      <c r="B118" s="559">
        <v>3002</v>
      </c>
      <c r="C118" s="548"/>
      <c r="D118" s="463"/>
      <c r="E118" s="463"/>
      <c r="F118" s="463"/>
      <c r="G118" s="463"/>
      <c r="H118" s="463"/>
      <c r="I118" s="465"/>
      <c r="J118" s="464"/>
      <c r="K118" s="463"/>
    </row>
    <row r="119" spans="1:11" ht="12.75" customHeight="1" x14ac:dyDescent="0.2">
      <c r="A119" s="460" t="s">
        <v>1785</v>
      </c>
      <c r="B119" s="559">
        <v>3005</v>
      </c>
      <c r="C119" s="548"/>
      <c r="D119" s="463"/>
      <c r="E119" s="463"/>
      <c r="F119" s="463"/>
      <c r="G119" s="463"/>
      <c r="H119" s="463"/>
      <c r="I119" s="465"/>
      <c r="J119" s="464"/>
      <c r="K119" s="463"/>
    </row>
    <row r="120" spans="1:11" ht="12.75" customHeight="1" x14ac:dyDescent="0.2">
      <c r="A120" s="1927" t="s">
        <v>1920</v>
      </c>
      <c r="B120" s="559">
        <v>3030</v>
      </c>
      <c r="C120" s="548"/>
      <c r="D120" s="463"/>
      <c r="E120" s="463"/>
      <c r="F120" s="463"/>
      <c r="G120" s="463"/>
      <c r="H120" s="463"/>
      <c r="I120" s="465"/>
      <c r="J120" s="464"/>
      <c r="K120" s="463"/>
    </row>
    <row r="121" spans="1:11" x14ac:dyDescent="0.2">
      <c r="A121" s="1493" t="s">
        <v>1786</v>
      </c>
      <c r="B121" s="561">
        <v>3099</v>
      </c>
      <c r="C121" s="548"/>
      <c r="D121" s="463"/>
      <c r="E121" s="463"/>
      <c r="F121" s="463"/>
      <c r="G121" s="463"/>
      <c r="H121" s="463"/>
      <c r="I121" s="465"/>
      <c r="J121" s="464"/>
      <c r="K121" s="463"/>
    </row>
    <row r="122" spans="1:11" ht="12.6" customHeight="1" thickBot="1" x14ac:dyDescent="0.25">
      <c r="A122" s="1705" t="s">
        <v>488</v>
      </c>
      <c r="B122" s="1716"/>
      <c r="C122" s="1704">
        <f t="shared" ref="C122:H122" si="5">SUM(C117:C121)</f>
        <v>2565185</v>
      </c>
      <c r="D122" s="1704">
        <f t="shared" si="5"/>
        <v>0</v>
      </c>
      <c r="E122" s="1704">
        <f t="shared" si="5"/>
        <v>0</v>
      </c>
      <c r="F122" s="1704">
        <f t="shared" si="5"/>
        <v>0</v>
      </c>
      <c r="G122" s="1704">
        <f t="shared" si="5"/>
        <v>0</v>
      </c>
      <c r="H122" s="1704">
        <f t="shared" si="5"/>
        <v>0</v>
      </c>
      <c r="I122" s="465"/>
      <c r="J122" s="1704">
        <f>SUM(J117:J121)</f>
        <v>0</v>
      </c>
      <c r="K122" s="1685">
        <f>SUM(K117:K121)</f>
        <v>0</v>
      </c>
    </row>
    <row r="123" spans="1:11" ht="15.75" customHeight="1" thickTop="1" x14ac:dyDescent="0.2">
      <c r="A123" s="1589" t="s">
        <v>1490</v>
      </c>
      <c r="B123" s="1594"/>
      <c r="C123" s="562"/>
      <c r="D123" s="506"/>
      <c r="E123" s="465"/>
      <c r="F123" s="563"/>
      <c r="G123" s="465"/>
      <c r="H123" s="465"/>
      <c r="I123" s="465"/>
      <c r="J123" s="465"/>
      <c r="K123" s="465"/>
    </row>
    <row r="124" spans="1:11" ht="15" customHeight="1" x14ac:dyDescent="0.2">
      <c r="A124" s="1595" t="s">
        <v>667</v>
      </c>
      <c r="B124" s="1596"/>
      <c r="C124" s="518"/>
      <c r="D124" s="506"/>
      <c r="E124" s="465"/>
      <c r="F124" s="518"/>
      <c r="G124" s="465"/>
      <c r="H124" s="465"/>
      <c r="I124" s="465"/>
      <c r="J124" s="465"/>
      <c r="K124" s="465"/>
    </row>
    <row r="125" spans="1:11" ht="12.75" customHeight="1" x14ac:dyDescent="0.2">
      <c r="A125" s="460" t="s">
        <v>866</v>
      </c>
      <c r="B125" s="564">
        <v>3100</v>
      </c>
      <c r="C125" s="478">
        <v>166085</v>
      </c>
      <c r="D125" s="558"/>
      <c r="E125" s="465"/>
      <c r="F125" s="545"/>
      <c r="G125" s="465"/>
      <c r="H125" s="465"/>
      <c r="I125" s="465"/>
      <c r="J125" s="465"/>
      <c r="K125" s="465"/>
    </row>
    <row r="126" spans="1:11" ht="12.75" customHeight="1" x14ac:dyDescent="0.2">
      <c r="A126" s="460" t="s">
        <v>1446</v>
      </c>
      <c r="B126" s="559">
        <v>3105</v>
      </c>
      <c r="C126" s="463"/>
      <c r="D126" s="558"/>
      <c r="E126" s="465"/>
      <c r="F126" s="463"/>
      <c r="G126" s="465"/>
      <c r="H126" s="465"/>
      <c r="I126" s="465"/>
      <c r="J126" s="465"/>
      <c r="K126" s="465"/>
    </row>
    <row r="127" spans="1:11" ht="12.75" customHeight="1" x14ac:dyDescent="0.2">
      <c r="A127" s="460" t="s">
        <v>867</v>
      </c>
      <c r="B127" s="559">
        <v>3110</v>
      </c>
      <c r="C127" s="548"/>
      <c r="D127" s="463"/>
      <c r="E127" s="465"/>
      <c r="F127" s="463"/>
      <c r="G127" s="465"/>
      <c r="H127" s="465"/>
      <c r="I127" s="465"/>
      <c r="J127" s="465"/>
      <c r="K127" s="465"/>
    </row>
    <row r="128" spans="1:11" ht="12.75" customHeight="1" x14ac:dyDescent="0.2">
      <c r="A128" s="460" t="s">
        <v>105</v>
      </c>
      <c r="B128" s="559">
        <v>3120</v>
      </c>
      <c r="C128" s="463">
        <v>75389</v>
      </c>
      <c r="D128" s="558"/>
      <c r="E128" s="465"/>
      <c r="F128" s="463"/>
      <c r="G128" s="465"/>
      <c r="H128" s="465"/>
      <c r="I128" s="465"/>
      <c r="J128" s="465"/>
      <c r="K128" s="465"/>
    </row>
    <row r="129" spans="1:11" ht="12.75" customHeight="1" x14ac:dyDescent="0.2">
      <c r="A129" s="460" t="s">
        <v>1447</v>
      </c>
      <c r="B129" s="559">
        <v>3130</v>
      </c>
      <c r="C129" s="463">
        <v>7742</v>
      </c>
      <c r="D129" s="558"/>
      <c r="E129" s="465"/>
      <c r="F129" s="463"/>
      <c r="G129" s="465"/>
      <c r="H129" s="465"/>
      <c r="I129" s="465"/>
      <c r="J129" s="465"/>
      <c r="K129" s="465"/>
    </row>
    <row r="130" spans="1:11" ht="12.75" customHeight="1" x14ac:dyDescent="0.2">
      <c r="A130" s="460" t="s">
        <v>137</v>
      </c>
      <c r="B130" s="559">
        <v>3145</v>
      </c>
      <c r="C130" s="463"/>
      <c r="D130" s="558"/>
      <c r="E130" s="465"/>
      <c r="F130" s="463"/>
      <c r="G130" s="465"/>
      <c r="H130" s="465"/>
      <c r="I130" s="465"/>
      <c r="J130" s="465"/>
      <c r="K130" s="465"/>
    </row>
    <row r="131" spans="1:11" ht="12.75" customHeight="1" x14ac:dyDescent="0.2">
      <c r="A131" s="460" t="s">
        <v>66</v>
      </c>
      <c r="B131" s="559">
        <v>3199</v>
      </c>
      <c r="C131" s="548"/>
      <c r="D131" s="464"/>
      <c r="E131" s="465"/>
      <c r="F131" s="463"/>
      <c r="G131" s="465"/>
      <c r="H131" s="465"/>
      <c r="I131" s="465"/>
      <c r="J131" s="465"/>
      <c r="K131" s="465"/>
    </row>
    <row r="132" spans="1:11" ht="12.75" customHeight="1" thickBot="1" x14ac:dyDescent="0.25">
      <c r="A132" s="1705" t="s">
        <v>1032</v>
      </c>
      <c r="B132" s="1717"/>
      <c r="C132" s="1704">
        <f>SUM(C125:C131)</f>
        <v>249216</v>
      </c>
      <c r="D132" s="1704">
        <f>SUM(D125:D131)</f>
        <v>0</v>
      </c>
      <c r="E132" s="466" t="s">
        <v>1169</v>
      </c>
      <c r="F132" s="1704">
        <f>SUM(F125:F131)</f>
        <v>0</v>
      </c>
      <c r="G132" s="465" t="s">
        <v>1169</v>
      </c>
      <c r="H132" s="465" t="s">
        <v>1169</v>
      </c>
      <c r="I132" s="465" t="s">
        <v>1169</v>
      </c>
      <c r="J132" s="465" t="s">
        <v>1169</v>
      </c>
      <c r="K132" s="465" t="s">
        <v>1169</v>
      </c>
    </row>
    <row r="133" spans="1:11" ht="15.75" customHeight="1" thickTop="1" x14ac:dyDescent="0.2">
      <c r="A133" s="1597" t="s">
        <v>250</v>
      </c>
      <c r="B133" s="1598"/>
      <c r="C133" s="550"/>
      <c r="D133" s="550"/>
      <c r="E133" s="506"/>
      <c r="F133" s="550"/>
      <c r="G133" s="465"/>
      <c r="H133" s="465"/>
      <c r="I133" s="465"/>
      <c r="J133" s="465"/>
      <c r="K133" s="465"/>
    </row>
    <row r="134" spans="1:11" x14ac:dyDescent="0.2">
      <c r="A134" s="460" t="s">
        <v>599</v>
      </c>
      <c r="B134" s="559">
        <v>3200</v>
      </c>
      <c r="C134" s="548">
        <f>1904+14475</f>
        <v>16379</v>
      </c>
      <c r="D134" s="463"/>
      <c r="E134" s="558"/>
      <c r="F134" s="465"/>
      <c r="G134" s="463"/>
      <c r="H134" s="465"/>
      <c r="I134" s="465"/>
      <c r="J134" s="465"/>
      <c r="K134" s="465"/>
    </row>
    <row r="135" spans="1:11" ht="12.75" customHeight="1" x14ac:dyDescent="0.2">
      <c r="A135" s="460" t="s">
        <v>669</v>
      </c>
      <c r="B135" s="559">
        <v>3220</v>
      </c>
      <c r="C135" s="548">
        <v>2640</v>
      </c>
      <c r="D135" s="463"/>
      <c r="E135" s="558"/>
      <c r="F135" s="465"/>
      <c r="G135" s="464"/>
      <c r="H135" s="465"/>
      <c r="I135" s="465"/>
      <c r="J135" s="465"/>
      <c r="K135" s="465"/>
    </row>
    <row r="136" spans="1:11" ht="12.75" customHeight="1" x14ac:dyDescent="0.2">
      <c r="A136" s="460" t="s">
        <v>249</v>
      </c>
      <c r="B136" s="559">
        <v>3225</v>
      </c>
      <c r="C136" s="548"/>
      <c r="D136" s="463"/>
      <c r="E136" s="558"/>
      <c r="F136" s="465"/>
      <c r="G136" s="464"/>
      <c r="H136" s="465"/>
      <c r="I136" s="465"/>
      <c r="J136" s="465"/>
      <c r="K136" s="465"/>
    </row>
    <row r="137" spans="1:11" ht="12.75" customHeight="1" x14ac:dyDescent="0.2">
      <c r="A137" s="460" t="s">
        <v>600</v>
      </c>
      <c r="B137" s="559">
        <v>3235</v>
      </c>
      <c r="C137" s="486">
        <v>2300</v>
      </c>
      <c r="D137" s="464"/>
      <c r="E137" s="558"/>
      <c r="F137" s="465"/>
      <c r="G137" s="464"/>
      <c r="H137" s="465"/>
      <c r="I137" s="465"/>
      <c r="J137" s="465"/>
      <c r="K137" s="465"/>
    </row>
    <row r="138" spans="1:11" ht="12.75" customHeight="1" x14ac:dyDescent="0.2">
      <c r="A138" s="460" t="s">
        <v>601</v>
      </c>
      <c r="B138" s="559">
        <v>3240</v>
      </c>
      <c r="C138" s="486"/>
      <c r="D138" s="464"/>
      <c r="E138" s="558"/>
      <c r="F138" s="465"/>
      <c r="G138" s="464"/>
      <c r="H138" s="465"/>
      <c r="I138" s="465"/>
      <c r="J138" s="465"/>
      <c r="K138" s="465"/>
    </row>
    <row r="139" spans="1:11" ht="12.75" customHeight="1" x14ac:dyDescent="0.2">
      <c r="A139" s="460" t="s">
        <v>602</v>
      </c>
      <c r="B139" s="559">
        <v>3270</v>
      </c>
      <c r="C139" s="486"/>
      <c r="D139" s="464"/>
      <c r="E139" s="558"/>
      <c r="F139" s="465"/>
      <c r="G139" s="464"/>
      <c r="H139" s="465"/>
      <c r="I139" s="465"/>
      <c r="J139" s="465"/>
      <c r="K139" s="465"/>
    </row>
    <row r="140" spans="1:11" ht="12.75" customHeight="1" x14ac:dyDescent="0.2">
      <c r="A140" s="460" t="s">
        <v>67</v>
      </c>
      <c r="B140" s="559">
        <v>3299</v>
      </c>
      <c r="C140" s="548"/>
      <c r="D140" s="463"/>
      <c r="E140" s="558"/>
      <c r="F140" s="474"/>
      <c r="G140" s="464"/>
      <c r="H140" s="465"/>
      <c r="I140" s="465"/>
      <c r="J140" s="465"/>
      <c r="K140" s="465"/>
    </row>
    <row r="141" spans="1:11" ht="12.75" customHeight="1" thickBot="1" x14ac:dyDescent="0.25">
      <c r="A141" s="1705" t="s">
        <v>603</v>
      </c>
      <c r="B141" s="1717"/>
      <c r="C141" s="1704">
        <f>SUM(C134:C140)</f>
        <v>21319</v>
      </c>
      <c r="D141" s="1704">
        <f>SUM(D134:D140)</f>
        <v>0</v>
      </c>
      <c r="E141" s="558" t="s">
        <v>1169</v>
      </c>
      <c r="F141" s="474"/>
      <c r="G141" s="1704">
        <f>SUM(G134:G140)</f>
        <v>0</v>
      </c>
      <c r="H141" s="465" t="s">
        <v>1169</v>
      </c>
      <c r="I141" s="465" t="s">
        <v>1169</v>
      </c>
      <c r="J141" s="465" t="s">
        <v>1169</v>
      </c>
      <c r="K141" s="465" t="s">
        <v>1169</v>
      </c>
    </row>
    <row r="142" spans="1:11" ht="15.75" customHeight="1" thickTop="1" x14ac:dyDescent="0.2">
      <c r="A142" s="1597" t="s">
        <v>670</v>
      </c>
      <c r="B142" s="1598"/>
      <c r="C142" s="550"/>
      <c r="D142" s="563"/>
      <c r="E142" s="558"/>
      <c r="F142" s="550"/>
      <c r="G142" s="550"/>
      <c r="H142" s="465"/>
      <c r="I142" s="465"/>
      <c r="J142" s="465"/>
      <c r="K142" s="465"/>
    </row>
    <row r="143" spans="1:11" ht="12.75" customHeight="1" x14ac:dyDescent="0.2">
      <c r="A143" s="460" t="s">
        <v>604</v>
      </c>
      <c r="B143" s="559">
        <v>3305</v>
      </c>
      <c r="C143" s="463"/>
      <c r="D143" s="465"/>
      <c r="E143" s="558"/>
      <c r="F143" s="465"/>
      <c r="G143" s="463"/>
      <c r="H143" s="465"/>
      <c r="I143" s="465"/>
      <c r="J143" s="465"/>
      <c r="K143" s="465"/>
    </row>
    <row r="144" spans="1:11" ht="12.75" customHeight="1" x14ac:dyDescent="0.2">
      <c r="A144" s="460" t="s">
        <v>347</v>
      </c>
      <c r="B144" s="559">
        <v>3310</v>
      </c>
      <c r="C144" s="548"/>
      <c r="D144" s="465"/>
      <c r="E144" s="558"/>
      <c r="F144" s="465"/>
      <c r="G144" s="463"/>
      <c r="H144" s="465"/>
      <c r="I144" s="465"/>
      <c r="J144" s="465"/>
      <c r="K144" s="465"/>
    </row>
    <row r="145" spans="1:11" s="202" customFormat="1" ht="13.5" thickBot="1" x14ac:dyDescent="0.25">
      <c r="A145" s="1705" t="s">
        <v>396</v>
      </c>
      <c r="B145" s="1717"/>
      <c r="C145" s="1685">
        <f>SUM(C143:C144)</f>
        <v>0</v>
      </c>
      <c r="D145" s="465"/>
      <c r="E145" s="506"/>
      <c r="F145" s="465"/>
      <c r="G145" s="1718">
        <f>SUM(G143:G144)</f>
        <v>0</v>
      </c>
      <c r="H145" s="465"/>
      <c r="I145" s="465"/>
      <c r="J145" s="465"/>
      <c r="K145" s="465"/>
    </row>
    <row r="146" spans="1:11" s="202" customFormat="1" ht="12.75" customHeight="1" thickTop="1" x14ac:dyDescent="0.2">
      <c r="A146" s="1495" t="s">
        <v>1056</v>
      </c>
      <c r="B146" s="565">
        <v>3360</v>
      </c>
      <c r="C146" s="566">
        <v>3380</v>
      </c>
      <c r="D146" s="567"/>
      <c r="E146" s="506"/>
      <c r="F146" s="465"/>
      <c r="G146" s="568"/>
      <c r="H146" s="465"/>
      <c r="I146" s="465"/>
      <c r="J146" s="465"/>
      <c r="K146" s="465"/>
    </row>
    <row r="147" spans="1:11" ht="12.75" customHeight="1" thickBot="1" x14ac:dyDescent="0.25">
      <c r="A147" s="1496" t="s">
        <v>922</v>
      </c>
      <c r="B147" s="569">
        <v>3365</v>
      </c>
      <c r="C147" s="570"/>
      <c r="D147" s="529"/>
      <c r="E147" s="558"/>
      <c r="F147" s="465"/>
      <c r="G147" s="529"/>
      <c r="H147" s="465"/>
      <c r="I147" s="465"/>
      <c r="J147" s="465"/>
      <c r="K147" s="465"/>
    </row>
    <row r="148" spans="1:11" ht="12.75" customHeight="1" thickTop="1" thickBot="1" x14ac:dyDescent="0.25">
      <c r="A148" s="1497" t="s">
        <v>138</v>
      </c>
      <c r="B148" s="571">
        <v>3370</v>
      </c>
      <c r="C148" s="570">
        <v>16894</v>
      </c>
      <c r="D148" s="570"/>
      <c r="E148" s="506"/>
      <c r="F148" s="465"/>
      <c r="G148" s="465"/>
      <c r="H148" s="465"/>
      <c r="I148" s="465"/>
      <c r="J148" s="465"/>
      <c r="K148" s="465"/>
    </row>
    <row r="149" spans="1:11" ht="12.75" customHeight="1" thickTop="1" thickBot="1" x14ac:dyDescent="0.25">
      <c r="A149" s="1497" t="s">
        <v>767</v>
      </c>
      <c r="B149" s="571">
        <v>3410</v>
      </c>
      <c r="C149" s="572"/>
      <c r="D149" s="573"/>
      <c r="E149" s="574"/>
      <c r="F149" s="527"/>
      <c r="G149" s="527"/>
      <c r="H149" s="527"/>
      <c r="I149" s="527"/>
      <c r="J149" s="527"/>
      <c r="K149" s="527"/>
    </row>
    <row r="150" spans="1:11" ht="12.75" customHeight="1" thickTop="1" thickBot="1" x14ac:dyDescent="0.25">
      <c r="A150" s="1497" t="s">
        <v>68</v>
      </c>
      <c r="B150" s="571">
        <v>3499</v>
      </c>
      <c r="C150" s="572"/>
      <c r="D150" s="573"/>
      <c r="E150" s="529"/>
      <c r="F150" s="529"/>
      <c r="G150" s="529"/>
      <c r="H150" s="529"/>
      <c r="I150" s="529"/>
      <c r="J150" s="529"/>
      <c r="K150" s="529"/>
    </row>
    <row r="151" spans="1:11" ht="15.75" customHeight="1" thickTop="1" x14ac:dyDescent="0.2">
      <c r="A151" s="1597" t="s">
        <v>453</v>
      </c>
      <c r="B151" s="1599"/>
      <c r="C151" s="550"/>
      <c r="D151" s="465"/>
      <c r="E151" s="558"/>
      <c r="F151" s="465"/>
      <c r="G151" s="465"/>
      <c r="H151" s="465"/>
      <c r="I151" s="465"/>
      <c r="J151" s="465"/>
      <c r="K151" s="465"/>
    </row>
    <row r="152" spans="1:11" ht="12.75" customHeight="1" x14ac:dyDescent="0.2">
      <c r="A152" s="460" t="s">
        <v>1448</v>
      </c>
      <c r="B152" s="559">
        <v>3500</v>
      </c>
      <c r="C152" s="548"/>
      <c r="D152" s="463"/>
      <c r="E152" s="558"/>
      <c r="F152" s="463">
        <v>185403</v>
      </c>
      <c r="G152" s="464"/>
      <c r="H152" s="465"/>
      <c r="I152" s="465"/>
      <c r="J152" s="465"/>
      <c r="K152" s="465"/>
    </row>
    <row r="153" spans="1:11" ht="12.75" customHeight="1" x14ac:dyDescent="0.2">
      <c r="A153" s="460" t="s">
        <v>1057</v>
      </c>
      <c r="B153" s="559">
        <v>3510</v>
      </c>
      <c r="C153" s="548"/>
      <c r="D153" s="463"/>
      <c r="E153" s="558"/>
      <c r="F153" s="463">
        <v>92242</v>
      </c>
      <c r="G153" s="464"/>
      <c r="H153" s="465"/>
      <c r="I153" s="465"/>
      <c r="J153" s="465"/>
      <c r="K153" s="465"/>
    </row>
    <row r="154" spans="1:11" ht="12.75" customHeight="1" x14ac:dyDescent="0.2">
      <c r="A154" s="460" t="s">
        <v>69</v>
      </c>
      <c r="B154" s="559">
        <v>3599</v>
      </c>
      <c r="C154" s="548"/>
      <c r="D154" s="463"/>
      <c r="E154" s="558"/>
      <c r="F154" s="463"/>
      <c r="G154" s="464"/>
      <c r="H154" s="465"/>
      <c r="I154" s="465"/>
      <c r="J154" s="465"/>
      <c r="K154" s="465"/>
    </row>
    <row r="155" spans="1:11" ht="12.75" customHeight="1" thickBot="1" x14ac:dyDescent="0.25">
      <c r="A155" s="1705" t="s">
        <v>94</v>
      </c>
      <c r="B155" s="1717"/>
      <c r="C155" s="1704">
        <f>SUM(C152:C154)</f>
        <v>0</v>
      </c>
      <c r="D155" s="1704">
        <f>SUM(D152:D154)</f>
        <v>0</v>
      </c>
      <c r="E155" s="558"/>
      <c r="F155" s="1704">
        <f>SUM(F152:F154)</f>
        <v>277645</v>
      </c>
      <c r="G155" s="1704">
        <f>SUM(G152:G154)</f>
        <v>0</v>
      </c>
      <c r="H155" s="465"/>
      <c r="I155" s="465"/>
      <c r="J155" s="465"/>
      <c r="K155" s="465"/>
    </row>
    <row r="156" spans="1:11" ht="12.75" customHeight="1" thickTop="1" thickBot="1" x14ac:dyDescent="0.25">
      <c r="A156" s="1497" t="s">
        <v>380</v>
      </c>
      <c r="B156" s="571">
        <v>3610</v>
      </c>
      <c r="C156" s="573"/>
      <c r="D156" s="465"/>
      <c r="E156" s="506"/>
      <c r="F156" s="465"/>
      <c r="G156" s="465"/>
      <c r="H156" s="465"/>
      <c r="I156" s="465"/>
      <c r="J156" s="465"/>
      <c r="K156" s="465"/>
    </row>
    <row r="157" spans="1:11" ht="12.75" customHeight="1" thickTop="1" thickBot="1" x14ac:dyDescent="0.25">
      <c r="A157" s="1497" t="s">
        <v>50</v>
      </c>
      <c r="B157" s="571">
        <v>3660</v>
      </c>
      <c r="C157" s="570"/>
      <c r="D157" s="575"/>
      <c r="E157" s="558"/>
      <c r="F157" s="575"/>
      <c r="G157" s="575"/>
      <c r="H157" s="465"/>
      <c r="I157" s="465"/>
      <c r="J157" s="465"/>
      <c r="K157" s="465"/>
    </row>
    <row r="158" spans="1:11" ht="12.75" customHeight="1" thickTop="1" thickBot="1" x14ac:dyDescent="0.25">
      <c r="A158" s="1497" t="s">
        <v>1000</v>
      </c>
      <c r="B158" s="571">
        <v>3695</v>
      </c>
      <c r="C158" s="573"/>
      <c r="D158" s="465"/>
      <c r="E158" s="558"/>
      <c r="F158" s="573"/>
      <c r="G158" s="573"/>
      <c r="H158" s="465"/>
      <c r="I158" s="465"/>
      <c r="J158" s="465"/>
      <c r="K158" s="465"/>
    </row>
    <row r="159" spans="1:11" ht="12.75" customHeight="1" thickTop="1" thickBot="1" x14ac:dyDescent="0.25">
      <c r="A159" s="1497" t="s">
        <v>1051</v>
      </c>
      <c r="B159" s="571">
        <v>3705</v>
      </c>
      <c r="C159" s="573">
        <f>5150+212522</f>
        <v>217672</v>
      </c>
      <c r="D159" s="575"/>
      <c r="E159" s="558"/>
      <c r="F159" s="573"/>
      <c r="G159" s="573"/>
      <c r="H159" s="465"/>
      <c r="I159" s="465"/>
      <c r="J159" s="465"/>
      <c r="K159" s="465"/>
    </row>
    <row r="160" spans="1:11" ht="12.75" customHeight="1" thickTop="1" thickBot="1" x14ac:dyDescent="0.25">
      <c r="A160" s="1497" t="s">
        <v>39</v>
      </c>
      <c r="B160" s="571">
        <v>3766</v>
      </c>
      <c r="C160" s="573"/>
      <c r="D160" s="575"/>
      <c r="E160" s="558"/>
      <c r="F160" s="573"/>
      <c r="G160" s="528"/>
      <c r="H160" s="465"/>
      <c r="I160" s="465"/>
      <c r="J160" s="465"/>
      <c r="K160" s="465"/>
    </row>
    <row r="161" spans="1:11" ht="12.75" customHeight="1" thickTop="1" thickBot="1" x14ac:dyDescent="0.25">
      <c r="A161" s="1497" t="s">
        <v>985</v>
      </c>
      <c r="B161" s="571">
        <v>3767</v>
      </c>
      <c r="C161" s="573"/>
      <c r="D161" s="528"/>
      <c r="E161" s="558"/>
      <c r="F161" s="528"/>
      <c r="G161" s="528"/>
      <c r="H161" s="465"/>
      <c r="I161" s="465"/>
      <c r="J161" s="465"/>
      <c r="K161" s="465"/>
    </row>
    <row r="162" spans="1:11" ht="12.75" customHeight="1" thickTop="1" thickBot="1" x14ac:dyDescent="0.25">
      <c r="A162" s="1497" t="s">
        <v>986</v>
      </c>
      <c r="B162" s="571">
        <v>3775</v>
      </c>
      <c r="C162" s="573"/>
      <c r="D162" s="570"/>
      <c r="E162" s="527"/>
      <c r="F162" s="570"/>
      <c r="G162" s="529"/>
      <c r="H162" s="527"/>
      <c r="I162" s="465"/>
      <c r="J162" s="465"/>
      <c r="K162" s="527"/>
    </row>
    <row r="163" spans="1:11" ht="12.75" customHeight="1" thickTop="1" thickBot="1" x14ac:dyDescent="0.25">
      <c r="A163" s="1497" t="s">
        <v>1449</v>
      </c>
      <c r="B163" s="571">
        <v>3780</v>
      </c>
      <c r="C163" s="528"/>
      <c r="D163" s="527"/>
      <c r="E163" s="528"/>
      <c r="F163" s="528"/>
      <c r="G163" s="528"/>
      <c r="H163" s="528"/>
      <c r="I163" s="465"/>
      <c r="J163" s="465"/>
      <c r="K163" s="528"/>
    </row>
    <row r="164" spans="1:11" ht="12.75" customHeight="1" thickTop="1" thickBot="1" x14ac:dyDescent="0.25">
      <c r="A164" s="1497" t="s">
        <v>858</v>
      </c>
      <c r="B164" s="571">
        <v>3815</v>
      </c>
      <c r="C164" s="573"/>
      <c r="D164" s="465"/>
      <c r="E164" s="558"/>
      <c r="F164" s="573"/>
      <c r="G164" s="465"/>
      <c r="H164" s="465"/>
      <c r="I164" s="465"/>
      <c r="J164" s="465"/>
      <c r="K164" s="465"/>
    </row>
    <row r="165" spans="1:11" ht="12.75" customHeight="1" thickTop="1" thickBot="1" x14ac:dyDescent="0.25">
      <c r="A165" s="1497" t="s">
        <v>397</v>
      </c>
      <c r="B165" s="571">
        <v>3825</v>
      </c>
      <c r="C165" s="573"/>
      <c r="D165" s="465"/>
      <c r="E165" s="558"/>
      <c r="F165" s="573"/>
      <c r="G165" s="465"/>
      <c r="H165" s="465"/>
      <c r="I165" s="465"/>
      <c r="J165" s="465"/>
      <c r="K165" s="465"/>
    </row>
    <row r="166" spans="1:11" ht="12.75" customHeight="1" thickTop="1" thickBot="1" x14ac:dyDescent="0.25">
      <c r="A166" s="1497" t="s">
        <v>348</v>
      </c>
      <c r="B166" s="571">
        <v>3920</v>
      </c>
      <c r="C166" s="563"/>
      <c r="D166" s="575"/>
      <c r="E166" s="465"/>
      <c r="F166" s="563"/>
      <c r="G166" s="465"/>
      <c r="H166" s="527"/>
      <c r="I166" s="465"/>
      <c r="J166" s="465"/>
      <c r="K166" s="465"/>
    </row>
    <row r="167" spans="1:11" ht="12.75" customHeight="1" thickTop="1" thickBot="1" x14ac:dyDescent="0.25">
      <c r="A167" s="1497" t="s">
        <v>349</v>
      </c>
      <c r="B167" s="571">
        <v>3925</v>
      </c>
      <c r="C167" s="518"/>
      <c r="D167" s="573"/>
      <c r="E167" s="518"/>
      <c r="F167" s="518"/>
      <c r="G167" s="465"/>
      <c r="H167" s="528"/>
      <c r="I167" s="465"/>
      <c r="J167" s="465"/>
      <c r="K167" s="527"/>
    </row>
    <row r="168" spans="1:11" ht="14.25" thickTop="1" thickBot="1" x14ac:dyDescent="0.25">
      <c r="A168" s="1497" t="s">
        <v>70</v>
      </c>
      <c r="B168" s="571">
        <v>3999</v>
      </c>
      <c r="C168" s="576">
        <v>1934</v>
      </c>
      <c r="D168" s="577"/>
      <c r="E168" s="577"/>
      <c r="F168" s="577"/>
      <c r="G168" s="578"/>
      <c r="H168" s="579"/>
      <c r="I168" s="578"/>
      <c r="J168" s="578"/>
      <c r="K168" s="579"/>
    </row>
    <row r="169" spans="1:11" ht="12.75" customHeight="1" thickTop="1" thickBot="1" x14ac:dyDescent="0.25">
      <c r="A169" s="2148" t="s">
        <v>398</v>
      </c>
      <c r="B169" s="2149"/>
      <c r="C169" s="1719">
        <f t="shared" ref="C169:K169" si="6">SUM(C132,C141,C145,C146:C150,C155,C156:C167,C168)</f>
        <v>510415</v>
      </c>
      <c r="D169" s="1719">
        <f t="shared" si="6"/>
        <v>0</v>
      </c>
      <c r="E169" s="1719">
        <f t="shared" si="6"/>
        <v>0</v>
      </c>
      <c r="F169" s="1719">
        <f t="shared" si="6"/>
        <v>277645</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3075600</v>
      </c>
      <c r="D170" s="1712">
        <f t="shared" si="7"/>
        <v>0</v>
      </c>
      <c r="E170" s="1712">
        <f t="shared" si="7"/>
        <v>0</v>
      </c>
      <c r="F170" s="1712">
        <f t="shared" si="7"/>
        <v>277645</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0" t="s">
        <v>1492</v>
      </c>
      <c r="B172" s="2151"/>
      <c r="C172" s="517"/>
      <c r="D172" s="517"/>
      <c r="E172" s="506"/>
      <c r="F172" s="465"/>
      <c r="G172" s="465"/>
      <c r="H172" s="465"/>
      <c r="I172" s="465"/>
      <c r="J172" s="465"/>
      <c r="K172" s="465"/>
    </row>
    <row r="173" spans="1:11" ht="12.6" customHeight="1" x14ac:dyDescent="0.2">
      <c r="A173" s="490" t="s">
        <v>1044</v>
      </c>
      <c r="B173" s="488">
        <v>4001</v>
      </c>
      <c r="C173" s="513"/>
      <c r="D173" s="478"/>
      <c r="E173" s="464"/>
      <c r="F173" s="463"/>
      <c r="G173" s="463"/>
      <c r="H173" s="464"/>
      <c r="I173" s="464"/>
      <c r="J173" s="464"/>
      <c r="K173" s="464"/>
    </row>
    <row r="174" spans="1:11" ht="22.5" x14ac:dyDescent="0.2">
      <c r="A174" s="560" t="s">
        <v>805</v>
      </c>
      <c r="B174" s="580">
        <v>4009</v>
      </c>
      <c r="C174" s="548"/>
      <c r="D174" s="463"/>
      <c r="E174" s="464"/>
      <c r="F174" s="463"/>
      <c r="G174" s="463"/>
      <c r="H174" s="464"/>
      <c r="I174" s="464"/>
      <c r="J174" s="464"/>
      <c r="K174" s="464"/>
    </row>
    <row r="175" spans="1:11" ht="13.5" thickBot="1" x14ac:dyDescent="0.25">
      <c r="A175" s="2154" t="s">
        <v>1651</v>
      </c>
      <c r="B175" s="215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4" customFormat="1" ht="15.75" customHeight="1" thickTop="1" x14ac:dyDescent="0.2">
      <c r="A176" s="2158" t="s">
        <v>1650</v>
      </c>
      <c r="B176" s="2159"/>
      <c r="C176" s="595"/>
      <c r="D176" s="596"/>
      <c r="E176" s="597"/>
      <c r="F176" s="598"/>
      <c r="G176" s="598"/>
      <c r="H176" s="598"/>
      <c r="I176" s="598"/>
      <c r="J176" s="598"/>
      <c r="K176" s="598"/>
    </row>
    <row r="177" spans="1:11" ht="12.75" customHeight="1" x14ac:dyDescent="0.2">
      <c r="A177" s="460" t="s">
        <v>1045</v>
      </c>
      <c r="B177" s="467">
        <v>4045</v>
      </c>
      <c r="C177" s="548"/>
      <c r="D177" s="465"/>
      <c r="E177" s="558"/>
      <c r="F177" s="465"/>
      <c r="G177" s="465"/>
      <c r="H177" s="465"/>
      <c r="I177" s="465"/>
      <c r="J177" s="465"/>
      <c r="K177" s="465"/>
    </row>
    <row r="178" spans="1:11" ht="12.75" customHeight="1" x14ac:dyDescent="0.2">
      <c r="A178" s="460" t="s">
        <v>1046</v>
      </c>
      <c r="B178" s="467">
        <v>4050</v>
      </c>
      <c r="C178" s="548"/>
      <c r="D178" s="464"/>
      <c r="E178" s="558"/>
      <c r="F178" s="465"/>
      <c r="G178" s="465"/>
      <c r="H178" s="464"/>
      <c r="I178" s="465"/>
      <c r="J178" s="465"/>
      <c r="K178" s="465"/>
    </row>
    <row r="179" spans="1:11" ht="12.75" customHeight="1" x14ac:dyDescent="0.2">
      <c r="A179" s="460" t="s">
        <v>260</v>
      </c>
      <c r="B179" s="467">
        <v>4060</v>
      </c>
      <c r="C179" s="513"/>
      <c r="D179" s="463"/>
      <c r="E179" s="465"/>
      <c r="F179" s="463"/>
      <c r="G179" s="463"/>
      <c r="H179" s="463"/>
      <c r="I179" s="465"/>
      <c r="J179" s="465"/>
      <c r="K179" s="518"/>
    </row>
    <row r="180" spans="1:11" ht="22.5" x14ac:dyDescent="0.2">
      <c r="A180" s="560" t="s">
        <v>786</v>
      </c>
      <c r="B180" s="580">
        <v>4090</v>
      </c>
      <c r="C180" s="548"/>
      <c r="D180" s="463"/>
      <c r="E180" s="465"/>
      <c r="F180" s="463"/>
      <c r="G180" s="463"/>
      <c r="H180" s="463"/>
      <c r="I180" s="465"/>
      <c r="J180" s="465"/>
      <c r="K180" s="463"/>
    </row>
    <row r="181" spans="1:11" ht="13.5" thickBot="1" x14ac:dyDescent="0.25">
      <c r="A181" s="2156" t="s">
        <v>785</v>
      </c>
      <c r="B181" s="2157"/>
      <c r="C181" s="1704">
        <f>SUM(C177:C180)</f>
        <v>0</v>
      </c>
      <c r="D181" s="1704">
        <f>SUM(D177:D180)</f>
        <v>0</v>
      </c>
      <c r="E181" s="465"/>
      <c r="F181" s="1704">
        <f>SUM(F177:F180)</f>
        <v>0</v>
      </c>
      <c r="G181" s="1704">
        <f>SUM(G177:G180)</f>
        <v>0</v>
      </c>
      <c r="H181" s="1704">
        <f>SUM(H177:H180)</f>
        <v>0</v>
      </c>
      <c r="I181" s="465"/>
      <c r="J181" s="465"/>
      <c r="K181" s="1685">
        <f>SUM(K177:K180)</f>
        <v>0</v>
      </c>
    </row>
    <row r="182" spans="1:11" ht="22.5" customHeight="1" thickTop="1" x14ac:dyDescent="0.2">
      <c r="A182" s="2152" t="s">
        <v>1788</v>
      </c>
      <c r="B182" s="2153"/>
      <c r="C182" s="581"/>
      <c r="D182" s="563"/>
      <c r="E182" s="506"/>
      <c r="F182" s="563"/>
      <c r="G182" s="563"/>
      <c r="H182" s="465"/>
      <c r="I182" s="465"/>
      <c r="J182" s="465"/>
      <c r="K182" s="465"/>
    </row>
    <row r="183" spans="1:11" ht="15.75" customHeight="1" x14ac:dyDescent="0.2">
      <c r="A183" s="1600" t="s">
        <v>1602</v>
      </c>
      <c r="B183" s="1601"/>
      <c r="C183" s="519"/>
      <c r="D183" s="518"/>
      <c r="E183" s="506"/>
      <c r="F183" s="518"/>
      <c r="G183" s="518"/>
      <c r="H183" s="465"/>
      <c r="I183" s="465"/>
      <c r="J183" s="465"/>
      <c r="K183" s="465"/>
    </row>
    <row r="184" spans="1:11" ht="12.75" customHeight="1" x14ac:dyDescent="0.2">
      <c r="A184" s="460" t="s">
        <v>1603</v>
      </c>
      <c r="B184" s="467">
        <v>4100</v>
      </c>
      <c r="C184" s="513"/>
      <c r="D184" s="478"/>
      <c r="E184" s="558"/>
      <c r="F184" s="478"/>
      <c r="G184" s="478"/>
      <c r="H184" s="465"/>
      <c r="I184" s="465"/>
      <c r="J184" s="465"/>
      <c r="K184" s="465"/>
    </row>
    <row r="185" spans="1:11" ht="12.75" customHeight="1" x14ac:dyDescent="0.2">
      <c r="A185" s="460" t="s">
        <v>1604</v>
      </c>
      <c r="B185" s="467">
        <v>4105</v>
      </c>
      <c r="C185" s="548"/>
      <c r="D185" s="463"/>
      <c r="E185" s="558"/>
      <c r="F185" s="463"/>
      <c r="G185" s="463"/>
      <c r="H185" s="465"/>
      <c r="I185" s="465"/>
      <c r="J185" s="465"/>
      <c r="K185" s="465"/>
    </row>
    <row r="186" spans="1:11" ht="12.75" customHeight="1" x14ac:dyDescent="0.2">
      <c r="A186" s="460" t="s">
        <v>1606</v>
      </c>
      <c r="B186" s="467">
        <v>4107</v>
      </c>
      <c r="C186" s="548"/>
      <c r="D186" s="463"/>
      <c r="E186" s="558"/>
      <c r="F186" s="463"/>
      <c r="G186" s="463"/>
      <c r="H186" s="465"/>
      <c r="I186" s="465"/>
      <c r="J186" s="465"/>
      <c r="K186" s="465"/>
    </row>
    <row r="187" spans="1:11" ht="12.75" customHeight="1" x14ac:dyDescent="0.2">
      <c r="A187" s="460" t="s">
        <v>1605</v>
      </c>
      <c r="B187" s="467">
        <v>4199</v>
      </c>
      <c r="C187" s="548"/>
      <c r="D187" s="463"/>
      <c r="E187" s="558"/>
      <c r="F187" s="463"/>
      <c r="G187" s="463"/>
      <c r="H187" s="465"/>
      <c r="I187" s="465"/>
      <c r="J187" s="465"/>
      <c r="K187" s="465"/>
    </row>
    <row r="188" spans="1:11" ht="12.75" customHeight="1" thickBot="1" x14ac:dyDescent="0.25">
      <c r="A188" s="1705" t="s">
        <v>1607</v>
      </c>
      <c r="B188" s="1706"/>
      <c r="C188" s="1704">
        <f>SUM(C184:C187)</f>
        <v>0</v>
      </c>
      <c r="D188" s="1704">
        <f>SUM(D184:D187)</f>
        <v>0</v>
      </c>
      <c r="E188" s="558"/>
      <c r="F188" s="1704">
        <f>SUM(F184:F187)</f>
        <v>0</v>
      </c>
      <c r="G188" s="1704">
        <f>SUM(G184:G187)</f>
        <v>0</v>
      </c>
      <c r="H188" s="465"/>
      <c r="I188" s="465"/>
      <c r="J188" s="465"/>
      <c r="K188" s="465"/>
    </row>
    <row r="189" spans="1:11" ht="15.75" customHeight="1" thickTop="1" x14ac:dyDescent="0.2">
      <c r="A189" s="1597" t="s">
        <v>455</v>
      </c>
      <c r="B189" s="1602"/>
      <c r="C189" s="550"/>
      <c r="D189" s="563"/>
      <c r="E189" s="558"/>
      <c r="F189" s="550"/>
      <c r="G189" s="550"/>
      <c r="H189" s="465"/>
      <c r="I189" s="465"/>
      <c r="J189" s="465"/>
      <c r="K189" s="465"/>
    </row>
    <row r="190" spans="1:11" x14ac:dyDescent="0.2">
      <c r="A190" s="460" t="s">
        <v>1450</v>
      </c>
      <c r="B190" s="467">
        <v>4200</v>
      </c>
      <c r="C190" s="464"/>
      <c r="D190" s="465"/>
      <c r="E190" s="558"/>
      <c r="F190" s="550"/>
      <c r="G190" s="582"/>
      <c r="H190" s="465"/>
      <c r="I190" s="465"/>
      <c r="J190" s="465"/>
      <c r="K190" s="465"/>
    </row>
    <row r="191" spans="1:11" ht="12.75" customHeight="1" x14ac:dyDescent="0.2">
      <c r="A191" s="460" t="s">
        <v>1058</v>
      </c>
      <c r="B191" s="467">
        <v>4210</v>
      </c>
      <c r="C191" s="463">
        <v>178940</v>
      </c>
      <c r="D191" s="465"/>
      <c r="E191" s="558"/>
      <c r="F191" s="465"/>
      <c r="G191" s="582"/>
      <c r="H191" s="465"/>
      <c r="I191" s="465"/>
      <c r="J191" s="465"/>
      <c r="K191" s="465"/>
    </row>
    <row r="192" spans="1:11" ht="12.75" customHeight="1" x14ac:dyDescent="0.2">
      <c r="A192" s="460" t="s">
        <v>1047</v>
      </c>
      <c r="B192" s="467">
        <v>4215</v>
      </c>
      <c r="C192" s="548">
        <f>2547-686</f>
        <v>1861</v>
      </c>
      <c r="D192" s="465"/>
      <c r="E192" s="558"/>
      <c r="F192" s="465"/>
      <c r="G192" s="582"/>
      <c r="H192" s="465"/>
      <c r="I192" s="465"/>
      <c r="J192" s="465"/>
      <c r="K192" s="465"/>
    </row>
    <row r="193" spans="1:11" ht="12.75" customHeight="1" x14ac:dyDescent="0.2">
      <c r="A193" s="460" t="s">
        <v>1059</v>
      </c>
      <c r="B193" s="467">
        <v>4220</v>
      </c>
      <c r="C193" s="548">
        <f>37487+686</f>
        <v>38173</v>
      </c>
      <c r="D193" s="465"/>
      <c r="E193" s="558"/>
      <c r="F193" s="465"/>
      <c r="G193" s="582"/>
      <c r="H193" s="465"/>
      <c r="I193" s="465"/>
      <c r="J193" s="465"/>
      <c r="K193" s="465"/>
    </row>
    <row r="194" spans="1:11" ht="12.75" customHeight="1" x14ac:dyDescent="0.2">
      <c r="A194" s="460" t="s">
        <v>1451</v>
      </c>
      <c r="B194" s="467">
        <v>4225</v>
      </c>
      <c r="C194" s="548"/>
      <c r="D194" s="465"/>
      <c r="E194" s="558"/>
      <c r="F194" s="465"/>
      <c r="G194" s="582"/>
      <c r="H194" s="465"/>
      <c r="I194" s="465"/>
      <c r="J194" s="465"/>
      <c r="K194" s="465"/>
    </row>
    <row r="195" spans="1:11" ht="12.75" customHeight="1" x14ac:dyDescent="0.2">
      <c r="A195" s="460" t="s">
        <v>1452</v>
      </c>
      <c r="B195" s="467">
        <v>4226</v>
      </c>
      <c r="C195" s="548"/>
      <c r="D195" s="465"/>
      <c r="E195" s="558"/>
      <c r="F195" s="465"/>
      <c r="G195" s="582"/>
      <c r="H195" s="465"/>
      <c r="I195" s="465"/>
      <c r="J195" s="465"/>
      <c r="K195" s="465"/>
    </row>
    <row r="196" spans="1:11" ht="12.75" customHeight="1" x14ac:dyDescent="0.2">
      <c r="A196" s="460" t="s">
        <v>792</v>
      </c>
      <c r="B196" s="467">
        <v>4240</v>
      </c>
      <c r="C196" s="486"/>
      <c r="D196" s="465"/>
      <c r="E196" s="558"/>
      <c r="F196" s="465"/>
      <c r="G196" s="583"/>
      <c r="H196" s="465"/>
      <c r="I196" s="465"/>
      <c r="J196" s="465"/>
      <c r="K196" s="465"/>
    </row>
    <row r="197" spans="1:11" ht="12.75" customHeight="1" x14ac:dyDescent="0.2">
      <c r="A197" s="460" t="s">
        <v>71</v>
      </c>
      <c r="B197" s="467">
        <v>4299</v>
      </c>
      <c r="C197" s="548"/>
      <c r="D197" s="465"/>
      <c r="E197" s="558"/>
      <c r="F197" s="465"/>
      <c r="G197" s="582"/>
      <c r="H197" s="465"/>
      <c r="I197" s="465"/>
      <c r="J197" s="465"/>
      <c r="K197" s="465"/>
    </row>
    <row r="198" spans="1:11" ht="12.75" customHeight="1" thickBot="1" x14ac:dyDescent="0.25">
      <c r="A198" s="1705" t="s">
        <v>548</v>
      </c>
      <c r="B198" s="1706"/>
      <c r="C198" s="1685">
        <f>SUM(C190:C197)</f>
        <v>218974</v>
      </c>
      <c r="D198" s="465"/>
      <c r="E198" s="465"/>
      <c r="F198" s="465"/>
      <c r="G198" s="1685">
        <f>SUM(G190:G197)</f>
        <v>0</v>
      </c>
      <c r="H198" s="465"/>
      <c r="I198" s="465"/>
      <c r="J198" s="465"/>
      <c r="K198" s="465"/>
    </row>
    <row r="199" spans="1:11" ht="15.75" customHeight="1" thickTop="1" x14ac:dyDescent="0.2">
      <c r="A199" s="1597" t="s">
        <v>1138</v>
      </c>
      <c r="B199" s="1602"/>
      <c r="C199" s="550"/>
      <c r="D199" s="465"/>
      <c r="E199" s="465"/>
      <c r="F199" s="465"/>
      <c r="G199" s="465"/>
      <c r="H199" s="465"/>
      <c r="I199" s="465"/>
      <c r="J199" s="465"/>
      <c r="K199" s="465"/>
    </row>
    <row r="200" spans="1:11" ht="12.75" customHeight="1" x14ac:dyDescent="0.2">
      <c r="A200" s="460" t="s">
        <v>918</v>
      </c>
      <c r="B200" s="467">
        <v>4300</v>
      </c>
      <c r="C200" s="463">
        <v>85850</v>
      </c>
      <c r="D200" s="463"/>
      <c r="E200" s="465"/>
      <c r="F200" s="463"/>
      <c r="G200" s="463"/>
      <c r="H200" s="465"/>
      <c r="I200" s="465"/>
      <c r="J200" s="465"/>
      <c r="K200" s="465"/>
    </row>
    <row r="201" spans="1:11" ht="12.75" customHeight="1" x14ac:dyDescent="0.2">
      <c r="A201" s="460" t="s">
        <v>919</v>
      </c>
      <c r="B201" s="467">
        <v>4305</v>
      </c>
      <c r="C201" s="548"/>
      <c r="D201" s="463"/>
      <c r="E201" s="465"/>
      <c r="F201" s="463"/>
      <c r="G201" s="463"/>
      <c r="H201" s="465"/>
      <c r="I201" s="465"/>
      <c r="J201" s="465"/>
      <c r="K201" s="465"/>
    </row>
    <row r="202" spans="1:11" ht="12.75" customHeight="1" x14ac:dyDescent="0.2">
      <c r="A202" s="460" t="s">
        <v>1031</v>
      </c>
      <c r="B202" s="467">
        <v>4340</v>
      </c>
      <c r="C202" s="548"/>
      <c r="D202" s="463"/>
      <c r="E202" s="465"/>
      <c r="F202" s="463"/>
      <c r="G202" s="463"/>
      <c r="H202" s="465"/>
      <c r="I202" s="465"/>
      <c r="J202" s="465"/>
      <c r="K202" s="465"/>
    </row>
    <row r="203" spans="1:11" ht="12.75" customHeight="1" x14ac:dyDescent="0.2">
      <c r="A203" s="460" t="s">
        <v>72</v>
      </c>
      <c r="B203" s="467">
        <v>4399</v>
      </c>
      <c r="C203" s="548">
        <v>600</v>
      </c>
      <c r="D203" s="463"/>
      <c r="E203" s="465"/>
      <c r="F203" s="463"/>
      <c r="G203" s="463"/>
      <c r="H203" s="465"/>
      <c r="I203" s="465"/>
      <c r="J203" s="465"/>
      <c r="K203" s="465"/>
    </row>
    <row r="204" spans="1:11" ht="12.75" customHeight="1" thickBot="1" x14ac:dyDescent="0.25">
      <c r="A204" s="1705" t="s">
        <v>400</v>
      </c>
      <c r="B204" s="1706"/>
      <c r="C204" s="1704">
        <f>SUM(C200:C203)</f>
        <v>86450</v>
      </c>
      <c r="D204" s="1704">
        <f>SUM(D200:D203)</f>
        <v>0</v>
      </c>
      <c r="E204" s="465"/>
      <c r="F204" s="1704">
        <f>SUM(F200:F203)</f>
        <v>0</v>
      </c>
      <c r="G204" s="1704">
        <f>SUM(G200:G203)</f>
        <v>0</v>
      </c>
      <c r="H204" s="465"/>
      <c r="I204" s="465"/>
      <c r="J204" s="465"/>
      <c r="K204" s="465"/>
    </row>
    <row r="205" spans="1:11" ht="15.75" customHeight="1" thickTop="1" x14ac:dyDescent="0.2">
      <c r="A205" s="1597" t="s">
        <v>1139</v>
      </c>
      <c r="B205" s="1602"/>
      <c r="C205" s="550"/>
      <c r="D205" s="550"/>
      <c r="E205" s="465"/>
      <c r="F205" s="550"/>
      <c r="G205" s="550"/>
      <c r="H205" s="465"/>
      <c r="I205" s="465"/>
      <c r="J205" s="465"/>
      <c r="K205" s="465"/>
    </row>
    <row r="206" spans="1:11" ht="12.75" customHeight="1" x14ac:dyDescent="0.2">
      <c r="A206" s="460" t="s">
        <v>759</v>
      </c>
      <c r="B206" s="467">
        <v>4400</v>
      </c>
      <c r="C206" s="548"/>
      <c r="D206" s="463"/>
      <c r="E206" s="465"/>
      <c r="F206" s="463"/>
      <c r="G206" s="463"/>
      <c r="H206" s="465"/>
      <c r="I206" s="465"/>
      <c r="J206" s="465"/>
      <c r="K206" s="465"/>
    </row>
    <row r="207" spans="1:11" ht="12.75" customHeight="1" x14ac:dyDescent="0.2">
      <c r="A207" s="460" t="s">
        <v>1453</v>
      </c>
      <c r="B207" s="467">
        <v>4421</v>
      </c>
      <c r="C207" s="548"/>
      <c r="D207" s="463"/>
      <c r="E207" s="465"/>
      <c r="F207" s="463"/>
      <c r="G207" s="463"/>
      <c r="H207" s="465"/>
      <c r="I207" s="465"/>
      <c r="J207" s="465"/>
      <c r="K207" s="465"/>
    </row>
    <row r="208" spans="1:11" ht="12.75" customHeight="1" x14ac:dyDescent="0.2">
      <c r="A208" s="460" t="s">
        <v>73</v>
      </c>
      <c r="B208" s="467">
        <v>4499</v>
      </c>
      <c r="C208" s="548"/>
      <c r="D208" s="463"/>
      <c r="E208" s="465"/>
      <c r="F208" s="463"/>
      <c r="G208" s="463"/>
      <c r="H208" s="465"/>
      <c r="I208" s="465"/>
      <c r="J208" s="465"/>
      <c r="K208" s="465"/>
    </row>
    <row r="209" spans="1:11" ht="12.75" customHeight="1" thickBot="1" x14ac:dyDescent="0.25">
      <c r="A209" s="1705" t="s">
        <v>889</v>
      </c>
      <c r="B209" s="1706"/>
      <c r="C209" s="1704">
        <f>SUM(C206:C208)</f>
        <v>0</v>
      </c>
      <c r="D209" s="1704">
        <f>SUM(D206:D208)</f>
        <v>0</v>
      </c>
      <c r="E209" s="465" t="s">
        <v>1169</v>
      </c>
      <c r="F209" s="1704">
        <f>SUM(F206:F208)</f>
        <v>0</v>
      </c>
      <c r="G209" s="1704">
        <f>SUM(G206:G208)</f>
        <v>0</v>
      </c>
      <c r="H209" s="465"/>
      <c r="I209" s="465"/>
      <c r="J209" s="465"/>
      <c r="K209" s="465"/>
    </row>
    <row r="210" spans="1:11" ht="15.75" customHeight="1" thickTop="1" x14ac:dyDescent="0.2">
      <c r="A210" s="1597" t="s">
        <v>1092</v>
      </c>
      <c r="B210" s="1602"/>
      <c r="C210" s="550"/>
      <c r="D210" s="550"/>
      <c r="E210" s="465"/>
      <c r="F210" s="550"/>
      <c r="G210" s="550"/>
      <c r="H210" s="465"/>
      <c r="I210" s="465"/>
      <c r="J210" s="465"/>
      <c r="K210" s="465"/>
    </row>
    <row r="211" spans="1:11" ht="12.75" customHeight="1" x14ac:dyDescent="0.2">
      <c r="A211" s="460" t="s">
        <v>1052</v>
      </c>
      <c r="B211" s="467">
        <v>4600</v>
      </c>
      <c r="C211" s="548">
        <v>4368</v>
      </c>
      <c r="D211" s="463"/>
      <c r="E211" s="465"/>
      <c r="F211" s="463"/>
      <c r="G211" s="463"/>
      <c r="H211" s="465"/>
      <c r="I211" s="465"/>
      <c r="J211" s="465"/>
      <c r="K211" s="465"/>
    </row>
    <row r="212" spans="1:11" ht="12.75" customHeight="1" x14ac:dyDescent="0.2">
      <c r="A212" s="460" t="s">
        <v>1053</v>
      </c>
      <c r="B212" s="467">
        <v>4605</v>
      </c>
      <c r="C212" s="548"/>
      <c r="D212" s="463"/>
      <c r="E212" s="465"/>
      <c r="F212" s="463"/>
      <c r="G212" s="463"/>
      <c r="H212" s="465"/>
      <c r="I212" s="465"/>
      <c r="J212" s="465"/>
      <c r="K212" s="465"/>
    </row>
    <row r="213" spans="1:11" ht="12.75" customHeight="1" x14ac:dyDescent="0.2">
      <c r="A213" s="460" t="s">
        <v>1454</v>
      </c>
      <c r="B213" s="554">
        <v>4620</v>
      </c>
      <c r="C213" s="548">
        <v>77769</v>
      </c>
      <c r="D213" s="463"/>
      <c r="E213" s="465"/>
      <c r="F213" s="463"/>
      <c r="G213" s="463"/>
      <c r="H213" s="465"/>
      <c r="I213" s="465"/>
      <c r="J213" s="465"/>
      <c r="K213" s="465"/>
    </row>
    <row r="214" spans="1:11" ht="12.75" customHeight="1" x14ac:dyDescent="0.2">
      <c r="A214" s="460" t="s">
        <v>1054</v>
      </c>
      <c r="B214" s="467">
        <v>4625</v>
      </c>
      <c r="C214" s="548"/>
      <c r="D214" s="463"/>
      <c r="E214" s="465"/>
      <c r="F214" s="463"/>
      <c r="G214" s="463"/>
      <c r="H214" s="465"/>
      <c r="I214" s="465"/>
      <c r="J214" s="465"/>
      <c r="K214" s="465"/>
    </row>
    <row r="215" spans="1:11" ht="12.75" customHeight="1" x14ac:dyDescent="0.2">
      <c r="A215" s="460" t="s">
        <v>1055</v>
      </c>
      <c r="B215" s="467">
        <v>4630</v>
      </c>
      <c r="C215" s="548"/>
      <c r="D215" s="463"/>
      <c r="E215" s="465"/>
      <c r="F215" s="463"/>
      <c r="G215" s="463"/>
      <c r="H215" s="465"/>
      <c r="I215" s="465"/>
      <c r="J215" s="465"/>
      <c r="K215" s="465"/>
    </row>
    <row r="216" spans="1:11" ht="12.75" customHeight="1" x14ac:dyDescent="0.2">
      <c r="A216" s="1498" t="s">
        <v>74</v>
      </c>
      <c r="B216" s="554">
        <v>4699</v>
      </c>
      <c r="C216" s="548"/>
      <c r="D216" s="463"/>
      <c r="E216" s="465"/>
      <c r="F216" s="463"/>
      <c r="G216" s="463"/>
      <c r="H216" s="465"/>
      <c r="I216" s="465"/>
      <c r="J216" s="465"/>
      <c r="K216" s="465"/>
    </row>
    <row r="217" spans="1:11" ht="12.75" customHeight="1" thickBot="1" x14ac:dyDescent="0.25">
      <c r="A217" s="1705" t="s">
        <v>447</v>
      </c>
      <c r="B217" s="1706"/>
      <c r="C217" s="1704">
        <f>SUM(C211:C216)</f>
        <v>82137</v>
      </c>
      <c r="D217" s="1704">
        <f>SUM(D211:D216)</f>
        <v>0</v>
      </c>
      <c r="E217" s="465"/>
      <c r="F217" s="1704">
        <f>SUM(F211:F216)</f>
        <v>0</v>
      </c>
      <c r="G217" s="1704">
        <f>SUM(G211:G216)</f>
        <v>0</v>
      </c>
      <c r="H217" s="465"/>
      <c r="I217" s="465"/>
      <c r="J217" s="465"/>
      <c r="K217" s="465"/>
    </row>
    <row r="218" spans="1:11" ht="15.75" customHeight="1" thickTop="1" x14ac:dyDescent="0.2">
      <c r="A218" s="1597" t="s">
        <v>1093</v>
      </c>
      <c r="B218" s="1602"/>
      <c r="C218" s="550"/>
      <c r="D218" s="550"/>
      <c r="E218" s="465"/>
      <c r="F218" s="550"/>
      <c r="G218" s="550"/>
      <c r="H218" s="465"/>
      <c r="I218" s="465"/>
      <c r="J218" s="465"/>
      <c r="K218" s="465"/>
    </row>
    <row r="219" spans="1:11" ht="12.75" customHeight="1" x14ac:dyDescent="0.2">
      <c r="A219" s="460" t="s">
        <v>787</v>
      </c>
      <c r="B219" s="467">
        <v>4770</v>
      </c>
      <c r="C219" s="548"/>
      <c r="D219" s="463"/>
      <c r="E219" s="465"/>
      <c r="F219" s="465"/>
      <c r="G219" s="463"/>
      <c r="H219" s="465"/>
      <c r="I219" s="465"/>
      <c r="J219" s="465"/>
      <c r="K219" s="465"/>
    </row>
    <row r="220" spans="1:11" ht="12.75" customHeight="1" x14ac:dyDescent="0.2">
      <c r="A220" s="460" t="s">
        <v>67</v>
      </c>
      <c r="B220" s="467">
        <v>4799</v>
      </c>
      <c r="C220" s="548"/>
      <c r="D220" s="463"/>
      <c r="E220" s="465"/>
      <c r="F220" s="465"/>
      <c r="G220" s="463"/>
      <c r="H220" s="465"/>
      <c r="I220" s="465"/>
      <c r="J220" s="465"/>
      <c r="K220" s="465"/>
    </row>
    <row r="221" spans="1:11" ht="12.75" customHeight="1" thickBot="1" x14ac:dyDescent="0.25">
      <c r="A221" s="1720" t="s">
        <v>1085</v>
      </c>
      <c r="B221" s="1721"/>
      <c r="C221" s="1704">
        <f>SUM(C219:C220)</f>
        <v>0</v>
      </c>
      <c r="D221" s="1704">
        <f>SUM(D219:D220)</f>
        <v>0</v>
      </c>
      <c r="E221" s="465"/>
      <c r="F221" s="465"/>
      <c r="G221" s="1704">
        <f>SUM(G219:G220)</f>
        <v>0</v>
      </c>
      <c r="H221" s="465"/>
      <c r="I221" s="465"/>
      <c r="J221" s="465"/>
      <c r="K221" s="465"/>
    </row>
    <row r="222" spans="1:11" ht="12.75" customHeight="1" thickTop="1" thickBot="1" x14ac:dyDescent="0.25">
      <c r="A222" s="490" t="s">
        <v>757</v>
      </c>
      <c r="B222" s="488">
        <v>4810</v>
      </c>
      <c r="C222" s="572"/>
      <c r="D222" s="573"/>
      <c r="E222" s="465"/>
      <c r="F222" s="465"/>
      <c r="G222" s="573"/>
      <c r="H222" s="465"/>
      <c r="I222" s="465"/>
      <c r="J222" s="465"/>
      <c r="K222" s="465"/>
    </row>
    <row r="223" spans="1:11" ht="12.75" customHeight="1" thickTop="1" x14ac:dyDescent="0.2">
      <c r="A223" s="490" t="s">
        <v>350</v>
      </c>
      <c r="B223" s="488">
        <v>4850</v>
      </c>
      <c r="C223" s="486"/>
      <c r="D223" s="464"/>
      <c r="E223" s="464"/>
      <c r="F223" s="464"/>
      <c r="G223" s="464"/>
      <c r="H223" s="464"/>
      <c r="I223" s="465"/>
      <c r="J223" s="464"/>
      <c r="K223" s="464"/>
    </row>
    <row r="224" spans="1:11" ht="12.75" customHeight="1" x14ac:dyDescent="0.2">
      <c r="A224" s="490" t="s">
        <v>351</v>
      </c>
      <c r="B224" s="488">
        <v>4851</v>
      </c>
      <c r="C224" s="486"/>
      <c r="D224" s="464"/>
      <c r="E224" s="465"/>
      <c r="F224" s="471"/>
      <c r="G224" s="464"/>
      <c r="H224" s="465"/>
      <c r="I224" s="465"/>
      <c r="J224" s="465"/>
      <c r="K224" s="465"/>
    </row>
    <row r="225" spans="1:11" ht="12.75" customHeight="1" x14ac:dyDescent="0.2">
      <c r="A225" s="490" t="s">
        <v>352</v>
      </c>
      <c r="B225" s="488">
        <v>4852</v>
      </c>
      <c r="C225" s="486"/>
      <c r="D225" s="464"/>
      <c r="E225" s="464"/>
      <c r="F225" s="464"/>
      <c r="G225" s="464"/>
      <c r="H225" s="464"/>
      <c r="I225" s="465"/>
      <c r="J225" s="464"/>
      <c r="K225" s="464"/>
    </row>
    <row r="226" spans="1:11" ht="12.75" customHeight="1" x14ac:dyDescent="0.2">
      <c r="A226" s="490" t="s">
        <v>353</v>
      </c>
      <c r="B226" s="488">
        <v>4853</v>
      </c>
      <c r="C226" s="486"/>
      <c r="D226" s="464"/>
      <c r="E226" s="464"/>
      <c r="F226" s="464"/>
      <c r="G226" s="464"/>
      <c r="H226" s="464"/>
      <c r="I226" s="465"/>
      <c r="J226" s="464"/>
      <c r="K226" s="464"/>
    </row>
    <row r="227" spans="1:11" ht="12.75" customHeight="1" x14ac:dyDescent="0.2">
      <c r="A227" s="490" t="s">
        <v>354</v>
      </c>
      <c r="B227" s="488">
        <v>4854</v>
      </c>
      <c r="C227" s="486"/>
      <c r="D227" s="464"/>
      <c r="E227" s="464"/>
      <c r="F227" s="464"/>
      <c r="G227" s="464"/>
      <c r="H227" s="464"/>
      <c r="I227" s="465"/>
      <c r="J227" s="464"/>
      <c r="K227" s="464"/>
    </row>
    <row r="228" spans="1:11" ht="12.75" customHeight="1" x14ac:dyDescent="0.2">
      <c r="A228" s="490" t="s">
        <v>464</v>
      </c>
      <c r="B228" s="488">
        <v>4855</v>
      </c>
      <c r="C228" s="486"/>
      <c r="D228" s="464"/>
      <c r="E228" s="464"/>
      <c r="F228" s="464"/>
      <c r="G228" s="464"/>
      <c r="H228" s="464"/>
      <c r="I228" s="465"/>
      <c r="J228" s="464"/>
      <c r="K228" s="464"/>
    </row>
    <row r="229" spans="1:11" ht="12.75" customHeight="1" x14ac:dyDescent="0.2">
      <c r="A229" s="490" t="s">
        <v>355</v>
      </c>
      <c r="B229" s="488">
        <v>4856</v>
      </c>
      <c r="C229" s="486"/>
      <c r="D229" s="464"/>
      <c r="E229" s="464"/>
      <c r="F229" s="464"/>
      <c r="G229" s="464"/>
      <c r="H229" s="464"/>
      <c r="I229" s="465"/>
      <c r="J229" s="464"/>
      <c r="K229" s="464"/>
    </row>
    <row r="230" spans="1:11" ht="12.75" customHeight="1" x14ac:dyDescent="0.2">
      <c r="A230" s="490" t="s">
        <v>356</v>
      </c>
      <c r="B230" s="488">
        <v>4857</v>
      </c>
      <c r="C230" s="486"/>
      <c r="D230" s="464"/>
      <c r="E230" s="464"/>
      <c r="F230" s="464"/>
      <c r="G230" s="464"/>
      <c r="H230" s="464"/>
      <c r="I230" s="465"/>
      <c r="J230" s="464"/>
      <c r="K230" s="464"/>
    </row>
    <row r="231" spans="1:11" ht="12.75" customHeight="1" x14ac:dyDescent="0.2">
      <c r="A231" s="490" t="s">
        <v>357</v>
      </c>
      <c r="B231" s="488">
        <v>4860</v>
      </c>
      <c r="C231" s="486"/>
      <c r="D231" s="464"/>
      <c r="E231" s="464"/>
      <c r="F231" s="464"/>
      <c r="G231" s="464"/>
      <c r="H231" s="464"/>
      <c r="I231" s="465"/>
      <c r="J231" s="464"/>
      <c r="K231" s="464"/>
    </row>
    <row r="232" spans="1:11" ht="12.75" customHeight="1" x14ac:dyDescent="0.2">
      <c r="A232" s="490" t="s">
        <v>358</v>
      </c>
      <c r="B232" s="488">
        <v>4861</v>
      </c>
      <c r="C232" s="486"/>
      <c r="D232" s="464"/>
      <c r="E232" s="464"/>
      <c r="F232" s="464"/>
      <c r="G232" s="464"/>
      <c r="H232" s="464"/>
      <c r="I232" s="465"/>
      <c r="J232" s="464"/>
      <c r="K232" s="464"/>
    </row>
    <row r="233" spans="1:11" ht="12.75" customHeight="1" x14ac:dyDescent="0.2">
      <c r="A233" s="490" t="s">
        <v>359</v>
      </c>
      <c r="B233" s="488">
        <v>4862</v>
      </c>
      <c r="C233" s="486"/>
      <c r="D233" s="464"/>
      <c r="E233" s="472"/>
      <c r="F233" s="464"/>
      <c r="G233" s="464"/>
      <c r="H233" s="472"/>
      <c r="I233" s="465"/>
      <c r="J233" s="472"/>
      <c r="K233" s="472"/>
    </row>
    <row r="234" spans="1:11" ht="12.75" customHeight="1" x14ac:dyDescent="0.2">
      <c r="A234" s="490" t="s">
        <v>360</v>
      </c>
      <c r="B234" s="488">
        <v>4863</v>
      </c>
      <c r="C234" s="486"/>
      <c r="D234" s="464"/>
      <c r="E234" s="465"/>
      <c r="F234" s="472"/>
      <c r="G234" s="523"/>
      <c r="H234" s="465"/>
      <c r="I234" s="465"/>
      <c r="J234" s="465"/>
      <c r="K234" s="465"/>
    </row>
    <row r="235" spans="1:11" ht="12.75" customHeight="1" x14ac:dyDescent="0.2">
      <c r="A235" s="490" t="s">
        <v>469</v>
      </c>
      <c r="B235" s="488">
        <v>4864</v>
      </c>
      <c r="C235" s="486"/>
      <c r="D235" s="464"/>
      <c r="E235" s="464"/>
      <c r="F235" s="464"/>
      <c r="G235" s="464"/>
      <c r="H235" s="464"/>
      <c r="I235" s="465"/>
      <c r="J235" s="464"/>
      <c r="K235" s="464"/>
    </row>
    <row r="236" spans="1:11" ht="12.75" customHeight="1" x14ac:dyDescent="0.2">
      <c r="A236" s="490" t="s">
        <v>470</v>
      </c>
      <c r="B236" s="488">
        <v>4865</v>
      </c>
      <c r="C236" s="486"/>
      <c r="D236" s="464"/>
      <c r="E236" s="464"/>
      <c r="F236" s="464"/>
      <c r="G236" s="464"/>
      <c r="H236" s="464"/>
      <c r="I236" s="465"/>
      <c r="J236" s="464"/>
      <c r="K236" s="464"/>
    </row>
    <row r="237" spans="1:11" ht="12.75" customHeight="1" x14ac:dyDescent="0.2">
      <c r="A237" s="490" t="s">
        <v>468</v>
      </c>
      <c r="B237" s="488">
        <v>4866</v>
      </c>
      <c r="C237" s="486"/>
      <c r="D237" s="464"/>
      <c r="E237" s="464"/>
      <c r="F237" s="464"/>
      <c r="G237" s="464"/>
      <c r="H237" s="464"/>
      <c r="I237" s="465"/>
      <c r="J237" s="464"/>
      <c r="K237" s="464"/>
    </row>
    <row r="238" spans="1:11" ht="12.75" customHeight="1" x14ac:dyDescent="0.2">
      <c r="A238" s="490" t="s">
        <v>467</v>
      </c>
      <c r="B238" s="488">
        <v>4867</v>
      </c>
      <c r="C238" s="486"/>
      <c r="D238" s="464"/>
      <c r="E238" s="464"/>
      <c r="F238" s="464"/>
      <c r="G238" s="464"/>
      <c r="H238" s="464"/>
      <c r="I238" s="465"/>
      <c r="J238" s="464"/>
      <c r="K238" s="464"/>
    </row>
    <row r="239" spans="1:11" ht="12.75" customHeight="1" x14ac:dyDescent="0.2">
      <c r="A239" s="490" t="s">
        <v>466</v>
      </c>
      <c r="B239" s="488">
        <v>4868</v>
      </c>
      <c r="C239" s="486"/>
      <c r="D239" s="464"/>
      <c r="E239" s="464"/>
      <c r="F239" s="464"/>
      <c r="G239" s="464"/>
      <c r="H239" s="464"/>
      <c r="I239" s="465"/>
      <c r="J239" s="464"/>
      <c r="K239" s="464"/>
    </row>
    <row r="240" spans="1:11" ht="12.75" customHeight="1" x14ac:dyDescent="0.2">
      <c r="A240" s="490" t="s">
        <v>465</v>
      </c>
      <c r="B240" s="488">
        <v>4869</v>
      </c>
      <c r="C240" s="486"/>
      <c r="D240" s="464"/>
      <c r="E240" s="464"/>
      <c r="F240" s="464"/>
      <c r="G240" s="464"/>
      <c r="H240" s="464"/>
      <c r="I240" s="465"/>
      <c r="J240" s="464"/>
      <c r="K240" s="464"/>
    </row>
    <row r="241" spans="1:11" ht="12.75" customHeight="1" x14ac:dyDescent="0.2">
      <c r="A241" s="490" t="s">
        <v>1128</v>
      </c>
      <c r="B241" s="488">
        <v>4870</v>
      </c>
      <c r="C241" s="486"/>
      <c r="D241" s="464"/>
      <c r="E241" s="464"/>
      <c r="F241" s="464"/>
      <c r="G241" s="464"/>
      <c r="H241" s="464"/>
      <c r="I241" s="465"/>
      <c r="J241" s="464"/>
      <c r="K241" s="464"/>
    </row>
    <row r="242" spans="1:11" ht="12.75" customHeight="1" x14ac:dyDescent="0.2">
      <c r="A242" s="490" t="s">
        <v>788</v>
      </c>
      <c r="B242" s="488">
        <v>4871</v>
      </c>
      <c r="C242" s="486"/>
      <c r="D242" s="464"/>
      <c r="E242" s="464"/>
      <c r="F242" s="464"/>
      <c r="G242" s="464"/>
      <c r="H242" s="464"/>
      <c r="I242" s="465"/>
      <c r="J242" s="464"/>
      <c r="K242" s="464"/>
    </row>
    <row r="243" spans="1:11" ht="12.75" customHeight="1" x14ac:dyDescent="0.2">
      <c r="A243" s="490" t="s">
        <v>789</v>
      </c>
      <c r="B243" s="488">
        <v>4872</v>
      </c>
      <c r="C243" s="486"/>
      <c r="D243" s="464"/>
      <c r="E243" s="464"/>
      <c r="F243" s="464"/>
      <c r="G243" s="464"/>
      <c r="H243" s="464"/>
      <c r="I243" s="465"/>
      <c r="J243" s="464"/>
      <c r="K243" s="464"/>
    </row>
    <row r="244" spans="1:11" ht="12.75" customHeight="1" x14ac:dyDescent="0.2">
      <c r="A244" s="490" t="s">
        <v>790</v>
      </c>
      <c r="B244" s="488">
        <v>4873</v>
      </c>
      <c r="C244" s="486"/>
      <c r="D244" s="464"/>
      <c r="E244" s="464"/>
      <c r="F244" s="464"/>
      <c r="G244" s="464"/>
      <c r="H244" s="464"/>
      <c r="I244" s="465"/>
      <c r="J244" s="464"/>
      <c r="K244" s="464"/>
    </row>
    <row r="245" spans="1:11" ht="12.75" customHeight="1" x14ac:dyDescent="0.2">
      <c r="A245" s="490" t="s">
        <v>791</v>
      </c>
      <c r="B245" s="488">
        <v>4874</v>
      </c>
      <c r="C245" s="486"/>
      <c r="D245" s="464"/>
      <c r="E245" s="464"/>
      <c r="F245" s="464"/>
      <c r="G245" s="464"/>
      <c r="H245" s="464"/>
      <c r="I245" s="465"/>
      <c r="J245" s="464"/>
      <c r="K245" s="464"/>
    </row>
    <row r="246" spans="1:11" ht="12.75" customHeight="1" x14ac:dyDescent="0.2">
      <c r="A246" s="490" t="s">
        <v>471</v>
      </c>
      <c r="B246" s="488">
        <v>4875</v>
      </c>
      <c r="C246" s="486"/>
      <c r="D246" s="464"/>
      <c r="E246" s="464"/>
      <c r="F246" s="464"/>
      <c r="G246" s="464"/>
      <c r="H246" s="464"/>
      <c r="I246" s="465"/>
      <c r="J246" s="464"/>
      <c r="K246" s="464"/>
    </row>
    <row r="247" spans="1:11" ht="12.75" customHeight="1" x14ac:dyDescent="0.2">
      <c r="A247" s="490" t="s">
        <v>770</v>
      </c>
      <c r="B247" s="488">
        <v>4876</v>
      </c>
      <c r="C247" s="486"/>
      <c r="D247" s="464"/>
      <c r="E247" s="464"/>
      <c r="F247" s="464"/>
      <c r="G247" s="464"/>
      <c r="H247" s="464"/>
      <c r="I247" s="465"/>
      <c r="J247" s="464"/>
      <c r="K247" s="464"/>
    </row>
    <row r="248" spans="1:11" ht="12.75" customHeight="1" x14ac:dyDescent="0.2">
      <c r="A248" s="490" t="s">
        <v>771</v>
      </c>
      <c r="B248" s="488">
        <v>4877</v>
      </c>
      <c r="C248" s="486"/>
      <c r="D248" s="464"/>
      <c r="E248" s="464"/>
      <c r="F248" s="464"/>
      <c r="G248" s="464"/>
      <c r="H248" s="464"/>
      <c r="I248" s="465"/>
      <c r="J248" s="464"/>
      <c r="K248" s="464"/>
    </row>
    <row r="249" spans="1:11" ht="12.75" customHeight="1" x14ac:dyDescent="0.2">
      <c r="A249" s="490" t="s">
        <v>772</v>
      </c>
      <c r="B249" s="488">
        <v>4878</v>
      </c>
      <c r="C249" s="486"/>
      <c r="D249" s="464"/>
      <c r="E249" s="464"/>
      <c r="F249" s="464"/>
      <c r="G249" s="464"/>
      <c r="H249" s="464"/>
      <c r="I249" s="465"/>
      <c r="J249" s="464"/>
      <c r="K249" s="464"/>
    </row>
    <row r="250" spans="1:11" ht="12.75" customHeight="1" x14ac:dyDescent="0.2">
      <c r="A250" s="490" t="s">
        <v>773</v>
      </c>
      <c r="B250" s="488">
        <v>4879</v>
      </c>
      <c r="C250" s="486"/>
      <c r="D250" s="464"/>
      <c r="E250" s="464"/>
      <c r="F250" s="464"/>
      <c r="G250" s="464"/>
      <c r="H250" s="464"/>
      <c r="I250" s="465"/>
      <c r="J250" s="464"/>
      <c r="K250" s="464"/>
    </row>
    <row r="251" spans="1:11" ht="12.75" customHeight="1" x14ac:dyDescent="0.2">
      <c r="A251" s="224" t="s">
        <v>1455</v>
      </c>
      <c r="B251" s="584">
        <v>4880</v>
      </c>
      <c r="C251" s="486"/>
      <c r="D251" s="464"/>
      <c r="E251" s="464"/>
      <c r="F251" s="464"/>
      <c r="G251" s="464"/>
      <c r="H251" s="464"/>
      <c r="I251" s="465"/>
      <c r="J251" s="464"/>
      <c r="K251" s="464"/>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c r="D253" s="466"/>
      <c r="E253" s="465"/>
      <c r="F253" s="465"/>
      <c r="G253" s="465"/>
      <c r="H253" s="465"/>
      <c r="I253" s="465"/>
      <c r="J253" s="465"/>
      <c r="K253" s="465"/>
    </row>
    <row r="254" spans="1:11" ht="12.75" customHeight="1" thickTop="1" thickBot="1" x14ac:dyDescent="0.25">
      <c r="A254" s="1500" t="s">
        <v>1463</v>
      </c>
      <c r="B254" s="587">
        <v>4902</v>
      </c>
      <c r="C254" s="588"/>
      <c r="D254" s="589"/>
      <c r="E254" s="466"/>
      <c r="F254" s="589"/>
      <c r="G254" s="589"/>
      <c r="H254" s="466"/>
      <c r="I254" s="465"/>
      <c r="J254" s="466"/>
      <c r="K254" s="466"/>
    </row>
    <row r="255" spans="1:11" ht="12.75" customHeight="1" thickTop="1" thickBot="1" x14ac:dyDescent="0.25">
      <c r="A255" s="460" t="s">
        <v>1456</v>
      </c>
      <c r="B255" s="467">
        <v>4905</v>
      </c>
      <c r="C255" s="570"/>
      <c r="D255" s="465"/>
      <c r="E255" s="465"/>
      <c r="F255" s="575"/>
      <c r="G255" s="570"/>
      <c r="H255" s="465"/>
      <c r="I255" s="465"/>
      <c r="J255" s="465"/>
      <c r="K255" s="465"/>
    </row>
    <row r="256" spans="1:11" ht="12.75" customHeight="1" thickTop="1" thickBot="1" x14ac:dyDescent="0.25">
      <c r="A256" s="460" t="s">
        <v>1457</v>
      </c>
      <c r="B256" s="467">
        <v>4909</v>
      </c>
      <c r="C256" s="573"/>
      <c r="D256" s="465"/>
      <c r="E256" s="465"/>
      <c r="F256" s="573"/>
      <c r="G256" s="573"/>
      <c r="H256" s="465"/>
      <c r="I256" s="465"/>
      <c r="J256" s="465"/>
      <c r="K256" s="465"/>
    </row>
    <row r="257" spans="1:11" ht="12.75" customHeight="1" thickTop="1" thickBot="1" x14ac:dyDescent="0.25">
      <c r="A257" s="460" t="s">
        <v>193</v>
      </c>
      <c r="B257" s="467">
        <v>4920</v>
      </c>
      <c r="C257" s="573"/>
      <c r="D257" s="575"/>
      <c r="E257" s="465"/>
      <c r="F257" s="570"/>
      <c r="G257" s="570"/>
      <c r="H257" s="465"/>
      <c r="I257" s="465"/>
      <c r="J257" s="465"/>
      <c r="K257" s="465"/>
    </row>
    <row r="258" spans="1:11" ht="12.75" customHeight="1" thickTop="1" thickBot="1" x14ac:dyDescent="0.25">
      <c r="A258" s="460" t="s">
        <v>421</v>
      </c>
      <c r="B258" s="467">
        <v>4930</v>
      </c>
      <c r="C258" s="573"/>
      <c r="D258" s="573"/>
      <c r="E258" s="465"/>
      <c r="F258" s="573"/>
      <c r="G258" s="573"/>
      <c r="H258" s="465"/>
      <c r="I258" s="465"/>
      <c r="J258" s="465"/>
      <c r="K258" s="465"/>
    </row>
    <row r="259" spans="1:11" ht="12.75" customHeight="1" thickTop="1" thickBot="1" x14ac:dyDescent="0.25">
      <c r="A259" s="460" t="s">
        <v>758</v>
      </c>
      <c r="B259" s="467">
        <v>4932</v>
      </c>
      <c r="C259" s="573">
        <v>12476</v>
      </c>
      <c r="D259" s="573"/>
      <c r="E259" s="465"/>
      <c r="F259" s="573"/>
      <c r="G259" s="573"/>
      <c r="H259" s="465"/>
      <c r="I259" s="465"/>
      <c r="J259" s="465"/>
      <c r="K259" s="465"/>
    </row>
    <row r="260" spans="1:11" ht="12.75" customHeight="1" thickTop="1" thickBot="1" x14ac:dyDescent="0.25">
      <c r="A260" s="460" t="s">
        <v>890</v>
      </c>
      <c r="B260" s="467">
        <v>4960</v>
      </c>
      <c r="C260" s="572"/>
      <c r="D260" s="573"/>
      <c r="E260" s="465"/>
      <c r="F260" s="573"/>
      <c r="G260" s="573"/>
      <c r="H260" s="465"/>
      <c r="I260" s="465"/>
      <c r="J260" s="465"/>
      <c r="K260" s="465"/>
    </row>
    <row r="261" spans="1:11" ht="12.75" customHeight="1" thickTop="1" thickBot="1" x14ac:dyDescent="0.25">
      <c r="A261" s="1927" t="s">
        <v>1921</v>
      </c>
      <c r="B261" s="467">
        <v>4981</v>
      </c>
      <c r="C261" s="572"/>
      <c r="D261" s="573"/>
      <c r="E261" s="465"/>
      <c r="F261" s="573"/>
      <c r="G261" s="573"/>
      <c r="H261" s="465"/>
      <c r="I261" s="465"/>
      <c r="J261" s="465"/>
      <c r="K261" s="465"/>
    </row>
    <row r="262" spans="1:11" ht="12.75" customHeight="1" thickTop="1" thickBot="1" x14ac:dyDescent="0.25">
      <c r="A262" s="1928" t="s">
        <v>1922</v>
      </c>
      <c r="B262" s="467">
        <v>4982</v>
      </c>
      <c r="C262" s="572"/>
      <c r="D262" s="573"/>
      <c r="E262" s="465"/>
      <c r="F262" s="573"/>
      <c r="G262" s="573"/>
      <c r="H262" s="465"/>
      <c r="I262" s="465"/>
      <c r="J262" s="465"/>
      <c r="K262" s="465"/>
    </row>
    <row r="263" spans="1:11" ht="12.75" customHeight="1" thickTop="1" thickBot="1" x14ac:dyDescent="0.25">
      <c r="A263" s="460" t="s">
        <v>568</v>
      </c>
      <c r="B263" s="467">
        <v>4991</v>
      </c>
      <c r="C263" s="572">
        <v>1089</v>
      </c>
      <c r="D263" s="573"/>
      <c r="E263" s="465"/>
      <c r="F263" s="573"/>
      <c r="G263" s="573"/>
      <c r="H263" s="465"/>
      <c r="I263" s="465"/>
      <c r="J263" s="465"/>
      <c r="K263" s="465"/>
    </row>
    <row r="264" spans="1:11" ht="12.75" customHeight="1" thickTop="1" thickBot="1" x14ac:dyDescent="0.25">
      <c r="A264" s="460" t="s">
        <v>377</v>
      </c>
      <c r="B264" s="467">
        <v>4992</v>
      </c>
      <c r="C264" s="572">
        <v>11869</v>
      </c>
      <c r="D264" s="573"/>
      <c r="E264" s="465"/>
      <c r="F264" s="573"/>
      <c r="G264" s="573"/>
      <c r="H264" s="465"/>
      <c r="I264" s="465"/>
      <c r="J264" s="465"/>
      <c r="K264" s="465"/>
    </row>
    <row r="265" spans="1:11" s="590" customFormat="1" ht="12.75" customHeight="1" thickTop="1" thickBot="1" x14ac:dyDescent="0.25">
      <c r="A265" s="560" t="s">
        <v>75</v>
      </c>
      <c r="B265" s="554">
        <v>4999</v>
      </c>
      <c r="C265" s="572"/>
      <c r="D265" s="573"/>
      <c r="E265" s="465"/>
      <c r="F265" s="573"/>
      <c r="G265" s="573"/>
      <c r="H265" s="527"/>
      <c r="I265" s="465"/>
      <c r="J265" s="465"/>
      <c r="K265" s="527"/>
    </row>
    <row r="266" spans="1:11" ht="14.25" thickTop="1" thickBot="1" x14ac:dyDescent="0.25">
      <c r="A266" s="1705" t="s">
        <v>1652</v>
      </c>
      <c r="B266" s="1724"/>
      <c r="C266" s="1712">
        <f t="shared" ref="C266:H266" si="10">SUM(C188,C198,C204,C209,C217,C221,C222,C252:C265)</f>
        <v>412995</v>
      </c>
      <c r="D266" s="1712">
        <f t="shared" si="10"/>
        <v>0</v>
      </c>
      <c r="E266" s="1712">
        <f t="shared" si="10"/>
        <v>0</v>
      </c>
      <c r="F266" s="1712">
        <f t="shared" si="10"/>
        <v>0</v>
      </c>
      <c r="G266" s="1712">
        <f t="shared" si="10"/>
        <v>0</v>
      </c>
      <c r="H266" s="1712">
        <f t="shared" si="10"/>
        <v>0</v>
      </c>
      <c r="I266" s="465"/>
      <c r="J266" s="1712">
        <f>SUM(J188,J198,J204,J209,J217,J221,J222,J252:J265)</f>
        <v>0</v>
      </c>
      <c r="K266" s="1699">
        <f>SUM(K188,K198,K204,K209,K217,K221,K222,K252:K265)</f>
        <v>0</v>
      </c>
    </row>
    <row r="267" spans="1:11" ht="14.25" thickTop="1" thickBot="1" x14ac:dyDescent="0.25">
      <c r="A267" s="1725" t="s">
        <v>1086</v>
      </c>
      <c r="B267" s="1726" t="s">
        <v>860</v>
      </c>
      <c r="C267" s="1712">
        <f>SUM(C175,C181,C266)</f>
        <v>412995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10293658</v>
      </c>
      <c r="D268" s="1712">
        <f t="shared" si="12"/>
        <v>940153</v>
      </c>
      <c r="E268" s="1712">
        <f t="shared" si="12"/>
        <v>1065913</v>
      </c>
      <c r="F268" s="1712">
        <f t="shared" si="12"/>
        <v>619869</v>
      </c>
      <c r="G268" s="1712">
        <f t="shared" si="12"/>
        <v>455084</v>
      </c>
      <c r="H268" s="1712">
        <f t="shared" si="12"/>
        <v>229196</v>
      </c>
      <c r="I268" s="1712">
        <f t="shared" si="12"/>
        <v>85432</v>
      </c>
      <c r="J268" s="1712">
        <f t="shared" si="12"/>
        <v>643798</v>
      </c>
      <c r="K268" s="1699">
        <f t="shared" si="12"/>
        <v>90310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6" customFormat="1" x14ac:dyDescent="0.2">
      <c r="A275" s="591"/>
      <c r="B275" s="592"/>
      <c r="C275" s="593"/>
      <c r="D275" s="593"/>
      <c r="E275" s="593"/>
      <c r="F275" s="593"/>
      <c r="G275" s="593"/>
      <c r="H275" s="593"/>
      <c r="I275" s="593"/>
      <c r="J275" s="593"/>
      <c r="K275" s="593"/>
    </row>
    <row r="276" spans="1:11" s="326" customFormat="1" x14ac:dyDescent="0.2">
      <c r="A276" s="591"/>
    </row>
    <row r="277" spans="1:11" s="326" customFormat="1" x14ac:dyDescent="0.2">
      <c r="A277" s="594"/>
    </row>
    <row r="278" spans="1:11" s="326" customFormat="1" x14ac:dyDescent="0.2">
      <c r="A278" s="594"/>
    </row>
    <row r="279" spans="1:11" s="326"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73" bottom="0.46" header="0.49"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7" activePane="bottomLeft" state="frozen"/>
      <selection pane="bottomLeft" activeCell="A381" sqref="A381"/>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0" customWidth="1"/>
    <col min="11" max="11" width="13.28515625" style="708" customWidth="1"/>
    <col min="12" max="12" width="11.85546875" style="340" customWidth="1"/>
    <col min="13" max="13" width="1.5703125" style="210" customWidth="1"/>
    <col min="14" max="14" width="9.140625" style="210"/>
    <col min="15" max="16384" width="9.140625" style="326"/>
  </cols>
  <sheetData>
    <row r="1" spans="1:14" x14ac:dyDescent="0.2">
      <c r="A1" s="2128" t="s">
        <v>1787</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60"/>
      <c r="B2" s="602" t="s">
        <v>45</v>
      </c>
      <c r="C2" s="603" t="s">
        <v>194</v>
      </c>
      <c r="D2" s="604" t="s">
        <v>49</v>
      </c>
      <c r="E2" s="604" t="s">
        <v>1100</v>
      </c>
      <c r="F2" s="604" t="s">
        <v>1094</v>
      </c>
      <c r="G2" s="603" t="s">
        <v>1095</v>
      </c>
      <c r="H2" s="603" t="s">
        <v>1096</v>
      </c>
      <c r="I2" s="604" t="s">
        <v>291</v>
      </c>
      <c r="J2" s="604" t="s">
        <v>292</v>
      </c>
      <c r="K2" s="603" t="s">
        <v>156</v>
      </c>
      <c r="L2" s="603" t="s">
        <v>30</v>
      </c>
      <c r="M2" s="255"/>
      <c r="N2" s="255"/>
    </row>
    <row r="3" spans="1:14" s="340" customFormat="1" ht="16.7" customHeight="1" x14ac:dyDescent="0.2">
      <c r="A3" s="2166" t="s">
        <v>297</v>
      </c>
      <c r="B3" s="2167"/>
      <c r="C3" s="1545"/>
      <c r="D3" s="1545"/>
      <c r="E3" s="1545"/>
      <c r="F3" s="1545"/>
      <c r="G3" s="1545"/>
      <c r="H3" s="1545"/>
      <c r="I3" s="1545"/>
      <c r="J3" s="1545"/>
      <c r="K3" s="1546"/>
      <c r="L3" s="1547"/>
      <c r="M3" s="606"/>
      <c r="N3" s="606"/>
    </row>
    <row r="4" spans="1:14" s="257"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3">
        <v>3657389</v>
      </c>
      <c r="D5" s="463">
        <v>918813</v>
      </c>
      <c r="E5" s="463">
        <v>68606</v>
      </c>
      <c r="F5" s="463">
        <v>88501</v>
      </c>
      <c r="G5" s="463">
        <v>1293</v>
      </c>
      <c r="H5" s="463"/>
      <c r="I5" s="464"/>
      <c r="J5" s="464"/>
      <c r="K5" s="1668">
        <f>SUM(C5:J5)</f>
        <v>4734602</v>
      </c>
      <c r="L5" s="463">
        <v>4734485</v>
      </c>
    </row>
    <row r="6" spans="1:14" x14ac:dyDescent="0.2">
      <c r="A6" s="1501" t="s">
        <v>1433</v>
      </c>
      <c r="B6" s="611" t="s">
        <v>1431</v>
      </c>
      <c r="C6" s="474"/>
      <c r="D6" s="474"/>
      <c r="E6" s="463"/>
      <c r="F6" s="474"/>
      <c r="G6" s="474"/>
      <c r="H6" s="474"/>
      <c r="I6" s="474"/>
      <c r="J6" s="474"/>
      <c r="K6" s="1668">
        <f>SUM(C6,E6)</f>
        <v>0</v>
      </c>
      <c r="L6" s="463"/>
    </row>
    <row r="7" spans="1:14" x14ac:dyDescent="0.2">
      <c r="A7" s="1501" t="s">
        <v>163</v>
      </c>
      <c r="B7" s="611" t="s">
        <v>967</v>
      </c>
      <c r="C7" s="464">
        <v>94792</v>
      </c>
      <c r="D7" s="464">
        <v>27172</v>
      </c>
      <c r="E7" s="464">
        <v>639</v>
      </c>
      <c r="F7" s="464">
        <v>6107</v>
      </c>
      <c r="G7" s="464">
        <v>5960</v>
      </c>
      <c r="H7" s="464"/>
      <c r="I7" s="464"/>
      <c r="J7" s="464"/>
      <c r="K7" s="1668">
        <f t="shared" ref="K7:K32" si="0">SUM(C7:J7)</f>
        <v>134670</v>
      </c>
      <c r="L7" s="463">
        <v>140533</v>
      </c>
    </row>
    <row r="8" spans="1:14" x14ac:dyDescent="0.2">
      <c r="A8" s="1501" t="s">
        <v>164</v>
      </c>
      <c r="B8" s="611">
        <v>1200</v>
      </c>
      <c r="C8" s="463">
        <v>881246</v>
      </c>
      <c r="D8" s="463">
        <v>201731</v>
      </c>
      <c r="E8" s="463">
        <v>890</v>
      </c>
      <c r="F8" s="463">
        <v>5852</v>
      </c>
      <c r="G8" s="463">
        <v>1771</v>
      </c>
      <c r="H8" s="463"/>
      <c r="I8" s="464"/>
      <c r="J8" s="464"/>
      <c r="K8" s="1668">
        <f t="shared" si="0"/>
        <v>1091490</v>
      </c>
      <c r="L8" s="463">
        <v>1144047</v>
      </c>
    </row>
    <row r="9" spans="1:14" x14ac:dyDescent="0.2">
      <c r="A9" s="1501" t="s">
        <v>721</v>
      </c>
      <c r="B9" s="611" t="s">
        <v>968</v>
      </c>
      <c r="C9" s="464">
        <v>15009</v>
      </c>
      <c r="D9" s="464">
        <v>2414</v>
      </c>
      <c r="E9" s="464"/>
      <c r="F9" s="464"/>
      <c r="G9" s="464"/>
      <c r="H9" s="464"/>
      <c r="I9" s="464"/>
      <c r="J9" s="464"/>
      <c r="K9" s="1668">
        <f t="shared" si="0"/>
        <v>17423</v>
      </c>
      <c r="L9" s="463">
        <v>13550</v>
      </c>
    </row>
    <row r="10" spans="1:14" x14ac:dyDescent="0.2">
      <c r="A10" s="1501" t="s">
        <v>722</v>
      </c>
      <c r="B10" s="611">
        <v>1250</v>
      </c>
      <c r="C10" s="463">
        <v>178439</v>
      </c>
      <c r="D10" s="463">
        <v>46444</v>
      </c>
      <c r="E10" s="463">
        <v>104</v>
      </c>
      <c r="F10" s="463">
        <v>109551</v>
      </c>
      <c r="G10" s="463">
        <v>1944</v>
      </c>
      <c r="H10" s="463"/>
      <c r="I10" s="464"/>
      <c r="J10" s="464"/>
      <c r="K10" s="1668">
        <f t="shared" si="0"/>
        <v>336482</v>
      </c>
      <c r="L10" s="463">
        <v>321918</v>
      </c>
    </row>
    <row r="11" spans="1:14" x14ac:dyDescent="0.2">
      <c r="A11" s="1501" t="s">
        <v>1130</v>
      </c>
      <c r="B11" s="611" t="s">
        <v>161</v>
      </c>
      <c r="C11" s="464"/>
      <c r="D11" s="464"/>
      <c r="E11" s="464"/>
      <c r="F11" s="464"/>
      <c r="G11" s="464"/>
      <c r="H11" s="464"/>
      <c r="I11" s="464"/>
      <c r="J11" s="464"/>
      <c r="K11" s="1668">
        <f t="shared" si="0"/>
        <v>0</v>
      </c>
      <c r="L11" s="463"/>
    </row>
    <row r="12" spans="1:14" x14ac:dyDescent="0.2">
      <c r="A12" s="1501" t="s">
        <v>962</v>
      </c>
      <c r="B12" s="611">
        <v>1300</v>
      </c>
      <c r="C12" s="463"/>
      <c r="D12" s="463"/>
      <c r="E12" s="463"/>
      <c r="F12" s="463"/>
      <c r="G12" s="463"/>
      <c r="H12" s="463"/>
      <c r="I12" s="464"/>
      <c r="J12" s="464"/>
      <c r="K12" s="1668">
        <f t="shared" si="0"/>
        <v>0</v>
      </c>
      <c r="L12" s="463"/>
    </row>
    <row r="13" spans="1:14" x14ac:dyDescent="0.2">
      <c r="A13" s="1501" t="s">
        <v>723</v>
      </c>
      <c r="B13" s="611">
        <v>1400</v>
      </c>
      <c r="C13" s="463">
        <v>193967</v>
      </c>
      <c r="D13" s="463">
        <v>49894</v>
      </c>
      <c r="E13" s="463"/>
      <c r="F13" s="463">
        <v>8394</v>
      </c>
      <c r="G13" s="463"/>
      <c r="H13" s="463">
        <v>847</v>
      </c>
      <c r="I13" s="464"/>
      <c r="J13" s="464"/>
      <c r="K13" s="1668">
        <f t="shared" si="0"/>
        <v>253102</v>
      </c>
      <c r="L13" s="463">
        <v>251685</v>
      </c>
    </row>
    <row r="14" spans="1:14" x14ac:dyDescent="0.2">
      <c r="A14" s="1501" t="s">
        <v>963</v>
      </c>
      <c r="B14" s="611">
        <v>1500</v>
      </c>
      <c r="C14" s="463">
        <v>232828</v>
      </c>
      <c r="D14" s="463">
        <v>19481</v>
      </c>
      <c r="E14" s="463">
        <v>57142</v>
      </c>
      <c r="F14" s="463">
        <v>17109</v>
      </c>
      <c r="G14" s="463"/>
      <c r="H14" s="463">
        <v>18103</v>
      </c>
      <c r="I14" s="464"/>
      <c r="J14" s="464"/>
      <c r="K14" s="1668">
        <f t="shared" si="0"/>
        <v>344663</v>
      </c>
      <c r="L14" s="463">
        <v>362575</v>
      </c>
    </row>
    <row r="15" spans="1:14" x14ac:dyDescent="0.2">
      <c r="A15" s="1501" t="s">
        <v>964</v>
      </c>
      <c r="B15" s="611">
        <v>1600</v>
      </c>
      <c r="C15" s="463"/>
      <c r="D15" s="463"/>
      <c r="E15" s="463"/>
      <c r="F15" s="463"/>
      <c r="G15" s="463"/>
      <c r="H15" s="463"/>
      <c r="I15" s="464"/>
      <c r="J15" s="464"/>
      <c r="K15" s="1668">
        <f t="shared" si="0"/>
        <v>0</v>
      </c>
      <c r="L15" s="463"/>
    </row>
    <row r="16" spans="1:14" x14ac:dyDescent="0.2">
      <c r="A16" s="1501" t="s">
        <v>987</v>
      </c>
      <c r="B16" s="611" t="s">
        <v>424</v>
      </c>
      <c r="C16" s="463"/>
      <c r="D16" s="463"/>
      <c r="E16" s="463"/>
      <c r="F16" s="463"/>
      <c r="G16" s="463"/>
      <c r="H16" s="463"/>
      <c r="I16" s="464"/>
      <c r="J16" s="464"/>
      <c r="K16" s="1668">
        <f t="shared" si="0"/>
        <v>0</v>
      </c>
      <c r="L16" s="463"/>
    </row>
    <row r="17" spans="1:12" x14ac:dyDescent="0.2">
      <c r="A17" s="1501" t="s">
        <v>724</v>
      </c>
      <c r="B17" s="611" t="s">
        <v>162</v>
      </c>
      <c r="C17" s="464">
        <v>78211</v>
      </c>
      <c r="D17" s="464">
        <v>20961</v>
      </c>
      <c r="E17" s="464">
        <v>7681</v>
      </c>
      <c r="F17" s="464"/>
      <c r="G17" s="464"/>
      <c r="H17" s="464"/>
      <c r="I17" s="464"/>
      <c r="J17" s="464"/>
      <c r="K17" s="1668">
        <f t="shared" si="0"/>
        <v>106853</v>
      </c>
      <c r="L17" s="463">
        <v>102591</v>
      </c>
    </row>
    <row r="18" spans="1:12" x14ac:dyDescent="0.2">
      <c r="A18" s="1501" t="s">
        <v>1087</v>
      </c>
      <c r="B18" s="611">
        <v>1800</v>
      </c>
      <c r="C18" s="463"/>
      <c r="D18" s="463"/>
      <c r="E18" s="463"/>
      <c r="F18" s="463"/>
      <c r="G18" s="463"/>
      <c r="H18" s="463"/>
      <c r="I18" s="464"/>
      <c r="J18" s="464"/>
      <c r="K18" s="1668">
        <f t="shared" si="0"/>
        <v>0</v>
      </c>
      <c r="L18" s="463"/>
    </row>
    <row r="19" spans="1:12" x14ac:dyDescent="0.2">
      <c r="A19" s="1501" t="s">
        <v>134</v>
      </c>
      <c r="B19" s="611">
        <v>1900</v>
      </c>
      <c r="C19" s="463"/>
      <c r="D19" s="463"/>
      <c r="E19" s="463"/>
      <c r="F19" s="463"/>
      <c r="G19" s="463"/>
      <c r="H19" s="463">
        <v>442293</v>
      </c>
      <c r="I19" s="464"/>
      <c r="J19" s="464"/>
      <c r="K19" s="1668">
        <f t="shared" si="0"/>
        <v>442293</v>
      </c>
      <c r="L19" s="463"/>
    </row>
    <row r="20" spans="1:12" x14ac:dyDescent="0.2">
      <c r="A20" s="1502" t="s">
        <v>738</v>
      </c>
      <c r="B20" s="599" t="s">
        <v>725</v>
      </c>
      <c r="C20" s="474"/>
      <c r="D20" s="474"/>
      <c r="E20" s="474"/>
      <c r="F20" s="474"/>
      <c r="G20" s="474"/>
      <c r="H20" s="471"/>
      <c r="I20" s="613"/>
      <c r="J20" s="472"/>
      <c r="K20" s="1668">
        <f t="shared" si="0"/>
        <v>0</v>
      </c>
      <c r="L20" s="468"/>
    </row>
    <row r="21" spans="1:12" x14ac:dyDescent="0.2">
      <c r="A21" s="1502" t="s">
        <v>739</v>
      </c>
      <c r="B21" s="599" t="s">
        <v>726</v>
      </c>
      <c r="C21" s="474"/>
      <c r="D21" s="474"/>
      <c r="E21" s="474"/>
      <c r="F21" s="474"/>
      <c r="G21" s="474"/>
      <c r="H21" s="471"/>
      <c r="I21" s="613"/>
      <c r="J21" s="474"/>
      <c r="K21" s="1668">
        <f t="shared" si="0"/>
        <v>0</v>
      </c>
      <c r="L21" s="468">
        <v>3000</v>
      </c>
    </row>
    <row r="22" spans="1:12" x14ac:dyDescent="0.2">
      <c r="A22" s="1502" t="s">
        <v>740</v>
      </c>
      <c r="B22" s="599" t="s">
        <v>727</v>
      </c>
      <c r="C22" s="474"/>
      <c r="D22" s="474"/>
      <c r="E22" s="474"/>
      <c r="F22" s="474"/>
      <c r="G22" s="474"/>
      <c r="H22" s="471"/>
      <c r="I22" s="613"/>
      <c r="J22" s="474"/>
      <c r="K22" s="1668">
        <f t="shared" si="0"/>
        <v>0</v>
      </c>
      <c r="L22" s="468">
        <v>500000</v>
      </c>
    </row>
    <row r="23" spans="1:12" x14ac:dyDescent="0.2">
      <c r="A23" s="1502" t="s">
        <v>741</v>
      </c>
      <c r="B23" s="599" t="s">
        <v>728</v>
      </c>
      <c r="C23" s="474"/>
      <c r="D23" s="474"/>
      <c r="E23" s="474"/>
      <c r="F23" s="474"/>
      <c r="G23" s="474"/>
      <c r="H23" s="471"/>
      <c r="I23" s="613"/>
      <c r="J23" s="474"/>
      <c r="K23" s="1668">
        <f t="shared" si="0"/>
        <v>0</v>
      </c>
      <c r="L23" s="468"/>
    </row>
    <row r="24" spans="1:12" ht="12.75" customHeight="1" x14ac:dyDescent="0.2">
      <c r="A24" s="1502" t="s">
        <v>742</v>
      </c>
      <c r="B24" s="599" t="s">
        <v>729</v>
      </c>
      <c r="C24" s="474"/>
      <c r="D24" s="474"/>
      <c r="E24" s="474"/>
      <c r="F24" s="474"/>
      <c r="G24" s="474"/>
      <c r="H24" s="471"/>
      <c r="I24" s="613"/>
      <c r="J24" s="474"/>
      <c r="K24" s="1668">
        <f t="shared" si="0"/>
        <v>0</v>
      </c>
      <c r="L24" s="468"/>
    </row>
    <row r="25" spans="1:12" ht="12.75" customHeight="1" x14ac:dyDescent="0.2">
      <c r="A25" s="1502" t="s">
        <v>802</v>
      </c>
      <c r="B25" s="599" t="s">
        <v>730</v>
      </c>
      <c r="C25" s="474"/>
      <c r="D25" s="474"/>
      <c r="E25" s="474"/>
      <c r="F25" s="474"/>
      <c r="G25" s="474"/>
      <c r="H25" s="471"/>
      <c r="I25" s="613"/>
      <c r="J25" s="474"/>
      <c r="K25" s="1668">
        <f t="shared" si="0"/>
        <v>0</v>
      </c>
      <c r="L25" s="468"/>
    </row>
    <row r="26" spans="1:12" x14ac:dyDescent="0.2">
      <c r="A26" s="1502" t="s">
        <v>622</v>
      </c>
      <c r="B26" s="599" t="s">
        <v>731</v>
      </c>
      <c r="C26" s="474"/>
      <c r="D26" s="474"/>
      <c r="E26" s="474"/>
      <c r="F26" s="474"/>
      <c r="G26" s="474"/>
      <c r="H26" s="471"/>
      <c r="I26" s="613"/>
      <c r="J26" s="474"/>
      <c r="K26" s="1668">
        <f t="shared" si="0"/>
        <v>0</v>
      </c>
      <c r="L26" s="468"/>
    </row>
    <row r="27" spans="1:12" x14ac:dyDescent="0.2">
      <c r="A27" s="1502" t="s">
        <v>623</v>
      </c>
      <c r="B27" s="599" t="s">
        <v>732</v>
      </c>
      <c r="C27" s="474"/>
      <c r="D27" s="474"/>
      <c r="E27" s="474"/>
      <c r="F27" s="474"/>
      <c r="G27" s="474"/>
      <c r="H27" s="471"/>
      <c r="I27" s="613"/>
      <c r="J27" s="474"/>
      <c r="K27" s="1668">
        <f t="shared" si="0"/>
        <v>0</v>
      </c>
      <c r="L27" s="468"/>
    </row>
    <row r="28" spans="1:12" x14ac:dyDescent="0.2">
      <c r="A28" s="1502" t="s">
        <v>150</v>
      </c>
      <c r="B28" s="599" t="s">
        <v>733</v>
      </c>
      <c r="C28" s="474"/>
      <c r="D28" s="474"/>
      <c r="E28" s="474"/>
      <c r="F28" s="474"/>
      <c r="G28" s="474"/>
      <c r="H28" s="471"/>
      <c r="I28" s="613"/>
      <c r="J28" s="474"/>
      <c r="K28" s="1668">
        <f t="shared" si="0"/>
        <v>0</v>
      </c>
      <c r="L28" s="468"/>
    </row>
    <row r="29" spans="1:12" x14ac:dyDescent="0.2">
      <c r="A29" s="1502" t="s">
        <v>151</v>
      </c>
      <c r="B29" s="599" t="s">
        <v>734</v>
      </c>
      <c r="C29" s="474"/>
      <c r="D29" s="474"/>
      <c r="E29" s="474"/>
      <c r="F29" s="474"/>
      <c r="G29" s="474"/>
      <c r="H29" s="471"/>
      <c r="I29" s="613"/>
      <c r="J29" s="474"/>
      <c r="K29" s="1668">
        <f t="shared" si="0"/>
        <v>0</v>
      </c>
      <c r="L29" s="468"/>
    </row>
    <row r="30" spans="1:12" x14ac:dyDescent="0.2">
      <c r="A30" s="1502" t="s">
        <v>152</v>
      </c>
      <c r="B30" s="599" t="s">
        <v>735</v>
      </c>
      <c r="C30" s="474"/>
      <c r="D30" s="474"/>
      <c r="E30" s="474"/>
      <c r="F30" s="474"/>
      <c r="G30" s="474"/>
      <c r="H30" s="471"/>
      <c r="I30" s="613"/>
      <c r="J30" s="474"/>
      <c r="K30" s="1668">
        <f t="shared" si="0"/>
        <v>0</v>
      </c>
      <c r="L30" s="468"/>
    </row>
    <row r="31" spans="1:12" x14ac:dyDescent="0.2">
      <c r="A31" s="1502" t="s">
        <v>153</v>
      </c>
      <c r="B31" s="599" t="s">
        <v>736</v>
      </c>
      <c r="C31" s="474"/>
      <c r="D31" s="474"/>
      <c r="E31" s="474"/>
      <c r="F31" s="474"/>
      <c r="G31" s="474"/>
      <c r="H31" s="471"/>
      <c r="I31" s="613"/>
      <c r="J31" s="474"/>
      <c r="K31" s="1668">
        <f t="shared" si="0"/>
        <v>0</v>
      </c>
      <c r="L31" s="468"/>
    </row>
    <row r="32" spans="1:12" x14ac:dyDescent="0.2">
      <c r="A32" s="1503" t="s">
        <v>1129</v>
      </c>
      <c r="B32" s="611" t="s">
        <v>737</v>
      </c>
      <c r="C32" s="474"/>
      <c r="D32" s="474"/>
      <c r="E32" s="474"/>
      <c r="F32" s="474"/>
      <c r="G32" s="474"/>
      <c r="H32" s="471"/>
      <c r="I32" s="613"/>
      <c r="J32" s="477"/>
      <c r="K32" s="1668">
        <f t="shared" si="0"/>
        <v>0</v>
      </c>
      <c r="L32" s="468"/>
    </row>
    <row r="33" spans="1:14" ht="12.75" customHeight="1" thickBot="1" x14ac:dyDescent="0.25">
      <c r="A33" s="1665" t="s">
        <v>1654</v>
      </c>
      <c r="B33" s="1666" t="s">
        <v>570</v>
      </c>
      <c r="C33" s="1667">
        <f>SUM(C5:C32)</f>
        <v>5331881</v>
      </c>
      <c r="D33" s="1667">
        <f t="shared" ref="D33:L33" si="1">SUM(D5:D32)</f>
        <v>1286910</v>
      </c>
      <c r="E33" s="1667">
        <f t="shared" si="1"/>
        <v>135062</v>
      </c>
      <c r="F33" s="1667">
        <f t="shared" si="1"/>
        <v>235514</v>
      </c>
      <c r="G33" s="1667">
        <f t="shared" si="1"/>
        <v>10968</v>
      </c>
      <c r="H33" s="1667">
        <f t="shared" si="1"/>
        <v>461243</v>
      </c>
      <c r="I33" s="1667">
        <f t="shared" si="1"/>
        <v>0</v>
      </c>
      <c r="J33" s="1667">
        <f t="shared" si="1"/>
        <v>0</v>
      </c>
      <c r="K33" s="1667">
        <f t="shared" si="1"/>
        <v>7461578</v>
      </c>
      <c r="L33" s="1667">
        <f t="shared" si="1"/>
        <v>7574384</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8">
        <v>46717</v>
      </c>
      <c r="D36" s="478">
        <v>6281</v>
      </c>
      <c r="E36" s="478">
        <v>536</v>
      </c>
      <c r="F36" s="478">
        <v>945</v>
      </c>
      <c r="G36" s="478"/>
      <c r="H36" s="478"/>
      <c r="I36" s="464"/>
      <c r="J36" s="464"/>
      <c r="K36" s="1668">
        <f t="shared" ref="K36:K41" si="2">SUM(C36:J36)</f>
        <v>54479</v>
      </c>
      <c r="L36" s="463">
        <v>54040</v>
      </c>
    </row>
    <row r="37" spans="1:14" x14ac:dyDescent="0.2">
      <c r="A37" s="1501" t="s">
        <v>1090</v>
      </c>
      <c r="B37" s="611">
        <v>2120</v>
      </c>
      <c r="C37" s="463">
        <v>54788</v>
      </c>
      <c r="D37" s="463">
        <v>16773</v>
      </c>
      <c r="E37" s="463">
        <v>1580</v>
      </c>
      <c r="F37" s="463">
        <v>2220</v>
      </c>
      <c r="G37" s="463"/>
      <c r="H37" s="463"/>
      <c r="I37" s="464"/>
      <c r="J37" s="464"/>
      <c r="K37" s="1668">
        <f t="shared" si="2"/>
        <v>75361</v>
      </c>
      <c r="L37" s="463">
        <v>87010</v>
      </c>
    </row>
    <row r="38" spans="1:14" x14ac:dyDescent="0.2">
      <c r="A38" s="1501" t="s">
        <v>198</v>
      </c>
      <c r="B38" s="611">
        <v>2130</v>
      </c>
      <c r="C38" s="463"/>
      <c r="D38" s="463"/>
      <c r="E38" s="463"/>
      <c r="F38" s="463"/>
      <c r="G38" s="463"/>
      <c r="H38" s="463"/>
      <c r="I38" s="464"/>
      <c r="J38" s="464"/>
      <c r="K38" s="1668">
        <f t="shared" si="2"/>
        <v>0</v>
      </c>
      <c r="L38" s="463">
        <v>4050</v>
      </c>
    </row>
    <row r="39" spans="1:14" x14ac:dyDescent="0.2">
      <c r="A39" s="1501" t="s">
        <v>199</v>
      </c>
      <c r="B39" s="611">
        <v>2140</v>
      </c>
      <c r="C39" s="463"/>
      <c r="D39" s="463"/>
      <c r="E39" s="463"/>
      <c r="F39" s="463"/>
      <c r="G39" s="463"/>
      <c r="H39" s="463"/>
      <c r="I39" s="464"/>
      <c r="J39" s="464"/>
      <c r="K39" s="1668">
        <f t="shared" si="2"/>
        <v>0</v>
      </c>
      <c r="L39" s="463"/>
    </row>
    <row r="40" spans="1:14" x14ac:dyDescent="0.2">
      <c r="A40" s="1501" t="s">
        <v>200</v>
      </c>
      <c r="B40" s="611">
        <v>2150</v>
      </c>
      <c r="C40" s="463">
        <v>108819</v>
      </c>
      <c r="D40" s="463">
        <v>28133</v>
      </c>
      <c r="E40" s="463">
        <v>441</v>
      </c>
      <c r="F40" s="463"/>
      <c r="G40" s="463"/>
      <c r="H40" s="463"/>
      <c r="I40" s="464"/>
      <c r="J40" s="464"/>
      <c r="K40" s="1668">
        <f t="shared" si="2"/>
        <v>137393</v>
      </c>
      <c r="L40" s="463">
        <v>133945</v>
      </c>
    </row>
    <row r="41" spans="1:14" x14ac:dyDescent="0.2">
      <c r="A41" s="1501" t="s">
        <v>1655</v>
      </c>
      <c r="B41" s="611">
        <v>2190</v>
      </c>
      <c r="C41" s="463"/>
      <c r="D41" s="463"/>
      <c r="E41" s="463"/>
      <c r="F41" s="463"/>
      <c r="G41" s="463"/>
      <c r="H41" s="463"/>
      <c r="I41" s="464"/>
      <c r="J41" s="464"/>
      <c r="K41" s="1668">
        <f t="shared" si="2"/>
        <v>0</v>
      </c>
      <c r="L41" s="463"/>
    </row>
    <row r="42" spans="1:14" ht="12.75" customHeight="1" thickBot="1" x14ac:dyDescent="0.25">
      <c r="A42" s="1665" t="s">
        <v>560</v>
      </c>
      <c r="B42" s="1666" t="s">
        <v>716</v>
      </c>
      <c r="C42" s="1667">
        <f>SUM(C36:C41)</f>
        <v>210324</v>
      </c>
      <c r="D42" s="1667">
        <f t="shared" ref="D42:L42" si="3">SUM(D36:D41)</f>
        <v>51187</v>
      </c>
      <c r="E42" s="1667">
        <f t="shared" si="3"/>
        <v>2557</v>
      </c>
      <c r="F42" s="1667">
        <f t="shared" si="3"/>
        <v>3165</v>
      </c>
      <c r="G42" s="1667">
        <f t="shared" si="3"/>
        <v>0</v>
      </c>
      <c r="H42" s="1667">
        <f t="shared" si="3"/>
        <v>0</v>
      </c>
      <c r="I42" s="1667">
        <f t="shared" si="3"/>
        <v>0</v>
      </c>
      <c r="J42" s="1667">
        <f t="shared" si="3"/>
        <v>0</v>
      </c>
      <c r="K42" s="1667">
        <f t="shared" si="3"/>
        <v>267233</v>
      </c>
      <c r="L42" s="1667">
        <f t="shared" si="3"/>
        <v>279045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8">
        <v>88477</v>
      </c>
      <c r="D44" s="478">
        <v>20482</v>
      </c>
      <c r="E44" s="478">
        <v>23174</v>
      </c>
      <c r="F44" s="478">
        <v>1284</v>
      </c>
      <c r="G44" s="478"/>
      <c r="H44" s="478">
        <v>553</v>
      </c>
      <c r="I44" s="464"/>
      <c r="J44" s="464"/>
      <c r="K44" s="1669">
        <f>SUM(C44:J44)</f>
        <v>133970</v>
      </c>
      <c r="L44" s="478">
        <v>142826</v>
      </c>
    </row>
    <row r="45" spans="1:14" x14ac:dyDescent="0.2">
      <c r="A45" s="1501" t="s">
        <v>815</v>
      </c>
      <c r="B45" s="611">
        <v>2220</v>
      </c>
      <c r="C45" s="463">
        <v>85706</v>
      </c>
      <c r="D45" s="463">
        <v>34395</v>
      </c>
      <c r="E45" s="463">
        <v>3490</v>
      </c>
      <c r="F45" s="463">
        <v>13250</v>
      </c>
      <c r="G45" s="463"/>
      <c r="H45" s="463">
        <v>200</v>
      </c>
      <c r="I45" s="464"/>
      <c r="J45" s="464"/>
      <c r="K45" s="1669">
        <f>SUM(C45:J45)</f>
        <v>137041</v>
      </c>
      <c r="L45" s="463">
        <v>142530</v>
      </c>
    </row>
    <row r="46" spans="1:14" x14ac:dyDescent="0.2">
      <c r="A46" s="1501" t="s">
        <v>816</v>
      </c>
      <c r="B46" s="611">
        <v>2230</v>
      </c>
      <c r="C46" s="463"/>
      <c r="D46" s="463"/>
      <c r="E46" s="463">
        <v>7759</v>
      </c>
      <c r="F46" s="463"/>
      <c r="G46" s="463"/>
      <c r="H46" s="463"/>
      <c r="I46" s="464"/>
      <c r="J46" s="464"/>
      <c r="K46" s="1669">
        <f>SUM(C46:J46)</f>
        <v>7759</v>
      </c>
      <c r="L46" s="463">
        <v>10675</v>
      </c>
    </row>
    <row r="47" spans="1:14" ht="12.75" customHeight="1" thickBot="1" x14ac:dyDescent="0.25">
      <c r="A47" s="1665" t="s">
        <v>561</v>
      </c>
      <c r="B47" s="1666" t="s">
        <v>32</v>
      </c>
      <c r="C47" s="1667">
        <f>SUM(C44:C46)</f>
        <v>174183</v>
      </c>
      <c r="D47" s="1667">
        <f t="shared" ref="D47:K47" si="4">SUM(D44:D46)</f>
        <v>54877</v>
      </c>
      <c r="E47" s="1667">
        <f t="shared" si="4"/>
        <v>34423</v>
      </c>
      <c r="F47" s="1667">
        <f t="shared" si="4"/>
        <v>14534</v>
      </c>
      <c r="G47" s="1667">
        <f t="shared" si="4"/>
        <v>0</v>
      </c>
      <c r="H47" s="1667">
        <f t="shared" si="4"/>
        <v>753</v>
      </c>
      <c r="I47" s="1667">
        <f t="shared" si="4"/>
        <v>0</v>
      </c>
      <c r="J47" s="1667">
        <f t="shared" si="4"/>
        <v>0</v>
      </c>
      <c r="K47" s="1667">
        <f t="shared" si="4"/>
        <v>278770</v>
      </c>
      <c r="L47" s="1667">
        <f>SUM(L44:L46)</f>
        <v>296031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8">
        <f>-357+1554</f>
        <v>1197</v>
      </c>
      <c r="D49" s="478">
        <v>37559</v>
      </c>
      <c r="E49" s="478">
        <v>1933</v>
      </c>
      <c r="F49" s="478"/>
      <c r="G49" s="478"/>
      <c r="H49" s="478"/>
      <c r="I49" s="464"/>
      <c r="J49" s="464"/>
      <c r="K49" s="1669">
        <f>SUM(C49:J49)</f>
        <v>40689</v>
      </c>
      <c r="L49" s="478">
        <v>63100</v>
      </c>
    </row>
    <row r="50" spans="1:14" x14ac:dyDescent="0.2">
      <c r="A50" s="1501" t="s">
        <v>818</v>
      </c>
      <c r="B50" s="611">
        <v>2320</v>
      </c>
      <c r="C50" s="463">
        <v>113655</v>
      </c>
      <c r="D50" s="463">
        <v>27900</v>
      </c>
      <c r="E50" s="463">
        <v>7531</v>
      </c>
      <c r="F50" s="463">
        <v>11598</v>
      </c>
      <c r="G50" s="463"/>
      <c r="H50" s="463">
        <v>1467</v>
      </c>
      <c r="I50" s="464"/>
      <c r="J50" s="464"/>
      <c r="K50" s="1669">
        <f>SUM(C50:J50)</f>
        <v>162151</v>
      </c>
      <c r="L50" s="463">
        <v>198215</v>
      </c>
    </row>
    <row r="51" spans="1:14" x14ac:dyDescent="0.2">
      <c r="A51" s="1501" t="s">
        <v>42</v>
      </c>
      <c r="B51" s="611">
        <v>2330</v>
      </c>
      <c r="C51" s="463"/>
      <c r="D51" s="463"/>
      <c r="E51" s="463"/>
      <c r="F51" s="463"/>
      <c r="G51" s="463"/>
      <c r="H51" s="463"/>
      <c r="I51" s="464"/>
      <c r="J51" s="464"/>
      <c r="K51" s="1669">
        <f>SUM(C51:J51)</f>
        <v>0</v>
      </c>
      <c r="L51" s="463"/>
    </row>
    <row r="52" spans="1:14" ht="22.5" x14ac:dyDescent="0.2">
      <c r="A52" s="1502" t="s">
        <v>298</v>
      </c>
      <c r="B52" s="624" t="s">
        <v>366</v>
      </c>
      <c r="C52" s="471"/>
      <c r="D52" s="471"/>
      <c r="E52" s="471">
        <v>1800</v>
      </c>
      <c r="F52" s="471"/>
      <c r="G52" s="471"/>
      <c r="H52" s="471"/>
      <c r="I52" s="471"/>
      <c r="J52" s="471"/>
      <c r="K52" s="1669">
        <f>SUM(C52:J52)</f>
        <v>1800</v>
      </c>
      <c r="L52" s="471">
        <v>5000</v>
      </c>
    </row>
    <row r="53" spans="1:14" ht="12.75" customHeight="1" thickBot="1" x14ac:dyDescent="0.25">
      <c r="A53" s="1665" t="s">
        <v>717</v>
      </c>
      <c r="B53" s="1666" t="s">
        <v>33</v>
      </c>
      <c r="C53" s="1667">
        <f>SUM(C49:C52)</f>
        <v>114852</v>
      </c>
      <c r="D53" s="1667">
        <f t="shared" ref="D53:L53" si="5">SUM(D49:D52)</f>
        <v>65459</v>
      </c>
      <c r="E53" s="1667">
        <f t="shared" si="5"/>
        <v>11264</v>
      </c>
      <c r="F53" s="1667">
        <f t="shared" si="5"/>
        <v>11598</v>
      </c>
      <c r="G53" s="1667">
        <f t="shared" si="5"/>
        <v>0</v>
      </c>
      <c r="H53" s="1667">
        <f t="shared" si="5"/>
        <v>1467</v>
      </c>
      <c r="I53" s="1667">
        <f t="shared" si="5"/>
        <v>0</v>
      </c>
      <c r="J53" s="1667">
        <f t="shared" si="5"/>
        <v>0</v>
      </c>
      <c r="K53" s="1667">
        <f t="shared" si="5"/>
        <v>204640</v>
      </c>
      <c r="L53" s="1667">
        <f t="shared" si="5"/>
        <v>266315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8">
        <v>380377</v>
      </c>
      <c r="D55" s="478">
        <v>143353</v>
      </c>
      <c r="E55" s="478">
        <v>830</v>
      </c>
      <c r="F55" s="478">
        <v>6433</v>
      </c>
      <c r="G55" s="478"/>
      <c r="H55" s="478">
        <v>1553</v>
      </c>
      <c r="I55" s="464"/>
      <c r="J55" s="464"/>
      <c r="K55" s="1669">
        <f>SUM(C55:J55)</f>
        <v>532546</v>
      </c>
      <c r="L55" s="478">
        <v>639587</v>
      </c>
    </row>
    <row r="56" spans="1:14" ht="12.75" customHeight="1" x14ac:dyDescent="0.2">
      <c r="A56" s="1505" t="s">
        <v>376</v>
      </c>
      <c r="B56" s="625">
        <v>2490</v>
      </c>
      <c r="C56" s="463"/>
      <c r="D56" s="463"/>
      <c r="E56" s="463"/>
      <c r="F56" s="463"/>
      <c r="G56" s="463"/>
      <c r="H56" s="463"/>
      <c r="I56" s="464"/>
      <c r="J56" s="464"/>
      <c r="K56" s="1669">
        <f>SUM(C56:J56)</f>
        <v>0</v>
      </c>
      <c r="L56" s="463"/>
    </row>
    <row r="57" spans="1:14" s="340" customFormat="1" ht="12.75" customHeight="1" thickBot="1" x14ac:dyDescent="0.25">
      <c r="A57" s="1665" t="s">
        <v>263</v>
      </c>
      <c r="B57" s="1670" t="s">
        <v>34</v>
      </c>
      <c r="C57" s="1671">
        <f>SUM(C55:C56)</f>
        <v>380377</v>
      </c>
      <c r="D57" s="1671">
        <f t="shared" ref="D57:K57" si="6">SUM(D55:D56)</f>
        <v>143353</v>
      </c>
      <c r="E57" s="1671">
        <f t="shared" si="6"/>
        <v>830</v>
      </c>
      <c r="F57" s="1671">
        <f t="shared" si="6"/>
        <v>6433</v>
      </c>
      <c r="G57" s="1671">
        <f t="shared" si="6"/>
        <v>0</v>
      </c>
      <c r="H57" s="1671">
        <f t="shared" si="6"/>
        <v>1553</v>
      </c>
      <c r="I57" s="1671">
        <f t="shared" si="6"/>
        <v>0</v>
      </c>
      <c r="J57" s="1671">
        <f t="shared" si="6"/>
        <v>0</v>
      </c>
      <c r="K57" s="1671">
        <f t="shared" si="6"/>
        <v>532546</v>
      </c>
      <c r="L57" s="1667">
        <f>SUM(L55:L56)</f>
        <v>639587</v>
      </c>
      <c r="M57" s="606"/>
      <c r="N57" s="606"/>
    </row>
    <row r="58" spans="1:14" s="340" customFormat="1" ht="15.75" customHeight="1" thickTop="1" x14ac:dyDescent="0.2">
      <c r="A58" s="621" t="s">
        <v>612</v>
      </c>
      <c r="B58" s="622"/>
      <c r="C58" s="626"/>
      <c r="D58" s="623"/>
      <c r="E58" s="623"/>
      <c r="F58" s="623"/>
      <c r="G58" s="623"/>
      <c r="H58" s="623"/>
      <c r="I58" s="613"/>
      <c r="J58" s="613"/>
      <c r="K58" s="623"/>
      <c r="L58" s="623"/>
      <c r="M58" s="606"/>
      <c r="N58" s="606"/>
    </row>
    <row r="59" spans="1:14" s="340" customFormat="1" x14ac:dyDescent="0.2">
      <c r="A59" s="1501" t="s">
        <v>1068</v>
      </c>
      <c r="B59" s="611">
        <v>2510</v>
      </c>
      <c r="C59" s="478"/>
      <c r="D59" s="478"/>
      <c r="E59" s="478"/>
      <c r="F59" s="478"/>
      <c r="G59" s="478"/>
      <c r="H59" s="478"/>
      <c r="I59" s="464"/>
      <c r="J59" s="464"/>
      <c r="K59" s="1669">
        <f t="shared" ref="K59:K64" si="7">SUM(C59:J59)</f>
        <v>0</v>
      </c>
      <c r="L59" s="478">
        <v>0</v>
      </c>
      <c r="M59" s="606"/>
      <c r="N59" s="606"/>
    </row>
    <row r="60" spans="1:14" s="340" customFormat="1" x14ac:dyDescent="0.2">
      <c r="A60" s="1501" t="s">
        <v>463</v>
      </c>
      <c r="B60" s="611">
        <v>2520</v>
      </c>
      <c r="C60" s="463">
        <v>127948</v>
      </c>
      <c r="D60" s="463">
        <v>26401</v>
      </c>
      <c r="E60" s="463">
        <v>17505</v>
      </c>
      <c r="F60" s="463">
        <v>12671</v>
      </c>
      <c r="G60" s="463"/>
      <c r="H60" s="463">
        <v>300</v>
      </c>
      <c r="I60" s="464"/>
      <c r="J60" s="464"/>
      <c r="K60" s="1669">
        <f t="shared" si="7"/>
        <v>184825</v>
      </c>
      <c r="L60" s="463">
        <v>151180</v>
      </c>
      <c r="M60" s="606"/>
      <c r="N60" s="606"/>
    </row>
    <row r="61" spans="1:14" s="340" customFormat="1" x14ac:dyDescent="0.2">
      <c r="A61" s="1501" t="s">
        <v>197</v>
      </c>
      <c r="B61" s="611">
        <v>2540</v>
      </c>
      <c r="C61" s="463"/>
      <c r="D61" s="463"/>
      <c r="E61" s="463"/>
      <c r="F61" s="463">
        <v>219615</v>
      </c>
      <c r="G61" s="463"/>
      <c r="H61" s="463"/>
      <c r="I61" s="464"/>
      <c r="J61" s="464"/>
      <c r="K61" s="1669">
        <f t="shared" si="7"/>
        <v>219615</v>
      </c>
      <c r="L61" s="463">
        <v>254000</v>
      </c>
      <c r="M61" s="606"/>
      <c r="N61" s="606"/>
    </row>
    <row r="62" spans="1:14" s="340" customFormat="1" x14ac:dyDescent="0.2">
      <c r="A62" s="1501" t="s">
        <v>953</v>
      </c>
      <c r="B62" s="611">
        <v>2550</v>
      </c>
      <c r="C62" s="463"/>
      <c r="D62" s="463"/>
      <c r="E62" s="463"/>
      <c r="F62" s="463"/>
      <c r="G62" s="463"/>
      <c r="H62" s="463"/>
      <c r="I62" s="464"/>
      <c r="J62" s="464"/>
      <c r="K62" s="1669">
        <f t="shared" si="7"/>
        <v>0</v>
      </c>
      <c r="L62" s="463"/>
      <c r="M62" s="606"/>
      <c r="N62" s="606"/>
    </row>
    <row r="63" spans="1:14" s="606" customFormat="1" x14ac:dyDescent="0.2">
      <c r="A63" s="1501" t="s">
        <v>100</v>
      </c>
      <c r="B63" s="611">
        <v>2560</v>
      </c>
      <c r="C63" s="463">
        <v>10749</v>
      </c>
      <c r="D63" s="463"/>
      <c r="E63" s="463">
        <v>276754</v>
      </c>
      <c r="F63" s="463">
        <v>7167</v>
      </c>
      <c r="G63" s="463">
        <v>12947</v>
      </c>
      <c r="H63" s="463"/>
      <c r="I63" s="464"/>
      <c r="J63" s="464"/>
      <c r="K63" s="1669">
        <f t="shared" si="7"/>
        <v>307617</v>
      </c>
      <c r="L63" s="463">
        <v>365275</v>
      </c>
    </row>
    <row r="64" spans="1:14" s="606" customFormat="1" x14ac:dyDescent="0.2">
      <c r="A64" s="1506" t="s">
        <v>101</v>
      </c>
      <c r="B64" s="627">
        <v>2570</v>
      </c>
      <c r="C64" s="478"/>
      <c r="D64" s="478"/>
      <c r="E64" s="478"/>
      <c r="F64" s="478"/>
      <c r="G64" s="478"/>
      <c r="H64" s="478"/>
      <c r="I64" s="464"/>
      <c r="J64" s="464"/>
      <c r="K64" s="1669">
        <f t="shared" si="7"/>
        <v>0</v>
      </c>
      <c r="L64" s="478"/>
    </row>
    <row r="65" spans="1:14" s="340" customFormat="1" ht="12.75" customHeight="1" thickBot="1" x14ac:dyDescent="0.25">
      <c r="A65" s="1665" t="s">
        <v>719</v>
      </c>
      <c r="B65" s="1666" t="s">
        <v>35</v>
      </c>
      <c r="C65" s="1667">
        <f>SUM(C59:C64)</f>
        <v>138697</v>
      </c>
      <c r="D65" s="1667">
        <f t="shared" ref="D65:L65" si="8">SUM(D59:D64)</f>
        <v>26401</v>
      </c>
      <c r="E65" s="1667">
        <f t="shared" si="8"/>
        <v>294259</v>
      </c>
      <c r="F65" s="1667">
        <f t="shared" si="8"/>
        <v>239453</v>
      </c>
      <c r="G65" s="1667">
        <f t="shared" si="8"/>
        <v>12947</v>
      </c>
      <c r="H65" s="1667">
        <f t="shared" si="8"/>
        <v>300</v>
      </c>
      <c r="I65" s="1667">
        <f t="shared" si="8"/>
        <v>0</v>
      </c>
      <c r="J65" s="1667">
        <f t="shared" si="8"/>
        <v>0</v>
      </c>
      <c r="K65" s="1667">
        <f t="shared" si="8"/>
        <v>712057</v>
      </c>
      <c r="L65" s="1667">
        <f t="shared" si="8"/>
        <v>770455</v>
      </c>
      <c r="M65" s="606"/>
      <c r="N65" s="606"/>
    </row>
    <row r="66" spans="1:14" s="340" customFormat="1" ht="15.75" customHeight="1" thickTop="1" x14ac:dyDescent="0.2">
      <c r="A66" s="621" t="s">
        <v>613</v>
      </c>
      <c r="B66" s="628"/>
      <c r="C66" s="613"/>
      <c r="D66" s="613"/>
      <c r="E66" s="613"/>
      <c r="F66" s="613"/>
      <c r="G66" s="613"/>
      <c r="H66" s="613"/>
      <c r="I66" s="613"/>
      <c r="J66" s="613"/>
      <c r="K66" s="623"/>
      <c r="L66" s="623"/>
      <c r="M66" s="606"/>
      <c r="N66" s="606"/>
    </row>
    <row r="67" spans="1:14" s="340" customFormat="1" x14ac:dyDescent="0.2">
      <c r="A67" s="1501" t="s">
        <v>1060</v>
      </c>
      <c r="B67" s="611">
        <v>2610</v>
      </c>
      <c r="C67" s="463"/>
      <c r="D67" s="463"/>
      <c r="E67" s="463"/>
      <c r="F67" s="463"/>
      <c r="G67" s="463"/>
      <c r="H67" s="463"/>
      <c r="I67" s="464"/>
      <c r="J67" s="464"/>
      <c r="K67" s="1669">
        <f>SUM(C67:J67)</f>
        <v>0</v>
      </c>
      <c r="L67" s="478"/>
      <c r="M67" s="606"/>
      <c r="N67" s="606"/>
    </row>
    <row r="68" spans="1:14" s="340" customFormat="1" x14ac:dyDescent="0.2">
      <c r="A68" s="1501" t="s">
        <v>607</v>
      </c>
      <c r="B68" s="611">
        <v>2620</v>
      </c>
      <c r="C68" s="463"/>
      <c r="D68" s="463"/>
      <c r="E68" s="463"/>
      <c r="F68" s="463"/>
      <c r="G68" s="463"/>
      <c r="H68" s="463"/>
      <c r="I68" s="464"/>
      <c r="J68" s="464"/>
      <c r="K68" s="1669">
        <f>SUM(C68:J68)</f>
        <v>0</v>
      </c>
      <c r="L68" s="463"/>
      <c r="M68" s="606"/>
      <c r="N68" s="606"/>
    </row>
    <row r="69" spans="1:14" s="340" customFormat="1" x14ac:dyDescent="0.2">
      <c r="A69" s="1501" t="s">
        <v>1061</v>
      </c>
      <c r="B69" s="611">
        <v>2630</v>
      </c>
      <c r="C69" s="463"/>
      <c r="D69" s="463"/>
      <c r="E69" s="463">
        <v>27024</v>
      </c>
      <c r="F69" s="463"/>
      <c r="G69" s="463"/>
      <c r="H69" s="463"/>
      <c r="I69" s="464"/>
      <c r="J69" s="464"/>
      <c r="K69" s="1669">
        <f>SUM(C69:J69)</f>
        <v>27024</v>
      </c>
      <c r="L69" s="463">
        <v>28000</v>
      </c>
      <c r="M69" s="606"/>
      <c r="N69" s="606"/>
    </row>
    <row r="70" spans="1:14" s="340" customFormat="1" x14ac:dyDescent="0.2">
      <c r="A70" s="1501" t="s">
        <v>403</v>
      </c>
      <c r="B70" s="611">
        <v>2640</v>
      </c>
      <c r="C70" s="463"/>
      <c r="D70" s="463"/>
      <c r="E70" s="463">
        <v>4698</v>
      </c>
      <c r="F70" s="463"/>
      <c r="G70" s="463"/>
      <c r="H70" s="463"/>
      <c r="I70" s="464"/>
      <c r="J70" s="464"/>
      <c r="K70" s="1669">
        <f>SUM(C70:J70)</f>
        <v>4698</v>
      </c>
      <c r="L70" s="463">
        <v>0</v>
      </c>
      <c r="M70" s="606"/>
      <c r="N70" s="606"/>
    </row>
    <row r="71" spans="1:14" s="340" customFormat="1" x14ac:dyDescent="0.2">
      <c r="A71" s="1501" t="s">
        <v>404</v>
      </c>
      <c r="B71" s="611">
        <v>2660</v>
      </c>
      <c r="C71" s="463">
        <v>134603</v>
      </c>
      <c r="D71" s="463">
        <v>17355</v>
      </c>
      <c r="E71" s="463">
        <f>8117+126</f>
        <v>8243</v>
      </c>
      <c r="F71" s="463">
        <v>126421</v>
      </c>
      <c r="G71" s="463">
        <f>43671-126</f>
        <v>43545</v>
      </c>
      <c r="H71" s="463"/>
      <c r="I71" s="464"/>
      <c r="J71" s="464"/>
      <c r="K71" s="1669">
        <f>SUM(C71:J71)</f>
        <v>330167</v>
      </c>
      <c r="L71" s="463">
        <v>294525</v>
      </c>
      <c r="M71" s="606"/>
      <c r="N71" s="606"/>
    </row>
    <row r="72" spans="1:14" s="340" customFormat="1" ht="12.75" customHeight="1" thickBot="1" x14ac:dyDescent="0.25">
      <c r="A72" s="1665" t="s">
        <v>37</v>
      </c>
      <c r="B72" s="1672" t="s">
        <v>36</v>
      </c>
      <c r="C72" s="1667">
        <f>SUM(C67:C71)</f>
        <v>134603</v>
      </c>
      <c r="D72" s="1667">
        <f t="shared" ref="D72:K72" si="9">SUM(D67:D71)</f>
        <v>17355</v>
      </c>
      <c r="E72" s="1667">
        <f t="shared" si="9"/>
        <v>39965</v>
      </c>
      <c r="F72" s="1667">
        <f t="shared" si="9"/>
        <v>126421</v>
      </c>
      <c r="G72" s="1667">
        <f t="shared" si="9"/>
        <v>43545</v>
      </c>
      <c r="H72" s="1667">
        <f t="shared" si="9"/>
        <v>0</v>
      </c>
      <c r="I72" s="1667">
        <f t="shared" si="9"/>
        <v>0</v>
      </c>
      <c r="J72" s="1667">
        <f t="shared" si="9"/>
        <v>0</v>
      </c>
      <c r="K72" s="1667">
        <f t="shared" si="9"/>
        <v>361889</v>
      </c>
      <c r="L72" s="1667">
        <f>SUM(L67:L71)</f>
        <v>322525</v>
      </c>
      <c r="M72" s="606"/>
      <c r="N72" s="606"/>
    </row>
    <row r="73" spans="1:14" s="340" customFormat="1" ht="14.25" thickTop="1" thickBot="1" x14ac:dyDescent="0.25">
      <c r="A73" s="1507" t="s">
        <v>980</v>
      </c>
      <c r="B73" s="629" t="s">
        <v>574</v>
      </c>
      <c r="C73" s="570"/>
      <c r="D73" s="570"/>
      <c r="E73" s="570"/>
      <c r="F73" s="570"/>
      <c r="G73" s="570"/>
      <c r="H73" s="570"/>
      <c r="I73" s="528"/>
      <c r="J73" s="528"/>
      <c r="K73" s="1667">
        <f>SUM(C73:J73)</f>
        <v>0</v>
      </c>
      <c r="L73" s="573"/>
      <c r="M73" s="606"/>
      <c r="N73" s="606"/>
    </row>
    <row r="74" spans="1:14" ht="12.75" customHeight="1" thickTop="1" thickBot="1" x14ac:dyDescent="0.25">
      <c r="A74" s="1665" t="s">
        <v>811</v>
      </c>
      <c r="B74" s="1673">
        <v>2000</v>
      </c>
      <c r="C74" s="1674">
        <f>SUM(C42,C47,C53,C57,C65,C72,C73)</f>
        <v>1153036</v>
      </c>
      <c r="D74" s="1674">
        <f t="shared" ref="D74:K74" si="10">SUM(D42,D47,D53,D57,D65,D72,D73)</f>
        <v>358632</v>
      </c>
      <c r="E74" s="1674">
        <f t="shared" si="10"/>
        <v>383298</v>
      </c>
      <c r="F74" s="1674">
        <f t="shared" si="10"/>
        <v>401604</v>
      </c>
      <c r="G74" s="1674">
        <f t="shared" si="10"/>
        <v>56492</v>
      </c>
      <c r="H74" s="1674">
        <f t="shared" si="10"/>
        <v>4073</v>
      </c>
      <c r="I74" s="1674">
        <f t="shared" si="10"/>
        <v>0</v>
      </c>
      <c r="J74" s="1674">
        <f t="shared" si="10"/>
        <v>0</v>
      </c>
      <c r="K74" s="1674">
        <f t="shared" si="10"/>
        <v>2357135</v>
      </c>
      <c r="L74" s="1674">
        <f>SUM(L42,L47,L53,L57,L65,L72,L73)</f>
        <v>2573958</v>
      </c>
    </row>
    <row r="75" spans="1:14" s="257" customFormat="1" ht="15.75" customHeight="1" thickTop="1" thickBot="1" x14ac:dyDescent="0.25">
      <c r="A75" s="1607" t="s">
        <v>47</v>
      </c>
      <c r="B75" s="1608" t="s">
        <v>575</v>
      </c>
      <c r="C75" s="570"/>
      <c r="D75" s="570">
        <v>1457</v>
      </c>
      <c r="E75" s="570"/>
      <c r="F75" s="570">
        <v>3654</v>
      </c>
      <c r="G75" s="570"/>
      <c r="H75" s="570"/>
      <c r="I75" s="528"/>
      <c r="J75" s="528"/>
      <c r="K75" s="1667">
        <f>SUM(C75:J75)</f>
        <v>5111</v>
      </c>
      <c r="L75" s="573">
        <v>5500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7"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8"/>
      <c r="F78" s="613"/>
      <c r="G78" s="613"/>
      <c r="H78" s="631"/>
      <c r="I78" s="474"/>
      <c r="J78" s="474"/>
      <c r="K78" s="1668">
        <f t="shared" ref="K78:K83" si="11">SUM(C78:J78)</f>
        <v>0</v>
      </c>
      <c r="L78" s="478"/>
    </row>
    <row r="79" spans="1:14" x14ac:dyDescent="0.2">
      <c r="A79" s="1501" t="s">
        <v>304</v>
      </c>
      <c r="B79" s="611">
        <v>4120</v>
      </c>
      <c r="C79" s="613"/>
      <c r="D79" s="613"/>
      <c r="E79" s="463">
        <v>254372</v>
      </c>
      <c r="F79" s="613"/>
      <c r="G79" s="613"/>
      <c r="H79" s="463"/>
      <c r="I79" s="474"/>
      <c r="J79" s="474"/>
      <c r="K79" s="1668">
        <f t="shared" si="11"/>
        <v>254372</v>
      </c>
      <c r="L79" s="463">
        <v>190000</v>
      </c>
    </row>
    <row r="80" spans="1:14" x14ac:dyDescent="0.2">
      <c r="A80" s="1501" t="s">
        <v>305</v>
      </c>
      <c r="B80" s="611">
        <v>4130</v>
      </c>
      <c r="C80" s="613"/>
      <c r="D80" s="613"/>
      <c r="E80" s="463">
        <v>3000</v>
      </c>
      <c r="F80" s="613"/>
      <c r="G80" s="613"/>
      <c r="H80" s="463"/>
      <c r="I80" s="474"/>
      <c r="J80" s="474"/>
      <c r="K80" s="1668">
        <f t="shared" si="11"/>
        <v>3000</v>
      </c>
      <c r="L80" s="463">
        <v>3000</v>
      </c>
    </row>
    <row r="81" spans="1:12" x14ac:dyDescent="0.2">
      <c r="A81" s="1501" t="s">
        <v>697</v>
      </c>
      <c r="B81" s="611">
        <v>4140</v>
      </c>
      <c r="C81" s="613"/>
      <c r="D81" s="613"/>
      <c r="E81" s="463"/>
      <c r="F81" s="613"/>
      <c r="G81" s="613"/>
      <c r="H81" s="463"/>
      <c r="I81" s="474"/>
      <c r="J81" s="474"/>
      <c r="K81" s="1668">
        <f t="shared" si="11"/>
        <v>0</v>
      </c>
      <c r="L81" s="463"/>
    </row>
    <row r="82" spans="1:12" x14ac:dyDescent="0.2">
      <c r="A82" s="1501" t="s">
        <v>86</v>
      </c>
      <c r="B82" s="611">
        <v>4170</v>
      </c>
      <c r="C82" s="613"/>
      <c r="D82" s="613"/>
      <c r="E82" s="463"/>
      <c r="F82" s="613"/>
      <c r="G82" s="613"/>
      <c r="H82" s="463"/>
      <c r="I82" s="474"/>
      <c r="J82" s="474"/>
      <c r="K82" s="1668">
        <f t="shared" si="11"/>
        <v>0</v>
      </c>
      <c r="L82" s="463"/>
    </row>
    <row r="83" spans="1:12" x14ac:dyDescent="0.2">
      <c r="A83" s="1505" t="s">
        <v>698</v>
      </c>
      <c r="B83" s="625">
        <v>4190</v>
      </c>
      <c r="C83" s="613"/>
      <c r="D83" s="613"/>
      <c r="E83" s="463"/>
      <c r="F83" s="613"/>
      <c r="G83" s="613"/>
      <c r="H83" s="463"/>
      <c r="I83" s="474"/>
      <c r="J83" s="474"/>
      <c r="K83" s="1668">
        <f t="shared" si="11"/>
        <v>0</v>
      </c>
      <c r="L83" s="463"/>
    </row>
    <row r="84" spans="1:12" ht="13.5" thickBot="1" x14ac:dyDescent="0.25">
      <c r="A84" s="1665" t="s">
        <v>1485</v>
      </c>
      <c r="B84" s="1675">
        <v>4100</v>
      </c>
      <c r="C84" s="613"/>
      <c r="D84" s="613"/>
      <c r="E84" s="1667">
        <f>SUM(E78:E83)</f>
        <v>257372</v>
      </c>
      <c r="F84" s="613"/>
      <c r="G84" s="613"/>
      <c r="H84" s="1667">
        <f>SUM(H78:H83)</f>
        <v>0</v>
      </c>
      <c r="I84" s="474"/>
      <c r="J84" s="474"/>
      <c r="K84" s="1667">
        <f>SUM(K78:K83)</f>
        <v>257372</v>
      </c>
      <c r="L84" s="1667">
        <f>SUM(L78:L83)</f>
        <v>193000</v>
      </c>
    </row>
    <row r="85" spans="1:12" ht="12.75" customHeight="1" thickTop="1" thickBot="1" x14ac:dyDescent="0.25">
      <c r="A85" s="1508" t="s">
        <v>255</v>
      </c>
      <c r="B85" s="632">
        <v>4210</v>
      </c>
      <c r="C85" s="613"/>
      <c r="D85" s="613"/>
      <c r="E85" s="633"/>
      <c r="F85" s="613"/>
      <c r="G85" s="613"/>
      <c r="H85" s="532">
        <v>1950</v>
      </c>
      <c r="I85" s="474"/>
      <c r="J85" s="474"/>
      <c r="K85" s="1674">
        <f>H85</f>
        <v>1950</v>
      </c>
      <c r="L85" s="527">
        <v>6000</v>
      </c>
    </row>
    <row r="86" spans="1:12" ht="12.75" customHeight="1" thickTop="1" thickBot="1" x14ac:dyDescent="0.25">
      <c r="A86" s="1509" t="s">
        <v>699</v>
      </c>
      <c r="B86" s="634">
        <v>4220</v>
      </c>
      <c r="C86" s="613"/>
      <c r="D86" s="613"/>
      <c r="E86" s="635"/>
      <c r="F86" s="613"/>
      <c r="G86" s="613"/>
      <c r="H86" s="464">
        <v>50757</v>
      </c>
      <c r="I86" s="474"/>
      <c r="J86" s="474"/>
      <c r="K86" s="1674">
        <f t="shared" ref="K86:K98" si="12">H86</f>
        <v>50757</v>
      </c>
      <c r="L86" s="527">
        <v>60000</v>
      </c>
    </row>
    <row r="87" spans="1:12" ht="14.25" thickTop="1" thickBot="1" x14ac:dyDescent="0.25">
      <c r="A87" s="1510" t="s">
        <v>700</v>
      </c>
      <c r="B87" s="636">
        <v>4230</v>
      </c>
      <c r="C87" s="613"/>
      <c r="D87" s="613"/>
      <c r="E87" s="635"/>
      <c r="F87" s="613"/>
      <c r="G87" s="613"/>
      <c r="H87" s="464"/>
      <c r="I87" s="474"/>
      <c r="J87" s="474"/>
      <c r="K87" s="1674">
        <f t="shared" si="12"/>
        <v>0</v>
      </c>
      <c r="L87" s="527"/>
    </row>
    <row r="88" spans="1:12" ht="12.75" customHeight="1" thickTop="1" thickBot="1" x14ac:dyDescent="0.25">
      <c r="A88" s="1510" t="s">
        <v>765</v>
      </c>
      <c r="B88" s="636">
        <v>4240</v>
      </c>
      <c r="C88" s="613"/>
      <c r="D88" s="613"/>
      <c r="E88" s="635"/>
      <c r="F88" s="613"/>
      <c r="G88" s="613"/>
      <c r="H88" s="464">
        <v>25450</v>
      </c>
      <c r="I88" s="474"/>
      <c r="J88" s="474"/>
      <c r="K88" s="1674">
        <f t="shared" si="12"/>
        <v>25450</v>
      </c>
      <c r="L88" s="527">
        <v>24000</v>
      </c>
    </row>
    <row r="89" spans="1:12" ht="12.75" customHeight="1" thickTop="1" thickBot="1" x14ac:dyDescent="0.25">
      <c r="A89" s="1510" t="s">
        <v>701</v>
      </c>
      <c r="B89" s="636">
        <v>4270</v>
      </c>
      <c r="C89" s="613"/>
      <c r="D89" s="613"/>
      <c r="E89" s="635"/>
      <c r="F89" s="613"/>
      <c r="G89" s="613"/>
      <c r="H89" s="464"/>
      <c r="I89" s="474"/>
      <c r="J89" s="474"/>
      <c r="K89" s="1674">
        <f t="shared" si="12"/>
        <v>0</v>
      </c>
      <c r="L89" s="527"/>
    </row>
    <row r="90" spans="1:12" ht="12.75" customHeight="1" thickTop="1" thickBot="1" x14ac:dyDescent="0.25">
      <c r="A90" s="1510" t="s">
        <v>686</v>
      </c>
      <c r="B90" s="636">
        <v>4280</v>
      </c>
      <c r="C90" s="613"/>
      <c r="D90" s="613"/>
      <c r="E90" s="635"/>
      <c r="F90" s="613"/>
      <c r="G90" s="613"/>
      <c r="H90" s="464"/>
      <c r="I90" s="474"/>
      <c r="J90" s="474"/>
      <c r="K90" s="1674">
        <f t="shared" si="12"/>
        <v>0</v>
      </c>
      <c r="L90" s="527"/>
    </row>
    <row r="91" spans="1:12" ht="12.75" customHeight="1" thickTop="1" thickBot="1" x14ac:dyDescent="0.25">
      <c r="A91" s="1510" t="s">
        <v>687</v>
      </c>
      <c r="B91" s="636">
        <v>4290</v>
      </c>
      <c r="C91" s="613"/>
      <c r="D91" s="613"/>
      <c r="E91" s="635"/>
      <c r="F91" s="613"/>
      <c r="G91" s="613"/>
      <c r="H91" s="464"/>
      <c r="I91" s="474"/>
      <c r="J91" s="474"/>
      <c r="K91" s="1674">
        <f t="shared" si="12"/>
        <v>0</v>
      </c>
      <c r="L91" s="527"/>
    </row>
    <row r="92" spans="1:12" ht="14.25" thickTop="1" thickBot="1" x14ac:dyDescent="0.25">
      <c r="A92" s="1677" t="s">
        <v>1560</v>
      </c>
      <c r="B92" s="1675">
        <v>4200</v>
      </c>
      <c r="C92" s="613"/>
      <c r="D92" s="613"/>
      <c r="E92" s="635"/>
      <c r="F92" s="613"/>
      <c r="G92" s="613"/>
      <c r="H92" s="1667">
        <f>SUM(H85:H91)</f>
        <v>78157</v>
      </c>
      <c r="I92" s="474"/>
      <c r="J92" s="474"/>
      <c r="K92" s="1674">
        <f t="shared" si="12"/>
        <v>78157</v>
      </c>
      <c r="L92" s="1667">
        <f>SUM(L85:L91)</f>
        <v>90000</v>
      </c>
    </row>
    <row r="93" spans="1:12" ht="14.25" thickTop="1" thickBot="1" x14ac:dyDescent="0.25">
      <c r="A93" s="1509" t="s">
        <v>688</v>
      </c>
      <c r="B93" s="637">
        <v>4310</v>
      </c>
      <c r="C93" s="613"/>
      <c r="D93" s="613"/>
      <c r="E93" s="635"/>
      <c r="F93" s="613"/>
      <c r="G93" s="613"/>
      <c r="H93" s="638"/>
      <c r="I93" s="474"/>
      <c r="J93" s="474"/>
      <c r="K93" s="1674">
        <f t="shared" si="12"/>
        <v>0</v>
      </c>
      <c r="L93" s="529"/>
    </row>
    <row r="94" spans="1:12" ht="12.75" customHeight="1" thickTop="1" thickBot="1" x14ac:dyDescent="0.25">
      <c r="A94" s="1510" t="s">
        <v>689</v>
      </c>
      <c r="B94" s="636">
        <v>4320</v>
      </c>
      <c r="C94" s="613"/>
      <c r="D94" s="613"/>
      <c r="E94" s="635"/>
      <c r="F94" s="613"/>
      <c r="G94" s="613"/>
      <c r="H94" s="464"/>
      <c r="I94" s="474"/>
      <c r="J94" s="474"/>
      <c r="K94" s="1674">
        <f t="shared" si="12"/>
        <v>0</v>
      </c>
      <c r="L94" s="527"/>
    </row>
    <row r="95" spans="1:12" ht="15" customHeight="1" thickTop="1" thickBot="1" x14ac:dyDescent="0.25">
      <c r="A95" s="1510" t="s">
        <v>1488</v>
      </c>
      <c r="B95" s="636">
        <v>4330</v>
      </c>
      <c r="C95" s="613"/>
      <c r="D95" s="613"/>
      <c r="E95" s="635"/>
      <c r="F95" s="613"/>
      <c r="G95" s="613"/>
      <c r="H95" s="464"/>
      <c r="I95" s="474"/>
      <c r="J95" s="474"/>
      <c r="K95" s="1674">
        <f t="shared" si="12"/>
        <v>0</v>
      </c>
      <c r="L95" s="527"/>
    </row>
    <row r="96" spans="1:12" ht="14.25" thickTop="1" thickBot="1" x14ac:dyDescent="0.25">
      <c r="A96" s="1510" t="s">
        <v>690</v>
      </c>
      <c r="B96" s="636">
        <v>4340</v>
      </c>
      <c r="C96" s="613"/>
      <c r="D96" s="613"/>
      <c r="E96" s="635"/>
      <c r="F96" s="613"/>
      <c r="G96" s="613"/>
      <c r="H96" s="464"/>
      <c r="I96" s="474"/>
      <c r="J96" s="474"/>
      <c r="K96" s="1674">
        <f t="shared" si="12"/>
        <v>0</v>
      </c>
      <c r="L96" s="527"/>
    </row>
    <row r="97" spans="1:14" ht="12.75" customHeight="1" thickTop="1" thickBot="1" x14ac:dyDescent="0.25">
      <c r="A97" s="1510" t="s">
        <v>763</v>
      </c>
      <c r="B97" s="636">
        <v>4370</v>
      </c>
      <c r="C97" s="613"/>
      <c r="D97" s="613"/>
      <c r="E97" s="635"/>
      <c r="F97" s="613"/>
      <c r="G97" s="613"/>
      <c r="H97" s="464">
        <v>9000</v>
      </c>
      <c r="I97" s="474"/>
      <c r="J97" s="474"/>
      <c r="K97" s="1674">
        <f t="shared" si="12"/>
        <v>9000</v>
      </c>
      <c r="L97" s="527"/>
    </row>
    <row r="98" spans="1:14" ht="14.25" thickTop="1" thickBot="1" x14ac:dyDescent="0.25">
      <c r="A98" s="1510" t="s">
        <v>764</v>
      </c>
      <c r="B98" s="636">
        <v>4380</v>
      </c>
      <c r="C98" s="613"/>
      <c r="D98" s="613"/>
      <c r="E98" s="639"/>
      <c r="F98" s="613"/>
      <c r="G98" s="613"/>
      <c r="H98" s="464"/>
      <c r="I98" s="474"/>
      <c r="J98" s="474"/>
      <c r="K98" s="1674">
        <f t="shared" si="12"/>
        <v>0</v>
      </c>
      <c r="L98" s="527"/>
    </row>
    <row r="99" spans="1:14" ht="14.25" thickTop="1" thickBot="1" x14ac:dyDescent="0.25">
      <c r="A99" s="1510" t="s">
        <v>367</v>
      </c>
      <c r="B99" s="636">
        <v>4390</v>
      </c>
      <c r="C99" s="613"/>
      <c r="D99" s="613"/>
      <c r="E99" s="529"/>
      <c r="F99" s="613"/>
      <c r="G99" s="613"/>
      <c r="H99" s="464"/>
      <c r="I99" s="474"/>
      <c r="J99" s="474"/>
      <c r="K99" s="1674">
        <f>SUM(E99,H99)</f>
        <v>0</v>
      </c>
      <c r="L99" s="527"/>
    </row>
    <row r="100" spans="1:14" ht="14.25" thickTop="1" thickBot="1" x14ac:dyDescent="0.25">
      <c r="A100" s="1677" t="s">
        <v>1486</v>
      </c>
      <c r="B100" s="1678">
        <v>4300</v>
      </c>
      <c r="C100" s="613"/>
      <c r="D100" s="613"/>
      <c r="E100" s="1674">
        <f>SUM(E93:E99)</f>
        <v>0</v>
      </c>
      <c r="F100" s="613"/>
      <c r="G100" s="613"/>
      <c r="H100" s="1674">
        <f>SUM(H93:H99)</f>
        <v>9000</v>
      </c>
      <c r="I100" s="474"/>
      <c r="J100" s="474"/>
      <c r="K100" s="1674">
        <f>SUM(K93:K99)</f>
        <v>9000</v>
      </c>
      <c r="L100" s="1674">
        <f>SUM(L93:L99)</f>
        <v>0</v>
      </c>
    </row>
    <row r="101" spans="1:14" ht="12.75" customHeight="1" thickTop="1" thickBot="1" x14ac:dyDescent="0.25">
      <c r="A101" s="1507" t="s">
        <v>1489</v>
      </c>
      <c r="B101" s="640" t="s">
        <v>931</v>
      </c>
      <c r="C101" s="613"/>
      <c r="D101" s="613"/>
      <c r="E101" s="528"/>
      <c r="F101" s="613"/>
      <c r="G101" s="613"/>
      <c r="H101" s="528"/>
      <c r="I101" s="474"/>
      <c r="J101" s="474"/>
      <c r="K101" s="1676">
        <f>SUM(C101:J101)</f>
        <v>0</v>
      </c>
      <c r="L101" s="527"/>
    </row>
    <row r="102" spans="1:14" ht="12.75" customHeight="1" thickTop="1" thickBot="1" x14ac:dyDescent="0.25">
      <c r="A102" s="1665" t="s">
        <v>1487</v>
      </c>
      <c r="B102" s="1675">
        <v>4000</v>
      </c>
      <c r="C102" s="613"/>
      <c r="D102" s="613"/>
      <c r="E102" s="1674">
        <f>SUM(E84,E92,E100,E101)</f>
        <v>257372</v>
      </c>
      <c r="F102" s="613"/>
      <c r="G102" s="613"/>
      <c r="H102" s="1674">
        <f>SUM(H84,H92,H100,H101)</f>
        <v>87157</v>
      </c>
      <c r="I102" s="474"/>
      <c r="J102" s="474"/>
      <c r="K102" s="1674">
        <f>SUM(K84,K92,K100,K101)</f>
        <v>344529</v>
      </c>
      <c r="L102" s="1674">
        <f>SUM(L84,L92,L100,L101)</f>
        <v>283000</v>
      </c>
    </row>
    <row r="103" spans="1:14" s="630" customFormat="1" ht="15.75" customHeight="1" thickTop="1" x14ac:dyDescent="0.2">
      <c r="A103" s="1609" t="s">
        <v>513</v>
      </c>
      <c r="B103" s="1606" t="s">
        <v>492</v>
      </c>
      <c r="C103" s="613"/>
      <c r="D103" s="613"/>
      <c r="E103" s="613"/>
      <c r="F103" s="613"/>
      <c r="G103" s="613"/>
      <c r="H103" s="615"/>
      <c r="I103" s="465"/>
      <c r="J103" s="465"/>
      <c r="K103" s="615"/>
      <c r="L103" s="615"/>
      <c r="M103" s="184"/>
      <c r="N103" s="184"/>
    </row>
    <row r="104" spans="1:14" s="643" customFormat="1" ht="15.75" customHeight="1" x14ac:dyDescent="0.2">
      <c r="A104" s="641" t="s">
        <v>615</v>
      </c>
      <c r="B104" s="642"/>
      <c r="C104" s="613"/>
      <c r="D104" s="613"/>
      <c r="E104" s="613"/>
      <c r="F104" s="613"/>
      <c r="G104" s="613"/>
      <c r="H104" s="620"/>
      <c r="I104" s="465"/>
      <c r="J104" s="465"/>
      <c r="K104" s="620"/>
      <c r="L104" s="620"/>
      <c r="M104" s="610"/>
      <c r="N104" s="610"/>
    </row>
    <row r="105" spans="1:14" s="594" customFormat="1" x14ac:dyDescent="0.2">
      <c r="A105" s="1501" t="s">
        <v>87</v>
      </c>
      <c r="B105" s="611">
        <v>5110</v>
      </c>
      <c r="C105" s="613"/>
      <c r="D105" s="613"/>
      <c r="E105" s="613"/>
      <c r="F105" s="613"/>
      <c r="G105" s="613"/>
      <c r="H105" s="478"/>
      <c r="I105" s="465"/>
      <c r="J105" s="465"/>
      <c r="K105" s="1668">
        <f>H105</f>
        <v>0</v>
      </c>
      <c r="L105" s="478"/>
      <c r="M105" s="210"/>
      <c r="N105" s="210"/>
    </row>
    <row r="106" spans="1:14" s="594" customFormat="1" x14ac:dyDescent="0.2">
      <c r="A106" s="1501" t="s">
        <v>88</v>
      </c>
      <c r="B106" s="611">
        <v>5120</v>
      </c>
      <c r="C106" s="613"/>
      <c r="D106" s="613"/>
      <c r="E106" s="613"/>
      <c r="F106" s="613"/>
      <c r="G106" s="613"/>
      <c r="H106" s="463"/>
      <c r="I106" s="465"/>
      <c r="J106" s="465"/>
      <c r="K106" s="1668">
        <f>H106</f>
        <v>0</v>
      </c>
      <c r="L106" s="463"/>
      <c r="M106" s="210"/>
      <c r="N106" s="210"/>
    </row>
    <row r="107" spans="1:14" s="594" customFormat="1" ht="12.75" customHeight="1" x14ac:dyDescent="0.2">
      <c r="A107" s="1501" t="s">
        <v>1170</v>
      </c>
      <c r="B107" s="611">
        <v>5130</v>
      </c>
      <c r="C107" s="613"/>
      <c r="D107" s="613"/>
      <c r="E107" s="613"/>
      <c r="F107" s="613"/>
      <c r="G107" s="613"/>
      <c r="H107" s="463"/>
      <c r="I107" s="465"/>
      <c r="J107" s="465"/>
      <c r="K107" s="1668">
        <f>H107</f>
        <v>0</v>
      </c>
      <c r="L107" s="463"/>
      <c r="M107" s="210"/>
      <c r="N107" s="210"/>
    </row>
    <row r="108" spans="1:14" s="594" customFormat="1" x14ac:dyDescent="0.2">
      <c r="A108" s="1501" t="s">
        <v>89</v>
      </c>
      <c r="B108" s="611" t="s">
        <v>589</v>
      </c>
      <c r="C108" s="613"/>
      <c r="D108" s="613"/>
      <c r="E108" s="613"/>
      <c r="F108" s="613"/>
      <c r="G108" s="613"/>
      <c r="H108" s="463"/>
      <c r="I108" s="465"/>
      <c r="J108" s="465"/>
      <c r="K108" s="1668">
        <f>H108</f>
        <v>0</v>
      </c>
      <c r="L108" s="463"/>
      <c r="M108" s="210"/>
      <c r="N108" s="210"/>
    </row>
    <row r="109" spans="1:14" s="594" customFormat="1" x14ac:dyDescent="0.2">
      <c r="A109" s="1501" t="s">
        <v>254</v>
      </c>
      <c r="B109" s="625">
        <v>5150</v>
      </c>
      <c r="C109" s="613"/>
      <c r="D109" s="613"/>
      <c r="E109" s="613"/>
      <c r="F109" s="613"/>
      <c r="G109" s="613"/>
      <c r="H109" s="463"/>
      <c r="I109" s="465"/>
      <c r="J109" s="465"/>
      <c r="K109" s="1668">
        <f>H109</f>
        <v>0</v>
      </c>
      <c r="L109" s="463"/>
      <c r="M109" s="210"/>
      <c r="N109" s="210"/>
    </row>
    <row r="110" spans="1:14" s="594" customFormat="1" ht="12.75" customHeight="1" thickBot="1" x14ac:dyDescent="0.25">
      <c r="A110" s="1665" t="s">
        <v>1102</v>
      </c>
      <c r="B110" s="1672" t="s">
        <v>718</v>
      </c>
      <c r="C110" s="613"/>
      <c r="D110" s="613"/>
      <c r="E110" s="613"/>
      <c r="F110" s="613"/>
      <c r="G110" s="613"/>
      <c r="H110" s="1667">
        <f>SUM(H105:H109)</f>
        <v>0</v>
      </c>
      <c r="I110" s="465"/>
      <c r="J110" s="465"/>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c r="I111" s="465"/>
      <c r="J111" s="465"/>
      <c r="K111" s="1680">
        <f>H111</f>
        <v>0</v>
      </c>
      <c r="L111" s="529"/>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5"/>
      <c r="J112" s="465"/>
      <c r="K112" s="1667">
        <f>SUM(K110:K111)</f>
        <v>0</v>
      </c>
      <c r="L112" s="1674">
        <f>SUM(L110,L111)</f>
        <v>0</v>
      </c>
      <c r="M112" s="210"/>
      <c r="N112" s="210"/>
    </row>
    <row r="113" spans="1:14" s="257" customFormat="1" ht="15.75" customHeight="1" thickTop="1" thickBot="1" x14ac:dyDescent="0.25">
      <c r="A113" s="1603" t="s">
        <v>514</v>
      </c>
      <c r="B113" s="1610" t="s">
        <v>861</v>
      </c>
      <c r="C113" s="620"/>
      <c r="D113" s="620"/>
      <c r="E113" s="613"/>
      <c r="F113" s="613"/>
      <c r="G113" s="613"/>
      <c r="H113" s="620"/>
      <c r="I113" s="465"/>
      <c r="J113" s="465"/>
      <c r="K113" s="620"/>
      <c r="L113" s="528"/>
      <c r="M113" s="610"/>
      <c r="N113" s="610"/>
    </row>
    <row r="114" spans="1:14" ht="12.75" customHeight="1" thickTop="1" thickBot="1" x14ac:dyDescent="0.25">
      <c r="A114" s="1665" t="s">
        <v>48</v>
      </c>
      <c r="B114" s="1679"/>
      <c r="C114" s="1667">
        <f>SUM(C33,C74,C75,C102,C112,C113)</f>
        <v>6484917</v>
      </c>
      <c r="D114" s="1667">
        <f t="shared" ref="D114:K114" si="13">SUM(D33,D74,D75,D102,D112,D113)</f>
        <v>1646999</v>
      </c>
      <c r="E114" s="1667">
        <f t="shared" si="13"/>
        <v>775732</v>
      </c>
      <c r="F114" s="1667">
        <f t="shared" si="13"/>
        <v>640772</v>
      </c>
      <c r="G114" s="1667">
        <f t="shared" si="13"/>
        <v>67460</v>
      </c>
      <c r="H114" s="1667">
        <f>SUM(H33,H74,H75,H102,H112,H113)</f>
        <v>552473</v>
      </c>
      <c r="I114" s="1667">
        <f t="shared" si="13"/>
        <v>0</v>
      </c>
      <c r="J114" s="1667">
        <f t="shared" si="13"/>
        <v>0</v>
      </c>
      <c r="K114" s="1667">
        <f t="shared" si="13"/>
        <v>10168353</v>
      </c>
      <c r="L114" s="1667">
        <f>SUM(L33,L74,L75,L102,L112,L113)</f>
        <v>10436842</v>
      </c>
    </row>
    <row r="115" spans="1:14" ht="13.5" thickTop="1" x14ac:dyDescent="0.2">
      <c r="A115" s="2185" t="s">
        <v>996</v>
      </c>
      <c r="B115" s="2186"/>
      <c r="C115" s="615"/>
      <c r="D115" s="615"/>
      <c r="E115" s="615"/>
      <c r="F115" s="615"/>
      <c r="G115" s="615"/>
      <c r="H115" s="615"/>
      <c r="I115" s="615"/>
      <c r="J115" s="615"/>
      <c r="K115" s="1681">
        <f>'Revenues 9-14'!C268-'Expenditures 15-22'!K114</f>
        <v>125305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63" t="s">
        <v>296</v>
      </c>
      <c r="B117" s="216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2044</v>
      </c>
      <c r="B120" s="625" t="s">
        <v>716</v>
      </c>
      <c r="C120" s="463"/>
      <c r="D120" s="463"/>
      <c r="E120" s="463"/>
      <c r="F120" s="463"/>
      <c r="G120" s="463"/>
      <c r="H120" s="463"/>
      <c r="I120" s="464"/>
      <c r="J120" s="464"/>
      <c r="K120" s="1668">
        <f>SUM(C120:J120)</f>
        <v>0</v>
      </c>
      <c r="L120" s="463"/>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3"/>
      <c r="D122" s="463"/>
      <c r="E122" s="463"/>
      <c r="F122" s="463"/>
      <c r="G122" s="463"/>
      <c r="H122" s="463"/>
      <c r="I122" s="464"/>
      <c r="J122" s="464"/>
      <c r="K122" s="1667">
        <f>SUM(C122:J122)</f>
        <v>0</v>
      </c>
      <c r="L122" s="463"/>
    </row>
    <row r="123" spans="1:14" ht="14.25" thickTop="1" thickBot="1" x14ac:dyDescent="0.25">
      <c r="A123" s="1501" t="s">
        <v>4</v>
      </c>
      <c r="B123" s="611">
        <v>2530</v>
      </c>
      <c r="C123" s="463"/>
      <c r="D123" s="463"/>
      <c r="E123" s="463"/>
      <c r="F123" s="463"/>
      <c r="G123" s="463"/>
      <c r="H123" s="463"/>
      <c r="I123" s="464"/>
      <c r="J123" s="464"/>
      <c r="K123" s="1667">
        <f>SUM(C123:J123)</f>
        <v>0</v>
      </c>
      <c r="L123" s="463"/>
    </row>
    <row r="124" spans="1:14" ht="14.25" thickTop="1" thickBot="1" x14ac:dyDescent="0.25">
      <c r="A124" s="1501" t="s">
        <v>197</v>
      </c>
      <c r="B124" s="611">
        <v>2540</v>
      </c>
      <c r="C124" s="463">
        <v>344406</v>
      </c>
      <c r="D124" s="463">
        <v>85028</v>
      </c>
      <c r="E124" s="463">
        <v>178872</v>
      </c>
      <c r="F124" s="463">
        <v>107647</v>
      </c>
      <c r="G124" s="463">
        <v>29983</v>
      </c>
      <c r="H124" s="463"/>
      <c r="I124" s="464"/>
      <c r="J124" s="464"/>
      <c r="K124" s="1667">
        <f>SUM(C124:J124)</f>
        <v>745936</v>
      </c>
      <c r="L124" s="463">
        <v>764356</v>
      </c>
    </row>
    <row r="125" spans="1:14" ht="14.25" thickTop="1" thickBot="1" x14ac:dyDescent="0.25">
      <c r="A125" s="1501" t="s">
        <v>953</v>
      </c>
      <c r="B125" s="611">
        <v>2550</v>
      </c>
      <c r="C125" s="463"/>
      <c r="D125" s="463"/>
      <c r="E125" s="463"/>
      <c r="F125" s="463"/>
      <c r="G125" s="463"/>
      <c r="H125" s="463"/>
      <c r="I125" s="464"/>
      <c r="J125" s="464"/>
      <c r="K125" s="1667">
        <f>SUM(C125:J125)</f>
        <v>0</v>
      </c>
      <c r="L125" s="463"/>
    </row>
    <row r="126" spans="1:14" ht="14.25" thickTop="1" thickBot="1" x14ac:dyDescent="0.25">
      <c r="A126" s="1501" t="s">
        <v>100</v>
      </c>
      <c r="B126" s="611">
        <v>2560</v>
      </c>
      <c r="C126" s="651"/>
      <c r="D126" s="651"/>
      <c r="E126" s="651"/>
      <c r="F126" s="651"/>
      <c r="G126" s="463"/>
      <c r="H126" s="651"/>
      <c r="I126" s="471"/>
      <c r="J126" s="613"/>
      <c r="K126" s="1667">
        <f>SUM(C126:J126)</f>
        <v>0</v>
      </c>
      <c r="L126" s="463"/>
    </row>
    <row r="127" spans="1:14" ht="12.75" customHeight="1" thickTop="1" thickBot="1" x14ac:dyDescent="0.25">
      <c r="A127" s="1665" t="s">
        <v>719</v>
      </c>
      <c r="B127" s="1666" t="s">
        <v>35</v>
      </c>
      <c r="C127" s="1667">
        <f>SUM(C122:C126)</f>
        <v>344406</v>
      </c>
      <c r="D127" s="1667">
        <f t="shared" ref="D127:L127" si="14">SUM(D122:D126)</f>
        <v>85028</v>
      </c>
      <c r="E127" s="1667">
        <f t="shared" si="14"/>
        <v>178872</v>
      </c>
      <c r="F127" s="1667">
        <f t="shared" si="14"/>
        <v>107647</v>
      </c>
      <c r="G127" s="1667">
        <f t="shared" si="14"/>
        <v>29983</v>
      </c>
      <c r="H127" s="1667">
        <f t="shared" si="14"/>
        <v>0</v>
      </c>
      <c r="I127" s="1667">
        <f t="shared" si="14"/>
        <v>0</v>
      </c>
      <c r="J127" s="1667">
        <f t="shared" si="14"/>
        <v>0</v>
      </c>
      <c r="K127" s="1667">
        <f t="shared" si="14"/>
        <v>745936</v>
      </c>
      <c r="L127" s="1667">
        <f t="shared" si="14"/>
        <v>764356</v>
      </c>
    </row>
    <row r="128" spans="1:14" ht="12.75" customHeight="1" thickTop="1" x14ac:dyDescent="0.2">
      <c r="A128" s="1508" t="s">
        <v>980</v>
      </c>
      <c r="B128" s="652" t="s">
        <v>574</v>
      </c>
      <c r="C128" s="653"/>
      <c r="D128" s="653"/>
      <c r="E128" s="653"/>
      <c r="F128" s="653"/>
      <c r="G128" s="653"/>
      <c r="H128" s="653"/>
      <c r="I128" s="532"/>
      <c r="J128" s="532"/>
      <c r="K128" s="1682">
        <f>SUM(C128:J128)</f>
        <v>0</v>
      </c>
      <c r="L128" s="653"/>
    </row>
    <row r="129" spans="1:14" ht="12.75" customHeight="1" thickBot="1" x14ac:dyDescent="0.25">
      <c r="A129" s="1683" t="s">
        <v>811</v>
      </c>
      <c r="B129" s="1684" t="s">
        <v>569</v>
      </c>
      <c r="C129" s="1674">
        <f>SUM(C120,C127,C128)</f>
        <v>344406</v>
      </c>
      <c r="D129" s="1674">
        <f t="shared" ref="D129:L129" si="15">SUM(D120,D127,D128)</f>
        <v>85028</v>
      </c>
      <c r="E129" s="1674">
        <f t="shared" si="15"/>
        <v>178872</v>
      </c>
      <c r="F129" s="1674">
        <f t="shared" si="15"/>
        <v>107647</v>
      </c>
      <c r="G129" s="1674">
        <f t="shared" si="15"/>
        <v>29983</v>
      </c>
      <c r="H129" s="1674">
        <f t="shared" si="15"/>
        <v>0</v>
      </c>
      <c r="I129" s="1674">
        <f t="shared" si="15"/>
        <v>0</v>
      </c>
      <c r="J129" s="1674">
        <f t="shared" si="15"/>
        <v>0</v>
      </c>
      <c r="K129" s="1674">
        <f t="shared" si="15"/>
        <v>745936</v>
      </c>
      <c r="L129" s="1674">
        <f t="shared" si="15"/>
        <v>764356</v>
      </c>
    </row>
    <row r="130" spans="1:14" ht="15.75" customHeight="1" thickTop="1" thickBot="1" x14ac:dyDescent="0.25">
      <c r="A130" s="1607" t="s">
        <v>1036</v>
      </c>
      <c r="B130" s="1608" t="s">
        <v>575</v>
      </c>
      <c r="C130" s="573"/>
      <c r="D130" s="573"/>
      <c r="E130" s="573"/>
      <c r="F130" s="573"/>
      <c r="G130" s="573"/>
      <c r="H130" s="573"/>
      <c r="I130" s="528"/>
      <c r="J130" s="528"/>
      <c r="K130" s="1667">
        <f>SUM(C130:J130)</f>
        <v>0</v>
      </c>
      <c r="L130" s="573"/>
    </row>
    <row r="131" spans="1:14" ht="15.75" customHeight="1" thickTop="1" x14ac:dyDescent="0.2">
      <c r="A131" s="1613" t="s">
        <v>616</v>
      </c>
      <c r="B131" s="1606" t="s">
        <v>860</v>
      </c>
      <c r="C131" s="465"/>
      <c r="D131" s="465"/>
      <c r="E131" s="563"/>
      <c r="F131" s="465"/>
      <c r="G131" s="465"/>
      <c r="H131" s="563"/>
      <c r="I131" s="465"/>
      <c r="J131" s="465"/>
      <c r="K131" s="563"/>
      <c r="L131" s="563"/>
    </row>
    <row r="132" spans="1:14" s="381" customFormat="1" ht="13.5" customHeight="1" x14ac:dyDescent="0.2">
      <c r="A132" s="654" t="s">
        <v>614</v>
      </c>
      <c r="B132" s="655"/>
      <c r="C132" s="465"/>
      <c r="D132" s="465"/>
      <c r="E132" s="518"/>
      <c r="F132" s="465"/>
      <c r="G132" s="465"/>
      <c r="H132" s="518"/>
      <c r="I132" s="465"/>
      <c r="J132" s="465"/>
      <c r="K132" s="518"/>
      <c r="L132" s="518"/>
      <c r="M132" s="206"/>
      <c r="N132" s="206"/>
    </row>
    <row r="133" spans="1:14" s="381" customFormat="1" ht="13.5" customHeight="1" x14ac:dyDescent="0.2">
      <c r="A133" s="1487" t="s">
        <v>496</v>
      </c>
      <c r="B133" s="1838" t="s">
        <v>1830</v>
      </c>
      <c r="C133" s="465"/>
      <c r="D133" s="465"/>
      <c r="E133" s="638"/>
      <c r="F133" s="465"/>
      <c r="G133" s="465"/>
      <c r="H133" s="638"/>
      <c r="I133" s="465"/>
      <c r="J133" s="465"/>
      <c r="K133" s="1818">
        <f>SUM(E133,H133)</f>
        <v>0</v>
      </c>
      <c r="L133" s="638"/>
      <c r="M133" s="206"/>
      <c r="N133" s="206"/>
    </row>
    <row r="134" spans="1:14" x14ac:dyDescent="0.2">
      <c r="A134" s="1501" t="s">
        <v>304</v>
      </c>
      <c r="B134" s="611">
        <v>4120</v>
      </c>
      <c r="C134" s="613"/>
      <c r="D134" s="613"/>
      <c r="E134" s="475"/>
      <c r="F134" s="613"/>
      <c r="G134" s="613"/>
      <c r="H134" s="478"/>
      <c r="I134" s="474"/>
      <c r="J134" s="613"/>
      <c r="K134" s="1669">
        <f>SUM(E134,H134)</f>
        <v>0</v>
      </c>
      <c r="L134" s="478"/>
    </row>
    <row r="135" spans="1:14" x14ac:dyDescent="0.2">
      <c r="A135" s="1501" t="s">
        <v>697</v>
      </c>
      <c r="B135" s="611">
        <v>4140</v>
      </c>
      <c r="C135" s="613"/>
      <c r="D135" s="613"/>
      <c r="E135" s="464"/>
      <c r="F135" s="613"/>
      <c r="G135" s="613"/>
      <c r="H135" s="463"/>
      <c r="I135" s="474"/>
      <c r="J135" s="613"/>
      <c r="K135" s="1669">
        <f>SUM(E135,H135)</f>
        <v>0</v>
      </c>
      <c r="L135" s="463"/>
    </row>
    <row r="136" spans="1:14" x14ac:dyDescent="0.2">
      <c r="A136" s="1505" t="s">
        <v>698</v>
      </c>
      <c r="B136" s="625">
        <v>4190</v>
      </c>
      <c r="C136" s="613"/>
      <c r="D136" s="613"/>
      <c r="E136" s="464"/>
      <c r="F136" s="613"/>
      <c r="G136" s="613"/>
      <c r="H136" s="463"/>
      <c r="I136" s="474"/>
      <c r="J136" s="613"/>
      <c r="K136" s="1669">
        <f>SUM(E136,H136)</f>
        <v>0</v>
      </c>
      <c r="L136" s="463"/>
    </row>
    <row r="137" spans="1:14" ht="12.75" customHeight="1" thickBot="1" x14ac:dyDescent="0.25">
      <c r="A137" s="1665" t="s">
        <v>480</v>
      </c>
      <c r="B137" s="1675">
        <v>4100</v>
      </c>
      <c r="C137" s="613"/>
      <c r="D137" s="613"/>
      <c r="E137" s="1667">
        <f>SUM(E133:E136)</f>
        <v>0</v>
      </c>
      <c r="F137" s="613"/>
      <c r="G137" s="613"/>
      <c r="H137" s="1667">
        <f>SUM(H133:H136)</f>
        <v>0</v>
      </c>
      <c r="I137" s="474"/>
      <c r="J137" s="613"/>
      <c r="K137" s="1667">
        <f>SUM(K133:K136)</f>
        <v>0</v>
      </c>
      <c r="L137" s="1667">
        <f>SUM(L133:L136)</f>
        <v>0</v>
      </c>
    </row>
    <row r="138" spans="1:14" ht="12.75" customHeight="1" thickTop="1" thickBot="1" x14ac:dyDescent="0.25">
      <c r="A138" s="1507" t="s">
        <v>96</v>
      </c>
      <c r="B138" s="640" t="s">
        <v>931</v>
      </c>
      <c r="C138" s="613"/>
      <c r="D138" s="613"/>
      <c r="E138" s="476"/>
      <c r="F138" s="613"/>
      <c r="G138" s="613"/>
      <c r="H138" s="573"/>
      <c r="I138" s="474"/>
      <c r="J138" s="613"/>
      <c r="K138" s="1669">
        <f>SUM(E138,H138)</f>
        <v>0</v>
      </c>
      <c r="L138" s="573"/>
    </row>
    <row r="139" spans="1:14" ht="12.75" customHeight="1" thickTop="1" thickBot="1" x14ac:dyDescent="0.25">
      <c r="A139" s="1665" t="s">
        <v>1487</v>
      </c>
      <c r="B139" s="1675">
        <v>4000</v>
      </c>
      <c r="C139" s="613"/>
      <c r="D139" s="613"/>
      <c r="E139" s="1667">
        <f>SUM(E137,E138)</f>
        <v>0</v>
      </c>
      <c r="F139" s="613"/>
      <c r="G139" s="613"/>
      <c r="H139" s="1676">
        <f>SUM(H137:H138)</f>
        <v>0</v>
      </c>
      <c r="I139" s="474"/>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4"/>
      <c r="J140" s="635"/>
      <c r="K140" s="633"/>
      <c r="L140" s="633"/>
    </row>
    <row r="141" spans="1:14" ht="15.75" customHeight="1" x14ac:dyDescent="0.2">
      <c r="A141" s="650" t="s">
        <v>615</v>
      </c>
      <c r="B141" s="619"/>
      <c r="C141" s="613"/>
      <c r="D141" s="613"/>
      <c r="E141" s="613"/>
      <c r="F141" s="613"/>
      <c r="G141" s="613"/>
      <c r="H141" s="620"/>
      <c r="I141" s="465"/>
      <c r="J141" s="613"/>
      <c r="K141" s="620"/>
      <c r="L141" s="620"/>
    </row>
    <row r="142" spans="1:14" x14ac:dyDescent="0.2">
      <c r="A142" s="1501" t="s">
        <v>87</v>
      </c>
      <c r="B142" s="611">
        <v>5110</v>
      </c>
      <c r="C142" s="613"/>
      <c r="D142" s="613"/>
      <c r="E142" s="613"/>
      <c r="F142" s="613"/>
      <c r="G142" s="613"/>
      <c r="H142" s="478"/>
      <c r="I142" s="465"/>
      <c r="J142" s="613"/>
      <c r="K142" s="1669">
        <f>SUM(H142)</f>
        <v>0</v>
      </c>
      <c r="L142" s="478"/>
    </row>
    <row r="143" spans="1:14" x14ac:dyDescent="0.2">
      <c r="A143" s="1501" t="s">
        <v>88</v>
      </c>
      <c r="B143" s="611">
        <v>5120</v>
      </c>
      <c r="C143" s="613"/>
      <c r="D143" s="613"/>
      <c r="E143" s="613"/>
      <c r="F143" s="613"/>
      <c r="G143" s="613"/>
      <c r="H143" s="463"/>
      <c r="I143" s="465"/>
      <c r="J143" s="613"/>
      <c r="K143" s="1669">
        <f>SUM(H143)</f>
        <v>0</v>
      </c>
      <c r="L143" s="463"/>
    </row>
    <row r="144" spans="1:14" ht="12.75" customHeight="1" x14ac:dyDescent="0.2">
      <c r="A144" s="1501" t="s">
        <v>1170</v>
      </c>
      <c r="B144" s="625" t="s">
        <v>617</v>
      </c>
      <c r="C144" s="613"/>
      <c r="D144" s="613"/>
      <c r="E144" s="613"/>
      <c r="F144" s="613"/>
      <c r="G144" s="613"/>
      <c r="H144" s="463"/>
      <c r="I144" s="465"/>
      <c r="J144" s="613"/>
      <c r="K144" s="1669">
        <f>SUM(H144)</f>
        <v>0</v>
      </c>
      <c r="L144" s="463"/>
    </row>
    <row r="145" spans="1:14" x14ac:dyDescent="0.2">
      <c r="A145" s="1501" t="s">
        <v>89</v>
      </c>
      <c r="B145" s="611" t="s">
        <v>589</v>
      </c>
      <c r="C145" s="613"/>
      <c r="D145" s="613"/>
      <c r="E145" s="613"/>
      <c r="F145" s="613"/>
      <c r="G145" s="613"/>
      <c r="H145" s="463"/>
      <c r="I145" s="465"/>
      <c r="J145" s="613"/>
      <c r="K145" s="1669">
        <f>SUM(H145)</f>
        <v>0</v>
      </c>
      <c r="L145" s="463"/>
    </row>
    <row r="146" spans="1:14" ht="12.75" customHeight="1" x14ac:dyDescent="0.2">
      <c r="A146" s="1501" t="s">
        <v>619</v>
      </c>
      <c r="B146" s="611" t="s">
        <v>618</v>
      </c>
      <c r="C146" s="613"/>
      <c r="D146" s="613"/>
      <c r="E146" s="613"/>
      <c r="F146" s="613"/>
      <c r="G146" s="613"/>
      <c r="H146" s="463"/>
      <c r="I146" s="465"/>
      <c r="J146" s="613"/>
      <c r="K146" s="1669">
        <f>SUM(H146)</f>
        <v>0</v>
      </c>
      <c r="L146" s="463"/>
    </row>
    <row r="147" spans="1:14" ht="12.75" customHeight="1" thickBot="1" x14ac:dyDescent="0.25">
      <c r="A147" s="1512" t="s">
        <v>626</v>
      </c>
      <c r="B147" s="656" t="s">
        <v>718</v>
      </c>
      <c r="C147" s="613"/>
      <c r="D147" s="613"/>
      <c r="E147" s="613"/>
      <c r="F147" s="613"/>
      <c r="G147" s="613"/>
      <c r="H147" s="1685">
        <f>SUM(H142:H146)</f>
        <v>0</v>
      </c>
      <c r="I147" s="465"/>
      <c r="J147" s="613"/>
      <c r="K147" s="1667">
        <f>SUM(K142:K146)</f>
        <v>0</v>
      </c>
      <c r="L147" s="1685">
        <f>SUM(L142:L146)</f>
        <v>0</v>
      </c>
    </row>
    <row r="148" spans="1:14" ht="15.75" customHeight="1" thickTop="1" x14ac:dyDescent="0.2">
      <c r="A148" s="657" t="s">
        <v>1103</v>
      </c>
      <c r="B148" s="658" t="s">
        <v>38</v>
      </c>
      <c r="C148" s="613"/>
      <c r="D148" s="613"/>
      <c r="E148" s="613"/>
      <c r="F148" s="613"/>
      <c r="G148" s="613"/>
      <c r="H148" s="476"/>
      <c r="I148" s="465"/>
      <c r="J148" s="613"/>
      <c r="K148" s="1669">
        <f>SUM(H148)</f>
        <v>0</v>
      </c>
      <c r="L148" s="489"/>
    </row>
    <row r="149" spans="1:14" ht="12.75" customHeight="1" thickBot="1" x14ac:dyDescent="0.25">
      <c r="A149" s="1504" t="s">
        <v>638</v>
      </c>
      <c r="B149" s="614" t="s">
        <v>492</v>
      </c>
      <c r="C149" s="613"/>
      <c r="D149" s="613"/>
      <c r="E149" s="613"/>
      <c r="F149" s="613"/>
      <c r="G149" s="613"/>
      <c r="H149" s="1667">
        <f>SUM(H147,H148)</f>
        <v>0</v>
      </c>
      <c r="I149" s="465"/>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row>
    <row r="151" spans="1:14" ht="12.75" customHeight="1" thickTop="1" thickBot="1" x14ac:dyDescent="0.25">
      <c r="A151" s="2175" t="s">
        <v>620</v>
      </c>
      <c r="B151" s="2157"/>
      <c r="C151" s="1667">
        <f>SUM(C129,C130,C139,C149,C150)</f>
        <v>344406</v>
      </c>
      <c r="D151" s="1667">
        <f t="shared" ref="D151:K151" si="16">SUM(D129,D130,D139,D149,D150)</f>
        <v>85028</v>
      </c>
      <c r="E151" s="1667">
        <f t="shared" si="16"/>
        <v>178872</v>
      </c>
      <c r="F151" s="1667">
        <f t="shared" si="16"/>
        <v>107647</v>
      </c>
      <c r="G151" s="1667">
        <f t="shared" si="16"/>
        <v>29983</v>
      </c>
      <c r="H151" s="1667">
        <f t="shared" si="16"/>
        <v>0</v>
      </c>
      <c r="I151" s="1667">
        <f t="shared" si="16"/>
        <v>0</v>
      </c>
      <c r="J151" s="1667">
        <f t="shared" si="16"/>
        <v>0</v>
      </c>
      <c r="K151" s="1667">
        <f t="shared" si="16"/>
        <v>745936</v>
      </c>
      <c r="L151" s="1667">
        <f>SUM(L129,L130,L139,L149,L150)</f>
        <v>764356</v>
      </c>
    </row>
    <row r="152" spans="1:14" ht="12.75" customHeight="1" thickTop="1" x14ac:dyDescent="0.2">
      <c r="A152" s="2178" t="s">
        <v>1178</v>
      </c>
      <c r="B152" s="2179"/>
      <c r="C152" s="615"/>
      <c r="D152" s="615"/>
      <c r="E152" s="615"/>
      <c r="F152" s="615"/>
      <c r="G152" s="615"/>
      <c r="H152" s="615"/>
      <c r="I152" s="615"/>
      <c r="J152" s="613"/>
      <c r="K152" s="1681">
        <f>'Revenues 9-14'!D268-'Expenditures 15-22'!K151</f>
        <v>194217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63" t="s">
        <v>621</v>
      </c>
      <c r="B154" s="216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1831</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1830</v>
      </c>
      <c r="C157" s="613"/>
      <c r="D157" s="613"/>
      <c r="E157" s="613"/>
      <c r="F157" s="613"/>
      <c r="G157" s="613"/>
      <c r="H157" s="638"/>
      <c r="I157" s="613"/>
      <c r="J157" s="613"/>
      <c r="K157" s="1668">
        <f>H157</f>
        <v>0</v>
      </c>
      <c r="L157" s="464"/>
      <c r="M157" s="616"/>
      <c r="N157" s="616"/>
    </row>
    <row r="158" spans="1:14" s="617" customFormat="1" ht="12" x14ac:dyDescent="0.2">
      <c r="A158" s="1823" t="s">
        <v>304</v>
      </c>
      <c r="B158" s="1824" t="s">
        <v>1832</v>
      </c>
      <c r="C158" s="613"/>
      <c r="D158" s="613"/>
      <c r="E158" s="613"/>
      <c r="F158" s="613"/>
      <c r="G158" s="613"/>
      <c r="H158" s="464"/>
      <c r="I158" s="613"/>
      <c r="J158" s="613"/>
      <c r="K158" s="1668">
        <f>H158</f>
        <v>0</v>
      </c>
      <c r="L158" s="464"/>
      <c r="M158" s="616"/>
      <c r="N158" s="616"/>
    </row>
    <row r="159" spans="1:14" s="617" customFormat="1" ht="12" x14ac:dyDescent="0.2">
      <c r="A159" s="1823" t="s">
        <v>1833</v>
      </c>
      <c r="B159" s="1824" t="s">
        <v>558</v>
      </c>
      <c r="C159" s="613"/>
      <c r="D159" s="613"/>
      <c r="E159" s="613"/>
      <c r="F159" s="613"/>
      <c r="G159" s="613"/>
      <c r="H159" s="464"/>
      <c r="I159" s="613"/>
      <c r="J159" s="613"/>
      <c r="K159" s="1668">
        <f>H159</f>
        <v>0</v>
      </c>
      <c r="L159" s="464"/>
      <c r="M159" s="616"/>
      <c r="N159" s="616"/>
    </row>
    <row r="160" spans="1:14" s="617" customFormat="1" ht="15.75" customHeight="1" thickBot="1" x14ac:dyDescent="0.25">
      <c r="A160" s="1825" t="s">
        <v>1834</v>
      </c>
      <c r="B160" s="1826" t="s">
        <v>860</v>
      </c>
      <c r="C160" s="613"/>
      <c r="D160" s="613"/>
      <c r="E160" s="613"/>
      <c r="F160" s="613"/>
      <c r="G160" s="613"/>
      <c r="H160" s="1685">
        <f>SUM(H157:H159)</f>
        <v>0</v>
      </c>
      <c r="I160" s="613"/>
      <c r="J160" s="613"/>
      <c r="K160" s="1667">
        <f>SUM(K157:K159)</f>
        <v>0</v>
      </c>
      <c r="L160" s="1685">
        <f>SUM(L157:L159)</f>
        <v>0</v>
      </c>
      <c r="M160" s="616"/>
      <c r="N160" s="616"/>
    </row>
    <row r="161" spans="1:14" s="257"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7"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3"/>
      <c r="I163" s="613"/>
      <c r="J163" s="613"/>
      <c r="K163" s="1668">
        <f>SUM(C163:J163)</f>
        <v>0</v>
      </c>
      <c r="L163" s="463"/>
    </row>
    <row r="164" spans="1:14" x14ac:dyDescent="0.2">
      <c r="A164" s="1501" t="s">
        <v>88</v>
      </c>
      <c r="B164" s="611">
        <v>5120</v>
      </c>
      <c r="C164" s="613"/>
      <c r="D164" s="613"/>
      <c r="E164" s="613"/>
      <c r="F164" s="613"/>
      <c r="G164" s="613"/>
      <c r="H164" s="463"/>
      <c r="I164" s="613"/>
      <c r="J164" s="613"/>
      <c r="K164" s="1668">
        <f>SUM(C164:J164)</f>
        <v>0</v>
      </c>
      <c r="L164" s="463"/>
    </row>
    <row r="165" spans="1:14" ht="12.75" customHeight="1" x14ac:dyDescent="0.2">
      <c r="A165" s="1501" t="s">
        <v>1170</v>
      </c>
      <c r="B165" s="611" t="s">
        <v>617</v>
      </c>
      <c r="C165" s="613"/>
      <c r="D165" s="613"/>
      <c r="E165" s="613"/>
      <c r="F165" s="613"/>
      <c r="G165" s="613"/>
      <c r="H165" s="463"/>
      <c r="I165" s="613"/>
      <c r="J165" s="613"/>
      <c r="K165" s="1668">
        <f>SUM(C165:J165)</f>
        <v>0</v>
      </c>
      <c r="L165" s="463"/>
    </row>
    <row r="166" spans="1:14" x14ac:dyDescent="0.2">
      <c r="A166" s="1501" t="s">
        <v>89</v>
      </c>
      <c r="B166" s="625" t="s">
        <v>589</v>
      </c>
      <c r="C166" s="613"/>
      <c r="D166" s="613"/>
      <c r="E166" s="613"/>
      <c r="F166" s="613"/>
      <c r="G166" s="613"/>
      <c r="H166" s="463"/>
      <c r="I166" s="613"/>
      <c r="J166" s="613"/>
      <c r="K166" s="1668">
        <f>SUM(C166:J166)</f>
        <v>0</v>
      </c>
      <c r="L166" s="463"/>
    </row>
    <row r="167" spans="1:14" ht="12.75" customHeight="1" x14ac:dyDescent="0.2">
      <c r="A167" s="1501" t="s">
        <v>619</v>
      </c>
      <c r="B167" s="611" t="s">
        <v>618</v>
      </c>
      <c r="C167" s="613"/>
      <c r="D167" s="613"/>
      <c r="E167" s="613"/>
      <c r="F167" s="613"/>
      <c r="G167" s="613"/>
      <c r="H167" s="463"/>
      <c r="I167" s="613"/>
      <c r="J167" s="613"/>
      <c r="K167" s="1668">
        <f>SUM(C167:J167)</f>
        <v>0</v>
      </c>
      <c r="L167" s="463"/>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109122</v>
      </c>
      <c r="I169" s="613"/>
      <c r="J169" s="613"/>
      <c r="K169" s="1668">
        <f>SUM(C169:H169)</f>
        <v>109122</v>
      </c>
      <c r="L169" s="653">
        <v>67700</v>
      </c>
    </row>
    <row r="170" spans="1:14" ht="33.75" customHeight="1" x14ac:dyDescent="0.2">
      <c r="A170" s="666" t="s">
        <v>1656</v>
      </c>
      <c r="B170" s="668" t="s">
        <v>31</v>
      </c>
      <c r="C170" s="613"/>
      <c r="D170" s="613"/>
      <c r="E170" s="613"/>
      <c r="F170" s="613"/>
      <c r="G170" s="613"/>
      <c r="H170" s="566">
        <v>945000</v>
      </c>
      <c r="I170" s="613"/>
      <c r="J170" s="613"/>
      <c r="K170" s="1668">
        <f>SUM(C170:J170)</f>
        <v>945000</v>
      </c>
      <c r="L170" s="566">
        <v>925000</v>
      </c>
    </row>
    <row r="171" spans="1:14" ht="15.75" customHeight="1" x14ac:dyDescent="0.2">
      <c r="A171" s="618" t="s">
        <v>766</v>
      </c>
      <c r="B171" s="669" t="s">
        <v>84</v>
      </c>
      <c r="C171" s="613"/>
      <c r="D171" s="613"/>
      <c r="E171" s="463"/>
      <c r="F171" s="613"/>
      <c r="G171" s="613"/>
      <c r="H171" s="566"/>
      <c r="I171" s="474"/>
      <c r="J171" s="613"/>
      <c r="K171" s="1668">
        <f>SUM(C171:J171)</f>
        <v>0</v>
      </c>
      <c r="L171" s="566"/>
    </row>
    <row r="172" spans="1:14" ht="12.75" customHeight="1" thickBot="1" x14ac:dyDescent="0.25">
      <c r="A172" s="1665" t="s">
        <v>638</v>
      </c>
      <c r="B172" s="1666" t="s">
        <v>492</v>
      </c>
      <c r="C172" s="613"/>
      <c r="D172" s="613"/>
      <c r="E172" s="1674">
        <f>SUM(E168,E169,E170,E171)</f>
        <v>0</v>
      </c>
      <c r="F172" s="613"/>
      <c r="G172" s="613"/>
      <c r="H172" s="1674">
        <f>SUM(H168,H169,H170,H171)</f>
        <v>1054122</v>
      </c>
      <c r="I172" s="635"/>
      <c r="J172" s="613"/>
      <c r="K172" s="1674">
        <f>SUM(K168,K169,K170,K171)</f>
        <v>1054122</v>
      </c>
      <c r="L172" s="1674">
        <f>SUM(L168,L169,L170,L171)</f>
        <v>992700</v>
      </c>
    </row>
    <row r="173" spans="1:14" ht="15.75" customHeight="1" thickTop="1" thickBot="1" x14ac:dyDescent="0.25">
      <c r="A173" s="1616" t="s">
        <v>85</v>
      </c>
      <c r="B173" s="1608" t="s">
        <v>861</v>
      </c>
      <c r="C173" s="613"/>
      <c r="D173" s="613"/>
      <c r="E173" s="620"/>
      <c r="F173" s="613"/>
      <c r="G173" s="613"/>
      <c r="H173" s="623"/>
      <c r="I173" s="635"/>
      <c r="J173" s="613"/>
      <c r="K173" s="620"/>
      <c r="L173" s="573"/>
    </row>
    <row r="174" spans="1:14" ht="12.75" customHeight="1" thickTop="1" thickBot="1" x14ac:dyDescent="0.25">
      <c r="A174" s="1686" t="s">
        <v>90</v>
      </c>
      <c r="B174" s="1687"/>
      <c r="C174" s="613"/>
      <c r="D174" s="613"/>
      <c r="E174" s="1674">
        <f>SUM(E172,E173)</f>
        <v>0</v>
      </c>
      <c r="F174" s="613"/>
      <c r="G174" s="613"/>
      <c r="H174" s="1674">
        <f>SUM(H160,H172,H173)</f>
        <v>1054122</v>
      </c>
      <c r="I174" s="635"/>
      <c r="J174" s="613"/>
      <c r="K174" s="1674">
        <f>SUM(K160,K172,K173)</f>
        <v>1054122</v>
      </c>
      <c r="L174" s="1674">
        <f>SUM(L160,L172,L173)</f>
        <v>992700</v>
      </c>
    </row>
    <row r="175" spans="1:14" ht="13.5" thickTop="1" x14ac:dyDescent="0.2">
      <c r="A175" s="2185" t="s">
        <v>996</v>
      </c>
      <c r="B175" s="2186"/>
      <c r="C175" s="613"/>
      <c r="D175" s="613"/>
      <c r="E175" s="613"/>
      <c r="F175" s="613"/>
      <c r="G175" s="613"/>
      <c r="H175" s="615"/>
      <c r="I175" s="613"/>
      <c r="J175" s="613"/>
      <c r="K175" s="1681">
        <f>'Revenues 9-14'!E268-'Expenditures 15-22'!K174</f>
        <v>11791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0"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2044</v>
      </c>
      <c r="B180" s="611" t="s">
        <v>716</v>
      </c>
      <c r="C180" s="463"/>
      <c r="D180" s="463"/>
      <c r="E180" s="463"/>
      <c r="F180" s="463"/>
      <c r="G180" s="463"/>
      <c r="H180" s="463"/>
      <c r="I180" s="464"/>
      <c r="J180" s="464"/>
      <c r="K180" s="1668">
        <f>SUM(C180:J180)</f>
        <v>0</v>
      </c>
      <c r="L180" s="463"/>
    </row>
    <row r="181" spans="1:14" ht="15.75" customHeight="1" x14ac:dyDescent="0.2">
      <c r="A181" s="621" t="s">
        <v>612</v>
      </c>
      <c r="B181" s="673"/>
      <c r="C181" s="567"/>
      <c r="D181" s="567"/>
      <c r="E181" s="567"/>
      <c r="F181" s="567"/>
      <c r="G181" s="567"/>
      <c r="H181" s="567"/>
      <c r="I181" s="465"/>
      <c r="J181" s="465"/>
      <c r="K181" s="567"/>
      <c r="L181" s="567"/>
    </row>
    <row r="182" spans="1:14" ht="12.75" customHeight="1" x14ac:dyDescent="0.2">
      <c r="A182" s="1501" t="s">
        <v>953</v>
      </c>
      <c r="B182" s="611">
        <v>2550</v>
      </c>
      <c r="C182" s="463">
        <v>284716</v>
      </c>
      <c r="D182" s="463">
        <v>26382</v>
      </c>
      <c r="E182" s="463">
        <v>210634</v>
      </c>
      <c r="F182" s="463">
        <v>97513</v>
      </c>
      <c r="G182" s="463"/>
      <c r="H182" s="463"/>
      <c r="I182" s="464"/>
      <c r="J182" s="464"/>
      <c r="K182" s="1668">
        <f>SUM(C182:J182)</f>
        <v>619245</v>
      </c>
      <c r="L182" s="463">
        <v>642758</v>
      </c>
    </row>
    <row r="183" spans="1:14" ht="12.75" customHeight="1" thickBot="1" x14ac:dyDescent="0.25">
      <c r="A183" s="1506" t="s">
        <v>980</v>
      </c>
      <c r="B183" s="674">
        <v>2900</v>
      </c>
      <c r="C183" s="570"/>
      <c r="D183" s="570"/>
      <c r="E183" s="570"/>
      <c r="F183" s="570"/>
      <c r="G183" s="570"/>
      <c r="H183" s="570"/>
      <c r="I183" s="529"/>
      <c r="J183" s="529"/>
      <c r="K183" s="1674">
        <f>SUM(C183:J183)</f>
        <v>0</v>
      </c>
      <c r="L183" s="570"/>
    </row>
    <row r="184" spans="1:14" ht="12.75" customHeight="1" thickTop="1" thickBot="1" x14ac:dyDescent="0.25">
      <c r="A184" s="1688" t="s">
        <v>811</v>
      </c>
      <c r="B184" s="1666" t="s">
        <v>569</v>
      </c>
      <c r="C184" s="1674">
        <f>SUM(C180,C182,C183)</f>
        <v>284716</v>
      </c>
      <c r="D184" s="1674">
        <f t="shared" ref="D184:J184" si="17">SUM(D180,D182,D183)</f>
        <v>26382</v>
      </c>
      <c r="E184" s="1674">
        <f t="shared" si="17"/>
        <v>210634</v>
      </c>
      <c r="F184" s="1674">
        <f t="shared" si="17"/>
        <v>97513</v>
      </c>
      <c r="G184" s="1674">
        <f t="shared" si="17"/>
        <v>0</v>
      </c>
      <c r="H184" s="1674">
        <f t="shared" si="17"/>
        <v>0</v>
      </c>
      <c r="I184" s="1674">
        <f t="shared" si="17"/>
        <v>0</v>
      </c>
      <c r="J184" s="1674">
        <f t="shared" si="17"/>
        <v>0</v>
      </c>
      <c r="K184" s="1674">
        <f>SUM(K180,K182,K183)</f>
        <v>619245</v>
      </c>
      <c r="L184" s="1674">
        <f>SUM(L180, L182:L183)</f>
        <v>642758</v>
      </c>
    </row>
    <row r="185" spans="1:14" ht="15.75" customHeight="1" thickTop="1" thickBot="1" x14ac:dyDescent="0.25">
      <c r="A185" s="1619" t="s">
        <v>939</v>
      </c>
      <c r="B185" s="1608">
        <v>3000</v>
      </c>
      <c r="C185" s="573"/>
      <c r="D185" s="573"/>
      <c r="E185" s="573"/>
      <c r="F185" s="573"/>
      <c r="G185" s="573"/>
      <c r="H185" s="573"/>
      <c r="I185" s="528"/>
      <c r="J185" s="528"/>
      <c r="K185" s="1667">
        <f>SUM(C185:J185)</f>
        <v>0</v>
      </c>
      <c r="L185" s="573"/>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3"/>
      <c r="F188" s="613"/>
      <c r="G188" s="613"/>
      <c r="H188" s="463"/>
      <c r="I188" s="474"/>
      <c r="J188" s="613"/>
      <c r="K188" s="1668">
        <f t="shared" ref="K188:K193" si="18">SUM(E188,H188)</f>
        <v>0</v>
      </c>
      <c r="L188" s="463"/>
    </row>
    <row r="189" spans="1:14" x14ac:dyDescent="0.2">
      <c r="A189" s="1501" t="s">
        <v>304</v>
      </c>
      <c r="B189" s="611">
        <v>4120</v>
      </c>
      <c r="C189" s="613"/>
      <c r="D189" s="613"/>
      <c r="E189" s="463"/>
      <c r="F189" s="613"/>
      <c r="G189" s="613"/>
      <c r="H189" s="463"/>
      <c r="I189" s="474"/>
      <c r="J189" s="613"/>
      <c r="K189" s="1668">
        <f t="shared" si="18"/>
        <v>0</v>
      </c>
      <c r="L189" s="463"/>
    </row>
    <row r="190" spans="1:14" x14ac:dyDescent="0.2">
      <c r="A190" s="1501" t="s">
        <v>305</v>
      </c>
      <c r="B190" s="625">
        <v>4130</v>
      </c>
      <c r="C190" s="613"/>
      <c r="D190" s="613"/>
      <c r="E190" s="463"/>
      <c r="F190" s="613"/>
      <c r="G190" s="613"/>
      <c r="H190" s="463"/>
      <c r="I190" s="474"/>
      <c r="J190" s="613"/>
      <c r="K190" s="1668">
        <f t="shared" si="18"/>
        <v>0</v>
      </c>
      <c r="L190" s="463"/>
    </row>
    <row r="191" spans="1:14" x14ac:dyDescent="0.2">
      <c r="A191" s="1501" t="s">
        <v>697</v>
      </c>
      <c r="B191" s="611">
        <v>4140</v>
      </c>
      <c r="C191" s="613"/>
      <c r="D191" s="613"/>
      <c r="E191" s="463"/>
      <c r="F191" s="613"/>
      <c r="G191" s="613"/>
      <c r="H191" s="463"/>
      <c r="I191" s="474"/>
      <c r="J191" s="613"/>
      <c r="K191" s="1668">
        <f t="shared" si="18"/>
        <v>0</v>
      </c>
      <c r="L191" s="463"/>
    </row>
    <row r="192" spans="1:14" x14ac:dyDescent="0.2">
      <c r="A192" s="1501" t="s">
        <v>86</v>
      </c>
      <c r="B192" s="611">
        <v>4170</v>
      </c>
      <c r="C192" s="613"/>
      <c r="D192" s="613"/>
      <c r="E192" s="463"/>
      <c r="F192" s="613"/>
      <c r="G192" s="613"/>
      <c r="H192" s="463"/>
      <c r="I192" s="474"/>
      <c r="J192" s="613"/>
      <c r="K192" s="1668">
        <f t="shared" si="18"/>
        <v>0</v>
      </c>
      <c r="L192" s="463"/>
    </row>
    <row r="193" spans="1:14" x14ac:dyDescent="0.2">
      <c r="A193" s="1505" t="s">
        <v>698</v>
      </c>
      <c r="B193" s="625">
        <v>4190</v>
      </c>
      <c r="C193" s="613"/>
      <c r="D193" s="613"/>
      <c r="E193" s="463"/>
      <c r="F193" s="613"/>
      <c r="G193" s="613"/>
      <c r="H193" s="463"/>
      <c r="I193" s="474"/>
      <c r="J193" s="613"/>
      <c r="K193" s="1668">
        <f t="shared" si="18"/>
        <v>0</v>
      </c>
      <c r="L193" s="463"/>
    </row>
    <row r="194" spans="1:14" ht="12.75" customHeight="1" thickBot="1" x14ac:dyDescent="0.25">
      <c r="A194" s="1665" t="s">
        <v>1140</v>
      </c>
      <c r="B194" s="1666" t="s">
        <v>559</v>
      </c>
      <c r="C194" s="613"/>
      <c r="D194" s="613"/>
      <c r="E194" s="1667">
        <f>SUM(E188:E193)</f>
        <v>0</v>
      </c>
      <c r="F194" s="613"/>
      <c r="G194" s="613"/>
      <c r="H194" s="1667">
        <f>SUM(H188:H193)</f>
        <v>0</v>
      </c>
      <c r="I194" s="474"/>
      <c r="J194" s="613"/>
      <c r="K194" s="1667">
        <f>SUM(K188:K193)</f>
        <v>0</v>
      </c>
      <c r="L194" s="1667">
        <f>SUM(L188:L193)</f>
        <v>0</v>
      </c>
    </row>
    <row r="195" spans="1:14" ht="15.75" customHeight="1" thickTop="1" x14ac:dyDescent="0.2">
      <c r="A195" s="666" t="s">
        <v>92</v>
      </c>
      <c r="B195" s="675" t="s">
        <v>931</v>
      </c>
      <c r="C195" s="613"/>
      <c r="D195" s="613"/>
      <c r="E195" s="653"/>
      <c r="F195" s="613"/>
      <c r="G195" s="613"/>
      <c r="H195" s="653"/>
      <c r="I195" s="474"/>
      <c r="J195" s="613"/>
      <c r="K195" s="1682">
        <f>SUM(E195,H195)</f>
        <v>0</v>
      </c>
      <c r="L195" s="653"/>
    </row>
    <row r="196" spans="1:14" ht="12.75" customHeight="1" thickBot="1" x14ac:dyDescent="0.25">
      <c r="A196" s="1665" t="s">
        <v>1487</v>
      </c>
      <c r="B196" s="1666" t="s">
        <v>860</v>
      </c>
      <c r="C196" s="613"/>
      <c r="D196" s="613"/>
      <c r="E196" s="1674">
        <f>SUM(E194,E195)</f>
        <v>0</v>
      </c>
      <c r="F196" s="613"/>
      <c r="G196" s="613"/>
      <c r="H196" s="1674">
        <f>SUM(H194,H195)</f>
        <v>0</v>
      </c>
      <c r="I196" s="474"/>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3"/>
      <c r="I199" s="613"/>
      <c r="J199" s="613"/>
      <c r="K199" s="1668">
        <f>SUM(H199)</f>
        <v>0</v>
      </c>
      <c r="L199" s="463"/>
    </row>
    <row r="200" spans="1:14" x14ac:dyDescent="0.2">
      <c r="A200" s="1501" t="s">
        <v>88</v>
      </c>
      <c r="B200" s="611">
        <v>5120</v>
      </c>
      <c r="C200" s="613"/>
      <c r="D200" s="613"/>
      <c r="E200" s="613"/>
      <c r="F200" s="613"/>
      <c r="G200" s="613"/>
      <c r="H200" s="463"/>
      <c r="I200" s="613"/>
      <c r="J200" s="613"/>
      <c r="K200" s="1668">
        <f>SUM(H200)</f>
        <v>0</v>
      </c>
      <c r="L200" s="463"/>
    </row>
    <row r="201" spans="1:14" ht="12.75" customHeight="1" x14ac:dyDescent="0.2">
      <c r="A201" s="1501" t="s">
        <v>1170</v>
      </c>
      <c r="B201" s="625" t="s">
        <v>617</v>
      </c>
      <c r="C201" s="613"/>
      <c r="D201" s="613"/>
      <c r="E201" s="613"/>
      <c r="F201" s="613"/>
      <c r="G201" s="613"/>
      <c r="H201" s="463"/>
      <c r="I201" s="613"/>
      <c r="J201" s="613"/>
      <c r="K201" s="1668">
        <f>SUM(H201)</f>
        <v>0</v>
      </c>
      <c r="L201" s="463"/>
    </row>
    <row r="202" spans="1:14" x14ac:dyDescent="0.2">
      <c r="A202" s="1501" t="s">
        <v>89</v>
      </c>
      <c r="B202" s="611" t="s">
        <v>589</v>
      </c>
      <c r="C202" s="613"/>
      <c r="D202" s="613"/>
      <c r="E202" s="613"/>
      <c r="F202" s="613"/>
      <c r="G202" s="613"/>
      <c r="H202" s="463"/>
      <c r="I202" s="613"/>
      <c r="J202" s="613"/>
      <c r="K202" s="1668">
        <f>SUM(H202)</f>
        <v>0</v>
      </c>
      <c r="L202" s="463"/>
    </row>
    <row r="203" spans="1:14" x14ac:dyDescent="0.2">
      <c r="A203" s="1513" t="s">
        <v>619</v>
      </c>
      <c r="B203" s="611" t="s">
        <v>618</v>
      </c>
      <c r="C203" s="613"/>
      <c r="D203" s="613"/>
      <c r="E203" s="613"/>
      <c r="F203" s="613"/>
      <c r="G203" s="613"/>
      <c r="H203" s="468"/>
      <c r="I203" s="613"/>
      <c r="J203" s="613"/>
      <c r="K203" s="1668">
        <f>SUM(H203)</f>
        <v>0</v>
      </c>
      <c r="L203" s="468"/>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c r="I205" s="613"/>
      <c r="J205" s="613"/>
      <c r="K205" s="1682">
        <f>SUM(H205)</f>
        <v>0</v>
      </c>
      <c r="L205" s="532"/>
    </row>
    <row r="206" spans="1:14" ht="30" customHeight="1" x14ac:dyDescent="0.2">
      <c r="A206" s="678" t="s">
        <v>1657</v>
      </c>
      <c r="B206" s="669" t="s">
        <v>31</v>
      </c>
      <c r="C206" s="613"/>
      <c r="D206" s="613"/>
      <c r="E206" s="613"/>
      <c r="F206" s="613"/>
      <c r="G206" s="613"/>
      <c r="H206" s="463"/>
      <c r="I206" s="613"/>
      <c r="J206" s="613"/>
      <c r="K206" s="1668">
        <f>SUM(H206)</f>
        <v>0</v>
      </c>
      <c r="L206" s="463"/>
    </row>
    <row r="207" spans="1:14" ht="15.75" customHeight="1" x14ac:dyDescent="0.2">
      <c r="A207" s="618" t="s">
        <v>766</v>
      </c>
      <c r="B207" s="669" t="s">
        <v>84</v>
      </c>
      <c r="C207" s="613"/>
      <c r="D207" s="613"/>
      <c r="E207" s="613"/>
      <c r="F207" s="613"/>
      <c r="G207" s="613"/>
      <c r="H207" s="464"/>
      <c r="I207" s="613"/>
      <c r="J207" s="613"/>
      <c r="K207" s="1668">
        <f>H207</f>
        <v>0</v>
      </c>
      <c r="L207" s="463"/>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row>
    <row r="210" spans="1:14" ht="12.75" customHeight="1" thickTop="1" thickBot="1" x14ac:dyDescent="0.25">
      <c r="A210" s="1689" t="s">
        <v>277</v>
      </c>
      <c r="B210" s="1690"/>
      <c r="C210" s="1667">
        <f>SUM(C184,C185)</f>
        <v>284716</v>
      </c>
      <c r="D210" s="1667">
        <f>SUM(D184,D185)</f>
        <v>26382</v>
      </c>
      <c r="E210" s="1667">
        <f>SUM(E184,E185,E196)</f>
        <v>210634</v>
      </c>
      <c r="F210" s="1667">
        <f>SUM(F184,F185)</f>
        <v>97513</v>
      </c>
      <c r="G210" s="1667">
        <f>SUM(G184,G185)</f>
        <v>0</v>
      </c>
      <c r="H210" s="1667">
        <f>SUM(H184,H185,H196,H208,H209)</f>
        <v>0</v>
      </c>
      <c r="I210" s="1667">
        <f>SUM(I184,I185)</f>
        <v>0</v>
      </c>
      <c r="J210" s="1667">
        <f>SUM(J184,J185)</f>
        <v>0</v>
      </c>
      <c r="K210" s="1668">
        <f>SUM(K184,K185,K196,K208,K209)</f>
        <v>619245</v>
      </c>
      <c r="L210" s="1667">
        <f>SUM(L184,L185,L196,L208,L209)</f>
        <v>642758</v>
      </c>
    </row>
    <row r="211" spans="1:14" ht="13.5" thickTop="1" x14ac:dyDescent="0.2">
      <c r="A211" s="2185" t="s">
        <v>996</v>
      </c>
      <c r="B211" s="2186"/>
      <c r="C211" s="615"/>
      <c r="D211" s="615"/>
      <c r="E211" s="615"/>
      <c r="F211" s="615"/>
      <c r="G211" s="615"/>
      <c r="H211" s="615"/>
      <c r="I211" s="613"/>
      <c r="J211" s="613"/>
      <c r="K211" s="1681">
        <f>'Revenues 9-14'!F268-'Expenditures 15-22'!K210</f>
        <v>624</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0" customFormat="1" ht="16.7" customHeight="1" x14ac:dyDescent="0.2">
      <c r="A213" s="2180" t="s">
        <v>965</v>
      </c>
      <c r="B213" s="218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3">
        <v>67948</v>
      </c>
      <c r="E215" s="613"/>
      <c r="F215" s="613"/>
      <c r="G215" s="613"/>
      <c r="H215" s="613"/>
      <c r="I215" s="613"/>
      <c r="J215" s="613"/>
      <c r="K215" s="1668">
        <f>D215</f>
        <v>67948</v>
      </c>
      <c r="L215" s="463">
        <v>52425</v>
      </c>
    </row>
    <row r="216" spans="1:14" x14ac:dyDescent="0.2">
      <c r="A216" s="1501" t="s">
        <v>163</v>
      </c>
      <c r="B216" s="611" t="s">
        <v>967</v>
      </c>
      <c r="C216" s="613"/>
      <c r="D216" s="464">
        <v>3389</v>
      </c>
      <c r="E216" s="613"/>
      <c r="F216" s="613"/>
      <c r="G216" s="613"/>
      <c r="H216" s="613"/>
      <c r="I216" s="613"/>
      <c r="J216" s="613"/>
      <c r="K216" s="1668">
        <f t="shared" ref="K216:K228" si="19">D216</f>
        <v>3389</v>
      </c>
      <c r="L216" s="463">
        <v>18676</v>
      </c>
    </row>
    <row r="217" spans="1:14" x14ac:dyDescent="0.2">
      <c r="A217" s="1501" t="s">
        <v>164</v>
      </c>
      <c r="B217" s="611">
        <v>1200</v>
      </c>
      <c r="C217" s="613"/>
      <c r="D217" s="463">
        <v>34455</v>
      </c>
      <c r="E217" s="613"/>
      <c r="F217" s="613"/>
      <c r="G217" s="613"/>
      <c r="H217" s="613"/>
      <c r="I217" s="613"/>
      <c r="J217" s="613"/>
      <c r="K217" s="1668">
        <f t="shared" si="19"/>
        <v>34455</v>
      </c>
      <c r="L217" s="463">
        <v>37025</v>
      </c>
    </row>
    <row r="218" spans="1:14" x14ac:dyDescent="0.2">
      <c r="A218" s="1501" t="s">
        <v>278</v>
      </c>
      <c r="B218" s="611" t="s">
        <v>968</v>
      </c>
      <c r="C218" s="613"/>
      <c r="D218" s="464">
        <v>1834</v>
      </c>
      <c r="E218" s="613"/>
      <c r="F218" s="613"/>
      <c r="G218" s="613"/>
      <c r="H218" s="613"/>
      <c r="I218" s="613"/>
      <c r="J218" s="613"/>
      <c r="K218" s="1668">
        <f t="shared" si="19"/>
        <v>1834</v>
      </c>
      <c r="L218" s="463">
        <v>1825</v>
      </c>
    </row>
    <row r="219" spans="1:14" x14ac:dyDescent="0.2">
      <c r="A219" s="1501" t="s">
        <v>279</v>
      </c>
      <c r="B219" s="611">
        <v>1250</v>
      </c>
      <c r="C219" s="613"/>
      <c r="D219" s="463">
        <v>2496</v>
      </c>
      <c r="E219" s="613"/>
      <c r="F219" s="613"/>
      <c r="G219" s="613"/>
      <c r="H219" s="613"/>
      <c r="I219" s="613"/>
      <c r="J219" s="613"/>
      <c r="K219" s="1668">
        <f t="shared" si="19"/>
        <v>2496</v>
      </c>
      <c r="L219" s="463">
        <v>2600</v>
      </c>
    </row>
    <row r="220" spans="1:14" x14ac:dyDescent="0.2">
      <c r="A220" s="1501" t="s">
        <v>280</v>
      </c>
      <c r="B220" s="611" t="s">
        <v>161</v>
      </c>
      <c r="C220" s="613"/>
      <c r="D220" s="464"/>
      <c r="E220" s="613"/>
      <c r="F220" s="613"/>
      <c r="G220" s="613"/>
      <c r="H220" s="613"/>
      <c r="I220" s="613"/>
      <c r="J220" s="613"/>
      <c r="K220" s="1668">
        <f t="shared" si="19"/>
        <v>0</v>
      </c>
      <c r="L220" s="463"/>
    </row>
    <row r="221" spans="1:14" x14ac:dyDescent="0.2">
      <c r="A221" s="1501" t="s">
        <v>962</v>
      </c>
      <c r="B221" s="611">
        <v>1300</v>
      </c>
      <c r="C221" s="613"/>
      <c r="D221" s="463"/>
      <c r="E221" s="613"/>
      <c r="F221" s="613"/>
      <c r="G221" s="613"/>
      <c r="H221" s="613"/>
      <c r="I221" s="613"/>
      <c r="J221" s="613"/>
      <c r="K221" s="1668">
        <f t="shared" si="19"/>
        <v>0</v>
      </c>
      <c r="L221" s="463"/>
    </row>
    <row r="222" spans="1:14" x14ac:dyDescent="0.2">
      <c r="A222" s="1501" t="s">
        <v>723</v>
      </c>
      <c r="B222" s="611">
        <v>1400</v>
      </c>
      <c r="C222" s="613"/>
      <c r="D222" s="463">
        <v>2363</v>
      </c>
      <c r="E222" s="613"/>
      <c r="F222" s="613"/>
      <c r="G222" s="613"/>
      <c r="H222" s="613"/>
      <c r="I222" s="613"/>
      <c r="J222" s="613"/>
      <c r="K222" s="1668">
        <f t="shared" si="19"/>
        <v>2363</v>
      </c>
      <c r="L222" s="463">
        <v>2800</v>
      </c>
    </row>
    <row r="223" spans="1:14" x14ac:dyDescent="0.2">
      <c r="A223" s="1501" t="s">
        <v>963</v>
      </c>
      <c r="B223" s="611">
        <v>1500</v>
      </c>
      <c r="C223" s="613"/>
      <c r="D223" s="463">
        <v>9083</v>
      </c>
      <c r="E223" s="613"/>
      <c r="F223" s="613"/>
      <c r="G223" s="613"/>
      <c r="H223" s="613"/>
      <c r="I223" s="613"/>
      <c r="J223" s="613"/>
      <c r="K223" s="1668">
        <f t="shared" si="19"/>
        <v>9083</v>
      </c>
      <c r="L223" s="463">
        <v>8900</v>
      </c>
    </row>
    <row r="224" spans="1:14" x14ac:dyDescent="0.2">
      <c r="A224" s="1501" t="s">
        <v>964</v>
      </c>
      <c r="B224" s="611">
        <v>1600</v>
      </c>
      <c r="C224" s="613"/>
      <c r="D224" s="463"/>
      <c r="E224" s="613"/>
      <c r="F224" s="613"/>
      <c r="G224" s="613"/>
      <c r="H224" s="613"/>
      <c r="I224" s="613"/>
      <c r="J224" s="613"/>
      <c r="K224" s="1668">
        <f t="shared" si="19"/>
        <v>0</v>
      </c>
      <c r="L224" s="463"/>
    </row>
    <row r="225" spans="1:12" x14ac:dyDescent="0.2">
      <c r="A225" s="1501" t="s">
        <v>987</v>
      </c>
      <c r="B225" s="611">
        <v>1650</v>
      </c>
      <c r="C225" s="613"/>
      <c r="D225" s="463"/>
      <c r="E225" s="613"/>
      <c r="F225" s="613"/>
      <c r="G225" s="613"/>
      <c r="H225" s="613"/>
      <c r="I225" s="613"/>
      <c r="J225" s="613"/>
      <c r="K225" s="1668">
        <f t="shared" si="19"/>
        <v>0</v>
      </c>
      <c r="L225" s="463"/>
    </row>
    <row r="226" spans="1:12" x14ac:dyDescent="0.2">
      <c r="A226" s="1501" t="s">
        <v>724</v>
      </c>
      <c r="B226" s="611" t="s">
        <v>162</v>
      </c>
      <c r="C226" s="613"/>
      <c r="D226" s="464">
        <v>1085</v>
      </c>
      <c r="E226" s="613"/>
      <c r="F226" s="613"/>
      <c r="G226" s="613"/>
      <c r="H226" s="613"/>
      <c r="I226" s="613"/>
      <c r="J226" s="613"/>
      <c r="K226" s="1668">
        <f t="shared" si="19"/>
        <v>1085</v>
      </c>
      <c r="L226" s="463">
        <v>1200</v>
      </c>
    </row>
    <row r="227" spans="1:12" x14ac:dyDescent="0.2">
      <c r="A227" s="1501" t="s">
        <v>1087</v>
      </c>
      <c r="B227" s="611">
        <v>1800</v>
      </c>
      <c r="C227" s="613"/>
      <c r="D227" s="463"/>
      <c r="E227" s="613"/>
      <c r="F227" s="613"/>
      <c r="G227" s="613"/>
      <c r="H227" s="613"/>
      <c r="I227" s="613"/>
      <c r="J227" s="613"/>
      <c r="K227" s="1668">
        <f t="shared" si="19"/>
        <v>0</v>
      </c>
      <c r="L227" s="463"/>
    </row>
    <row r="228" spans="1:12" x14ac:dyDescent="0.2">
      <c r="A228" s="1501" t="s">
        <v>1088</v>
      </c>
      <c r="B228" s="611">
        <v>1900</v>
      </c>
      <c r="C228" s="613"/>
      <c r="D228" s="463"/>
      <c r="E228" s="613"/>
      <c r="F228" s="613"/>
      <c r="G228" s="613"/>
      <c r="H228" s="613"/>
      <c r="I228" s="613"/>
      <c r="J228" s="613"/>
      <c r="K228" s="1668">
        <f t="shared" si="19"/>
        <v>0</v>
      </c>
      <c r="L228" s="463"/>
    </row>
    <row r="229" spans="1:12" ht="12.75" customHeight="1" thickBot="1" x14ac:dyDescent="0.25">
      <c r="A229" s="1665" t="s">
        <v>715</v>
      </c>
      <c r="B229" s="1672" t="s">
        <v>570</v>
      </c>
      <c r="C229" s="613"/>
      <c r="D229" s="1667">
        <f>SUM(D215:D228)</f>
        <v>122653</v>
      </c>
      <c r="E229" s="613"/>
      <c r="F229" s="613"/>
      <c r="G229" s="613"/>
      <c r="H229" s="613"/>
      <c r="I229" s="613"/>
      <c r="J229" s="613"/>
      <c r="K229" s="1667">
        <f>SUM(K215:K228)</f>
        <v>122653</v>
      </c>
      <c r="L229" s="1667">
        <f>SUM(L215:L228)</f>
        <v>125451</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3">
        <v>677</v>
      </c>
      <c r="E232" s="613"/>
      <c r="F232" s="613"/>
      <c r="G232" s="613"/>
      <c r="H232" s="613"/>
      <c r="I232" s="613"/>
      <c r="J232" s="613"/>
      <c r="K232" s="1668">
        <f t="shared" ref="K232:K237" si="20">D232</f>
        <v>677</v>
      </c>
      <c r="L232" s="463">
        <v>700</v>
      </c>
    </row>
    <row r="233" spans="1:12" x14ac:dyDescent="0.2">
      <c r="A233" s="1501" t="s">
        <v>1090</v>
      </c>
      <c r="B233" s="611">
        <v>2120</v>
      </c>
      <c r="C233" s="613"/>
      <c r="D233" s="463">
        <v>816</v>
      </c>
      <c r="E233" s="613"/>
      <c r="F233" s="613"/>
      <c r="G233" s="613"/>
      <c r="H233" s="613"/>
      <c r="I233" s="613"/>
      <c r="J233" s="613"/>
      <c r="K233" s="1668">
        <f t="shared" si="20"/>
        <v>816</v>
      </c>
      <c r="L233" s="463">
        <v>1000</v>
      </c>
    </row>
    <row r="234" spans="1:12" x14ac:dyDescent="0.2">
      <c r="A234" s="1501" t="s">
        <v>198</v>
      </c>
      <c r="B234" s="611">
        <v>2130</v>
      </c>
      <c r="C234" s="613"/>
      <c r="D234" s="463"/>
      <c r="E234" s="613"/>
      <c r="F234" s="613"/>
      <c r="G234" s="613"/>
      <c r="H234" s="613"/>
      <c r="I234" s="613"/>
      <c r="J234" s="613"/>
      <c r="K234" s="1668">
        <f t="shared" si="20"/>
        <v>0</v>
      </c>
      <c r="L234" s="463"/>
    </row>
    <row r="235" spans="1:12" x14ac:dyDescent="0.2">
      <c r="A235" s="1501" t="s">
        <v>199</v>
      </c>
      <c r="B235" s="611">
        <v>2140</v>
      </c>
      <c r="C235" s="613"/>
      <c r="D235" s="463"/>
      <c r="E235" s="613"/>
      <c r="F235" s="613"/>
      <c r="G235" s="613"/>
      <c r="H235" s="613"/>
      <c r="I235" s="613"/>
      <c r="J235" s="613"/>
      <c r="K235" s="1668">
        <f t="shared" si="20"/>
        <v>0</v>
      </c>
      <c r="L235" s="463"/>
    </row>
    <row r="236" spans="1:12" x14ac:dyDescent="0.2">
      <c r="A236" s="1501" t="s">
        <v>200</v>
      </c>
      <c r="B236" s="611">
        <v>2150</v>
      </c>
      <c r="C236" s="613"/>
      <c r="D236" s="463">
        <v>1287</v>
      </c>
      <c r="E236" s="613"/>
      <c r="F236" s="613"/>
      <c r="G236" s="613"/>
      <c r="H236" s="613"/>
      <c r="I236" s="613"/>
      <c r="J236" s="613"/>
      <c r="K236" s="1668">
        <f t="shared" si="20"/>
        <v>1287</v>
      </c>
      <c r="L236" s="463">
        <v>1525</v>
      </c>
    </row>
    <row r="237" spans="1:12" x14ac:dyDescent="0.2">
      <c r="A237" s="1501" t="s">
        <v>165</v>
      </c>
      <c r="B237" s="611">
        <v>2190</v>
      </c>
      <c r="C237" s="613"/>
      <c r="D237" s="463"/>
      <c r="E237" s="613"/>
      <c r="F237" s="613"/>
      <c r="G237" s="613"/>
      <c r="H237" s="613"/>
      <c r="I237" s="613"/>
      <c r="J237" s="613"/>
      <c r="K237" s="1668">
        <f t="shared" si="20"/>
        <v>0</v>
      </c>
      <c r="L237" s="463"/>
    </row>
    <row r="238" spans="1:12" ht="12.75" customHeight="1" thickBot="1" x14ac:dyDescent="0.25">
      <c r="A238" s="1665" t="s">
        <v>560</v>
      </c>
      <c r="B238" s="1672" t="s">
        <v>716</v>
      </c>
      <c r="C238" s="613"/>
      <c r="D238" s="1667">
        <f>SUM(D232:D237)</f>
        <v>2780</v>
      </c>
      <c r="E238" s="613"/>
      <c r="F238" s="613"/>
      <c r="G238" s="613"/>
      <c r="H238" s="613"/>
      <c r="I238" s="613"/>
      <c r="J238" s="613"/>
      <c r="K238" s="1667">
        <f>SUM(K232:K237)</f>
        <v>2780</v>
      </c>
      <c r="L238" s="1667">
        <f>SUM(L232:L237)</f>
        <v>3225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8">
        <v>1297</v>
      </c>
      <c r="E240" s="613"/>
      <c r="F240" s="613"/>
      <c r="G240" s="613"/>
      <c r="H240" s="613"/>
      <c r="I240" s="613"/>
      <c r="J240" s="613"/>
      <c r="K240" s="1669">
        <f>D240</f>
        <v>1297</v>
      </c>
      <c r="L240" s="478">
        <v>1300</v>
      </c>
    </row>
    <row r="241" spans="1:12" x14ac:dyDescent="0.2">
      <c r="A241" s="1501" t="s">
        <v>815</v>
      </c>
      <c r="B241" s="611">
        <v>2220</v>
      </c>
      <c r="C241" s="613"/>
      <c r="D241" s="463">
        <v>9080</v>
      </c>
      <c r="E241" s="613"/>
      <c r="F241" s="613"/>
      <c r="G241" s="613"/>
      <c r="H241" s="613"/>
      <c r="I241" s="613"/>
      <c r="J241" s="613"/>
      <c r="K241" s="1669">
        <f>D241</f>
        <v>9080</v>
      </c>
      <c r="L241" s="463">
        <v>10550</v>
      </c>
    </row>
    <row r="242" spans="1:12" x14ac:dyDescent="0.2">
      <c r="A242" s="1501" t="s">
        <v>816</v>
      </c>
      <c r="B242" s="611">
        <v>2230</v>
      </c>
      <c r="C242" s="613"/>
      <c r="D242" s="463"/>
      <c r="E242" s="613"/>
      <c r="F242" s="613"/>
      <c r="G242" s="613"/>
      <c r="H242" s="613"/>
      <c r="I242" s="613"/>
      <c r="J242" s="613"/>
      <c r="K242" s="1669">
        <f>D242</f>
        <v>0</v>
      </c>
      <c r="L242" s="463"/>
    </row>
    <row r="243" spans="1:12" ht="12.75" customHeight="1" thickBot="1" x14ac:dyDescent="0.25">
      <c r="A243" s="1691" t="s">
        <v>561</v>
      </c>
      <c r="B243" s="1692">
        <v>2200</v>
      </c>
      <c r="C243" s="613"/>
      <c r="D243" s="1667">
        <f>SUM(D240:D242)</f>
        <v>10377</v>
      </c>
      <c r="E243" s="613"/>
      <c r="F243" s="613"/>
      <c r="G243" s="613"/>
      <c r="H243" s="613"/>
      <c r="I243" s="613"/>
      <c r="J243" s="613"/>
      <c r="K243" s="1667">
        <f>SUM(K240:K242)</f>
        <v>10377</v>
      </c>
      <c r="L243" s="1667">
        <f>SUM(L240:L242)</f>
        <v>11850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8">
        <v>245</v>
      </c>
      <c r="E245" s="613"/>
      <c r="F245" s="613"/>
      <c r="G245" s="613"/>
      <c r="H245" s="613"/>
      <c r="I245" s="613"/>
      <c r="J245" s="613"/>
      <c r="K245" s="1669">
        <f>D245</f>
        <v>245</v>
      </c>
      <c r="L245" s="478">
        <v>250</v>
      </c>
    </row>
    <row r="246" spans="1:12" x14ac:dyDescent="0.2">
      <c r="A246" s="1501" t="s">
        <v>818</v>
      </c>
      <c r="B246" s="611">
        <v>2320</v>
      </c>
      <c r="C246" s="613"/>
      <c r="D246" s="463">
        <v>9933</v>
      </c>
      <c r="E246" s="613"/>
      <c r="F246" s="613"/>
      <c r="G246" s="613"/>
      <c r="H246" s="613"/>
      <c r="I246" s="613"/>
      <c r="J246" s="613"/>
      <c r="K246" s="1669">
        <f t="shared" ref="K246:K256" si="21">D246</f>
        <v>9933</v>
      </c>
      <c r="L246" s="463">
        <v>10375</v>
      </c>
    </row>
    <row r="247" spans="1:12" x14ac:dyDescent="0.2">
      <c r="A247" s="1501" t="s">
        <v>819</v>
      </c>
      <c r="B247" s="611">
        <v>2330</v>
      </c>
      <c r="C247" s="613"/>
      <c r="D247" s="463"/>
      <c r="E247" s="613"/>
      <c r="F247" s="613"/>
      <c r="G247" s="613"/>
      <c r="H247" s="613"/>
      <c r="I247" s="613"/>
      <c r="J247" s="613"/>
      <c r="K247" s="1669">
        <f t="shared" si="21"/>
        <v>0</v>
      </c>
      <c r="L247" s="463"/>
    </row>
    <row r="248" spans="1:12" x14ac:dyDescent="0.2">
      <c r="A248" s="1502" t="s">
        <v>299</v>
      </c>
      <c r="B248" s="599" t="s">
        <v>281</v>
      </c>
      <c r="C248" s="613"/>
      <c r="D248" s="471"/>
      <c r="E248" s="613"/>
      <c r="F248" s="613"/>
      <c r="G248" s="613"/>
      <c r="H248" s="613"/>
      <c r="I248" s="613"/>
      <c r="J248" s="613"/>
      <c r="K248" s="1669">
        <f t="shared" si="21"/>
        <v>0</v>
      </c>
      <c r="L248" s="463"/>
    </row>
    <row r="249" spans="1:12" x14ac:dyDescent="0.2">
      <c r="A249" s="1503" t="s">
        <v>1790</v>
      </c>
      <c r="B249" s="680" t="s">
        <v>282</v>
      </c>
      <c r="C249" s="613"/>
      <c r="D249" s="471"/>
      <c r="E249" s="613"/>
      <c r="F249" s="613"/>
      <c r="G249" s="613"/>
      <c r="H249" s="613"/>
      <c r="I249" s="613"/>
      <c r="J249" s="613"/>
      <c r="K249" s="1669">
        <f t="shared" si="21"/>
        <v>0</v>
      </c>
      <c r="L249" s="463"/>
    </row>
    <row r="250" spans="1:12" x14ac:dyDescent="0.2">
      <c r="A250" s="1502" t="s">
        <v>1791</v>
      </c>
      <c r="B250" s="599" t="s">
        <v>283</v>
      </c>
      <c r="C250" s="613"/>
      <c r="D250" s="471"/>
      <c r="E250" s="613"/>
      <c r="F250" s="613"/>
      <c r="G250" s="613"/>
      <c r="H250" s="613"/>
      <c r="I250" s="613"/>
      <c r="J250" s="613"/>
      <c r="K250" s="1669">
        <f t="shared" si="21"/>
        <v>0</v>
      </c>
      <c r="L250" s="463"/>
    </row>
    <row r="251" spans="1:12" x14ac:dyDescent="0.2">
      <c r="A251" s="1502" t="s">
        <v>238</v>
      </c>
      <c r="B251" s="599" t="s">
        <v>284</v>
      </c>
      <c r="C251" s="613"/>
      <c r="D251" s="471"/>
      <c r="E251" s="613"/>
      <c r="F251" s="613"/>
      <c r="G251" s="613"/>
      <c r="H251" s="613"/>
      <c r="I251" s="613"/>
      <c r="J251" s="613"/>
      <c r="K251" s="1669">
        <f t="shared" si="21"/>
        <v>0</v>
      </c>
      <c r="L251" s="463"/>
    </row>
    <row r="252" spans="1:12" x14ac:dyDescent="0.2">
      <c r="A252" s="1502" t="s">
        <v>702</v>
      </c>
      <c r="B252" s="599" t="s">
        <v>285</v>
      </c>
      <c r="C252" s="613"/>
      <c r="D252" s="471"/>
      <c r="E252" s="613"/>
      <c r="F252" s="613"/>
      <c r="G252" s="613"/>
      <c r="H252" s="613"/>
      <c r="I252" s="613"/>
      <c r="J252" s="613"/>
      <c r="K252" s="1669">
        <f t="shared" si="21"/>
        <v>0</v>
      </c>
      <c r="L252" s="463"/>
    </row>
    <row r="253" spans="1:12" x14ac:dyDescent="0.2">
      <c r="A253" s="1502" t="s">
        <v>239</v>
      </c>
      <c r="B253" s="599" t="s">
        <v>286</v>
      </c>
      <c r="C253" s="613"/>
      <c r="D253" s="471"/>
      <c r="E253" s="613"/>
      <c r="F253" s="613"/>
      <c r="G253" s="613"/>
      <c r="H253" s="613"/>
      <c r="I253" s="613"/>
      <c r="J253" s="613"/>
      <c r="K253" s="1669">
        <f t="shared" si="21"/>
        <v>0</v>
      </c>
      <c r="L253" s="463"/>
    </row>
    <row r="254" spans="1:12" ht="22.5" x14ac:dyDescent="0.2">
      <c r="A254" s="1502" t="s">
        <v>1029</v>
      </c>
      <c r="B254" s="680" t="s">
        <v>287</v>
      </c>
      <c r="C254" s="613"/>
      <c r="D254" s="471"/>
      <c r="E254" s="613"/>
      <c r="F254" s="613"/>
      <c r="G254" s="613"/>
      <c r="H254" s="613"/>
      <c r="I254" s="613"/>
      <c r="J254" s="613"/>
      <c r="K254" s="1669">
        <f t="shared" si="21"/>
        <v>0</v>
      </c>
      <c r="L254" s="463"/>
    </row>
    <row r="255" spans="1:12" x14ac:dyDescent="0.2">
      <c r="A255" s="1502" t="s">
        <v>1030</v>
      </c>
      <c r="B255" s="599" t="s">
        <v>288</v>
      </c>
      <c r="C255" s="613"/>
      <c r="D255" s="471"/>
      <c r="E255" s="613"/>
      <c r="F255" s="613"/>
      <c r="G255" s="613"/>
      <c r="H255" s="613"/>
      <c r="I255" s="613"/>
      <c r="J255" s="613"/>
      <c r="K255" s="1669">
        <f t="shared" si="21"/>
        <v>0</v>
      </c>
      <c r="L255" s="463"/>
    </row>
    <row r="256" spans="1:12" x14ac:dyDescent="0.2">
      <c r="A256" s="1502" t="s">
        <v>971</v>
      </c>
      <c r="B256" s="611" t="s">
        <v>289</v>
      </c>
      <c r="C256" s="613"/>
      <c r="D256" s="471"/>
      <c r="E256" s="613"/>
      <c r="F256" s="613"/>
      <c r="G256" s="613"/>
      <c r="H256" s="613"/>
      <c r="I256" s="613"/>
      <c r="J256" s="613"/>
      <c r="K256" s="1669">
        <f t="shared" si="21"/>
        <v>0</v>
      </c>
      <c r="L256" s="463"/>
    </row>
    <row r="257" spans="1:14" ht="12.75" customHeight="1" thickBot="1" x14ac:dyDescent="0.25">
      <c r="A257" s="1665" t="s">
        <v>717</v>
      </c>
      <c r="B257" s="1693">
        <v>2300</v>
      </c>
      <c r="C257" s="613"/>
      <c r="D257" s="1667">
        <f>SUM(D245:D256)</f>
        <v>10178</v>
      </c>
      <c r="E257" s="613"/>
      <c r="F257" s="613"/>
      <c r="G257" s="613"/>
      <c r="H257" s="613"/>
      <c r="I257" s="613"/>
      <c r="J257" s="613"/>
      <c r="K257" s="1667">
        <f>SUM(K245:K256)</f>
        <v>10178</v>
      </c>
      <c r="L257" s="1667">
        <f>SUM(L245:L256)</f>
        <v>10625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8">
        <v>31519</v>
      </c>
      <c r="E259" s="613"/>
      <c r="F259" s="613"/>
      <c r="G259" s="613"/>
      <c r="H259" s="613"/>
      <c r="I259" s="613"/>
      <c r="J259" s="613"/>
      <c r="K259" s="1669">
        <f>D259</f>
        <v>31519</v>
      </c>
      <c r="L259" s="478">
        <v>30725</v>
      </c>
    </row>
    <row r="260" spans="1:14" s="594" customFormat="1" x14ac:dyDescent="0.2">
      <c r="A260" s="1519" t="s">
        <v>1789</v>
      </c>
      <c r="B260" s="625">
        <v>2490</v>
      </c>
      <c r="C260" s="613"/>
      <c r="D260" s="463"/>
      <c r="E260" s="613"/>
      <c r="F260" s="613"/>
      <c r="G260" s="613"/>
      <c r="H260" s="613"/>
      <c r="I260" s="613"/>
      <c r="J260" s="613"/>
      <c r="K260" s="1669">
        <f>D260</f>
        <v>0</v>
      </c>
      <c r="L260" s="463"/>
      <c r="M260" s="210"/>
      <c r="N260" s="210"/>
    </row>
    <row r="261" spans="1:14" ht="12.75" customHeight="1" thickBot="1" x14ac:dyDescent="0.25">
      <c r="A261" s="1689" t="s">
        <v>263</v>
      </c>
      <c r="B261" s="1694" t="s">
        <v>34</v>
      </c>
      <c r="C261" s="613"/>
      <c r="D261" s="1667">
        <f>SUM(D259:D260)</f>
        <v>31519</v>
      </c>
      <c r="E261" s="613"/>
      <c r="F261" s="613"/>
      <c r="G261" s="613"/>
      <c r="H261" s="613"/>
      <c r="I261" s="613"/>
      <c r="J261" s="613"/>
      <c r="K261" s="1667">
        <f>SUM(K259:K260)</f>
        <v>31519</v>
      </c>
      <c r="L261" s="1667">
        <f>SUM(L259:L260)</f>
        <v>30725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3"/>
      <c r="E263" s="613"/>
      <c r="F263" s="613"/>
      <c r="G263" s="613"/>
      <c r="H263" s="613"/>
      <c r="I263" s="613"/>
      <c r="J263" s="613"/>
      <c r="K263" s="1669">
        <f>D263</f>
        <v>0</v>
      </c>
      <c r="L263" s="478"/>
    </row>
    <row r="264" spans="1:14" x14ac:dyDescent="0.2">
      <c r="A264" s="1501" t="s">
        <v>463</v>
      </c>
      <c r="B264" s="682">
        <v>2520</v>
      </c>
      <c r="C264" s="613"/>
      <c r="D264" s="463">
        <v>20205</v>
      </c>
      <c r="E264" s="613"/>
      <c r="F264" s="613"/>
      <c r="G264" s="613"/>
      <c r="H264" s="613"/>
      <c r="I264" s="613"/>
      <c r="J264" s="613"/>
      <c r="K264" s="1669">
        <f t="shared" ref="K264:K269" si="22">D264</f>
        <v>20205</v>
      </c>
      <c r="L264" s="463">
        <v>17775</v>
      </c>
    </row>
    <row r="265" spans="1:14" x14ac:dyDescent="0.2">
      <c r="A265" s="1501" t="s">
        <v>4</v>
      </c>
      <c r="B265" s="611">
        <v>2530</v>
      </c>
      <c r="C265" s="613"/>
      <c r="D265" s="463"/>
      <c r="E265" s="613"/>
      <c r="F265" s="613"/>
      <c r="G265" s="613"/>
      <c r="H265" s="613"/>
      <c r="I265" s="613"/>
      <c r="J265" s="613"/>
      <c r="K265" s="1669">
        <f t="shared" si="22"/>
        <v>0</v>
      </c>
      <c r="L265" s="463"/>
    </row>
    <row r="266" spans="1:14" x14ac:dyDescent="0.2">
      <c r="A266" s="1501" t="s">
        <v>197</v>
      </c>
      <c r="B266" s="611">
        <v>2540</v>
      </c>
      <c r="C266" s="613"/>
      <c r="D266" s="463">
        <v>65554</v>
      </c>
      <c r="E266" s="613"/>
      <c r="F266" s="613"/>
      <c r="G266" s="613"/>
      <c r="H266" s="613"/>
      <c r="I266" s="613"/>
      <c r="J266" s="613"/>
      <c r="K266" s="1669">
        <f t="shared" si="22"/>
        <v>65554</v>
      </c>
      <c r="L266" s="463">
        <v>66425</v>
      </c>
    </row>
    <row r="267" spans="1:14" x14ac:dyDescent="0.2">
      <c r="A267" s="1501" t="s">
        <v>953</v>
      </c>
      <c r="B267" s="611">
        <v>2550</v>
      </c>
      <c r="C267" s="613"/>
      <c r="D267" s="463">
        <v>38877</v>
      </c>
      <c r="E267" s="613"/>
      <c r="F267" s="613"/>
      <c r="G267" s="613"/>
      <c r="H267" s="613"/>
      <c r="I267" s="613"/>
      <c r="J267" s="613"/>
      <c r="K267" s="1669">
        <f t="shared" si="22"/>
        <v>38877</v>
      </c>
      <c r="L267" s="463">
        <v>46000</v>
      </c>
    </row>
    <row r="268" spans="1:14" x14ac:dyDescent="0.2">
      <c r="A268" s="1501" t="s">
        <v>100</v>
      </c>
      <c r="B268" s="611">
        <v>2560</v>
      </c>
      <c r="C268" s="613"/>
      <c r="D268" s="463">
        <v>1699</v>
      </c>
      <c r="E268" s="613"/>
      <c r="F268" s="613"/>
      <c r="G268" s="613"/>
      <c r="H268" s="613"/>
      <c r="I268" s="613"/>
      <c r="J268" s="613"/>
      <c r="K268" s="1669">
        <f t="shared" si="22"/>
        <v>1699</v>
      </c>
      <c r="L268" s="463">
        <v>850</v>
      </c>
    </row>
    <row r="269" spans="1:14" x14ac:dyDescent="0.2">
      <c r="A269" s="1501" t="s">
        <v>101</v>
      </c>
      <c r="B269" s="611">
        <v>2570</v>
      </c>
      <c r="C269" s="613"/>
      <c r="D269" s="463"/>
      <c r="E269" s="613"/>
      <c r="F269" s="613"/>
      <c r="G269" s="613"/>
      <c r="H269" s="613"/>
      <c r="I269" s="613"/>
      <c r="J269" s="613"/>
      <c r="K269" s="1669">
        <f t="shared" si="22"/>
        <v>0</v>
      </c>
      <c r="L269" s="463"/>
    </row>
    <row r="270" spans="1:14" ht="12.75" customHeight="1" thickBot="1" x14ac:dyDescent="0.25">
      <c r="A270" s="1665" t="s">
        <v>719</v>
      </c>
      <c r="B270" s="1672" t="s">
        <v>35</v>
      </c>
      <c r="C270" s="613"/>
      <c r="D270" s="1667">
        <f>SUM(D263:D269)</f>
        <v>126335</v>
      </c>
      <c r="E270" s="613"/>
      <c r="F270" s="613"/>
      <c r="G270" s="613"/>
      <c r="H270" s="613"/>
      <c r="I270" s="613"/>
      <c r="J270" s="613"/>
      <c r="K270" s="1667">
        <f>SUM(K263:K269)</f>
        <v>126335</v>
      </c>
      <c r="L270" s="1667">
        <f>SUM(L263:L269)</f>
        <v>131050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8"/>
      <c r="E272" s="613"/>
      <c r="F272" s="613"/>
      <c r="G272" s="613"/>
      <c r="H272" s="613"/>
      <c r="I272" s="613"/>
      <c r="J272" s="613"/>
      <c r="K272" s="1669">
        <f>D272</f>
        <v>0</v>
      </c>
      <c r="L272" s="478"/>
    </row>
    <row r="273" spans="1:12" x14ac:dyDescent="0.2">
      <c r="A273" s="1501" t="s">
        <v>607</v>
      </c>
      <c r="B273" s="625">
        <v>2620</v>
      </c>
      <c r="C273" s="613"/>
      <c r="D273" s="463"/>
      <c r="E273" s="613"/>
      <c r="F273" s="613"/>
      <c r="G273" s="613"/>
      <c r="H273" s="613"/>
      <c r="I273" s="613"/>
      <c r="J273" s="613"/>
      <c r="K273" s="1669">
        <f>D273</f>
        <v>0</v>
      </c>
      <c r="L273" s="463"/>
    </row>
    <row r="274" spans="1:12" ht="12" customHeight="1" x14ac:dyDescent="0.2">
      <c r="A274" s="1501" t="s">
        <v>1061</v>
      </c>
      <c r="B274" s="611">
        <v>2630</v>
      </c>
      <c r="C274" s="613"/>
      <c r="D274" s="463"/>
      <c r="E274" s="613"/>
      <c r="F274" s="613"/>
      <c r="G274" s="613"/>
      <c r="H274" s="613"/>
      <c r="I274" s="613"/>
      <c r="J274" s="613"/>
      <c r="K274" s="1669">
        <f>D274</f>
        <v>0</v>
      </c>
      <c r="L274" s="463"/>
    </row>
    <row r="275" spans="1:12" x14ac:dyDescent="0.2">
      <c r="A275" s="1501" t="s">
        <v>403</v>
      </c>
      <c r="B275" s="611">
        <v>2640</v>
      </c>
      <c r="C275" s="613"/>
      <c r="D275" s="463"/>
      <c r="E275" s="613"/>
      <c r="F275" s="613"/>
      <c r="G275" s="613"/>
      <c r="H275" s="613"/>
      <c r="I275" s="613"/>
      <c r="J275" s="613"/>
      <c r="K275" s="1669">
        <f>D275</f>
        <v>0</v>
      </c>
      <c r="L275" s="463"/>
    </row>
    <row r="276" spans="1:12" x14ac:dyDescent="0.2">
      <c r="A276" s="1501" t="s">
        <v>404</v>
      </c>
      <c r="B276" s="611">
        <v>2660</v>
      </c>
      <c r="C276" s="613"/>
      <c r="D276" s="463">
        <v>13830</v>
      </c>
      <c r="E276" s="613"/>
      <c r="F276" s="613"/>
      <c r="G276" s="613"/>
      <c r="H276" s="613"/>
      <c r="I276" s="613"/>
      <c r="J276" s="613"/>
      <c r="K276" s="1669">
        <f>D276</f>
        <v>13830</v>
      </c>
      <c r="L276" s="463">
        <v>12475</v>
      </c>
    </row>
    <row r="277" spans="1:12" ht="12.75" customHeight="1" thickBot="1" x14ac:dyDescent="0.25">
      <c r="A277" s="1688" t="s">
        <v>37</v>
      </c>
      <c r="B277" s="1666" t="s">
        <v>36</v>
      </c>
      <c r="C277" s="613"/>
      <c r="D277" s="1667">
        <f>SUM(D272:D276)</f>
        <v>13830</v>
      </c>
      <c r="E277" s="613"/>
      <c r="F277" s="613"/>
      <c r="G277" s="613"/>
      <c r="H277" s="613"/>
      <c r="I277" s="613"/>
      <c r="J277" s="613"/>
      <c r="K277" s="1667">
        <f>SUM(K272:K276)</f>
        <v>13830</v>
      </c>
      <c r="L277" s="1667">
        <f>SUM(L272:L276)</f>
        <v>12475</v>
      </c>
    </row>
    <row r="278" spans="1:12" ht="13.5" customHeight="1" thickTop="1" x14ac:dyDescent="0.2">
      <c r="A278" s="1507" t="s">
        <v>980</v>
      </c>
      <c r="B278" s="652" t="s">
        <v>574</v>
      </c>
      <c r="C278" s="613"/>
      <c r="D278" s="653"/>
      <c r="E278" s="613"/>
      <c r="F278" s="613"/>
      <c r="G278" s="613"/>
      <c r="H278" s="613"/>
      <c r="I278" s="613"/>
      <c r="J278" s="613"/>
      <c r="K278" s="1682">
        <f>D278</f>
        <v>0</v>
      </c>
      <c r="L278" s="653"/>
    </row>
    <row r="279" spans="1:12" ht="12.75" customHeight="1" thickBot="1" x14ac:dyDescent="0.25">
      <c r="A279" s="1695" t="s">
        <v>811</v>
      </c>
      <c r="B279" s="1678">
        <v>2000</v>
      </c>
      <c r="C279" s="613"/>
      <c r="D279" s="1674">
        <f>SUM(D238,D243,D257,D261,D270,D277,D278)</f>
        <v>195019</v>
      </c>
      <c r="E279" s="613"/>
      <c r="F279" s="613"/>
      <c r="G279" s="613"/>
      <c r="H279" s="613"/>
      <c r="I279" s="613"/>
      <c r="J279" s="613"/>
      <c r="K279" s="1674">
        <f>SUM(K238,K243,K257,K261,K270,K277,K278)</f>
        <v>195019</v>
      </c>
      <c r="L279" s="1674">
        <f>SUM(L238,L243,L257,L261,L270,L277,L278)</f>
        <v>199950</v>
      </c>
    </row>
    <row r="280" spans="1:12" ht="15.75" customHeight="1" thickTop="1" thickBot="1" x14ac:dyDescent="0.25">
      <c r="A280" s="1621" t="s">
        <v>875</v>
      </c>
      <c r="B280" s="1610">
        <v>3000</v>
      </c>
      <c r="C280" s="613"/>
      <c r="D280" s="573"/>
      <c r="E280" s="613"/>
      <c r="F280" s="613"/>
      <c r="G280" s="613"/>
      <c r="H280" s="613"/>
      <c r="I280" s="613"/>
      <c r="J280" s="613"/>
      <c r="K280" s="1676">
        <f>D280</f>
        <v>0</v>
      </c>
      <c r="L280" s="573"/>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1830</v>
      </c>
      <c r="C282" s="613"/>
      <c r="D282" s="464"/>
      <c r="E282" s="613"/>
      <c r="F282" s="613"/>
      <c r="G282" s="613"/>
      <c r="H282" s="613"/>
      <c r="I282" s="613"/>
      <c r="J282" s="613"/>
      <c r="K282" s="1668">
        <f>D282</f>
        <v>0</v>
      </c>
      <c r="L282" s="464"/>
    </row>
    <row r="283" spans="1:12" x14ac:dyDescent="0.2">
      <c r="A283" s="1501" t="s">
        <v>304</v>
      </c>
      <c r="B283" s="611">
        <v>4120</v>
      </c>
      <c r="C283" s="613"/>
      <c r="D283" s="463"/>
      <c r="E283" s="613"/>
      <c r="F283" s="613"/>
      <c r="G283" s="613"/>
      <c r="H283" s="613"/>
      <c r="I283" s="613"/>
      <c r="J283" s="613"/>
      <c r="K283" s="1668">
        <f>D283</f>
        <v>0</v>
      </c>
      <c r="L283" s="463"/>
    </row>
    <row r="284" spans="1:12" x14ac:dyDescent="0.2">
      <c r="A284" s="1501" t="s">
        <v>697</v>
      </c>
      <c r="B284" s="611">
        <v>4140</v>
      </c>
      <c r="C284" s="613"/>
      <c r="D284" s="464"/>
      <c r="E284" s="613"/>
      <c r="F284" s="613"/>
      <c r="G284" s="613"/>
      <c r="H284" s="613"/>
      <c r="I284" s="613"/>
      <c r="J284" s="613"/>
      <c r="K284" s="1668">
        <f>D284</f>
        <v>0</v>
      </c>
      <c r="L284" s="463"/>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3"/>
      <c r="I288" s="613"/>
      <c r="J288" s="613"/>
      <c r="K288" s="1668">
        <f>H288</f>
        <v>0</v>
      </c>
      <c r="L288" s="463"/>
    </row>
    <row r="289" spans="1:14" x14ac:dyDescent="0.2">
      <c r="A289" s="1501" t="s">
        <v>88</v>
      </c>
      <c r="B289" s="611">
        <v>5120</v>
      </c>
      <c r="C289" s="613"/>
      <c r="D289" s="613"/>
      <c r="E289" s="613"/>
      <c r="F289" s="613"/>
      <c r="G289" s="613"/>
      <c r="H289" s="463"/>
      <c r="I289" s="613"/>
      <c r="J289" s="613"/>
      <c r="K289" s="1668">
        <f>H289</f>
        <v>0</v>
      </c>
      <c r="L289" s="463"/>
    </row>
    <row r="290" spans="1:14" ht="12.75" customHeight="1" x14ac:dyDescent="0.2">
      <c r="A290" s="1501" t="s">
        <v>1170</v>
      </c>
      <c r="B290" s="625" t="s">
        <v>617</v>
      </c>
      <c r="C290" s="613"/>
      <c r="D290" s="613"/>
      <c r="E290" s="613"/>
      <c r="F290" s="613"/>
      <c r="G290" s="613"/>
      <c r="H290" s="463"/>
      <c r="I290" s="613"/>
      <c r="J290" s="613"/>
      <c r="K290" s="1668">
        <f>H290</f>
        <v>0</v>
      </c>
      <c r="L290" s="463"/>
    </row>
    <row r="291" spans="1:14" x14ac:dyDescent="0.2">
      <c r="A291" s="1501" t="s">
        <v>89</v>
      </c>
      <c r="B291" s="611" t="s">
        <v>589</v>
      </c>
      <c r="C291" s="613"/>
      <c r="D291" s="613"/>
      <c r="E291" s="613"/>
      <c r="F291" s="613"/>
      <c r="G291" s="613"/>
      <c r="H291" s="463"/>
      <c r="I291" s="613"/>
      <c r="J291" s="613"/>
      <c r="K291" s="1668">
        <f>H291</f>
        <v>0</v>
      </c>
      <c r="L291" s="463"/>
    </row>
    <row r="292" spans="1:14" x14ac:dyDescent="0.2">
      <c r="A292" s="1501" t="s">
        <v>762</v>
      </c>
      <c r="B292" s="611" t="s">
        <v>618</v>
      </c>
      <c r="C292" s="613"/>
      <c r="D292" s="613"/>
      <c r="E292" s="613"/>
      <c r="F292" s="613"/>
      <c r="G292" s="613"/>
      <c r="H292" s="463"/>
      <c r="I292" s="613"/>
      <c r="J292" s="613"/>
      <c r="K292" s="1668">
        <f>H292</f>
        <v>0</v>
      </c>
      <c r="L292" s="463"/>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row>
    <row r="295" spans="1:14" ht="12.75" customHeight="1" thickTop="1" thickBot="1" x14ac:dyDescent="0.25">
      <c r="A295" s="2176" t="s">
        <v>505</v>
      </c>
      <c r="B295" s="2177"/>
      <c r="C295" s="613"/>
      <c r="D295" s="1667">
        <f>SUM(D229,D279,D280,D285)</f>
        <v>317672</v>
      </c>
      <c r="E295" s="613"/>
      <c r="F295" s="613"/>
      <c r="G295" s="613"/>
      <c r="H295" s="1667">
        <f>H293</f>
        <v>0</v>
      </c>
      <c r="I295" s="613"/>
      <c r="J295" s="613"/>
      <c r="K295" s="1667">
        <f>SUM(K229,K279,K280,K285,K293,K294)</f>
        <v>317672</v>
      </c>
      <c r="L295" s="1667">
        <f>SUM(L229,L279,L280,L285,L293,L294)</f>
        <v>325401</v>
      </c>
    </row>
    <row r="296" spans="1:14" ht="13.5" thickTop="1" x14ac:dyDescent="0.2">
      <c r="A296" s="2185" t="s">
        <v>996</v>
      </c>
      <c r="B296" s="2186"/>
      <c r="C296" s="613"/>
      <c r="D296" s="615"/>
      <c r="E296" s="613"/>
      <c r="F296" s="613"/>
      <c r="G296" s="613"/>
      <c r="H296" s="684"/>
      <c r="I296" s="613"/>
      <c r="J296" s="613"/>
      <c r="K296" s="1681">
        <f>'Revenues 9-14'!G268-'Expenditures 15-22'!K295</f>
        <v>137412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8" t="s">
        <v>143</v>
      </c>
      <c r="B298" s="216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3"/>
      <c r="D301" s="463"/>
      <c r="E301" s="463"/>
      <c r="F301" s="463"/>
      <c r="G301" s="463"/>
      <c r="H301" s="463"/>
      <c r="I301" s="464"/>
      <c r="J301" s="464"/>
      <c r="K301" s="1668">
        <f>SUM(C301:J301)</f>
        <v>0</v>
      </c>
      <c r="L301" s="464"/>
    </row>
    <row r="302" spans="1:14" ht="13.5" customHeight="1" x14ac:dyDescent="0.2">
      <c r="A302" s="1514" t="s">
        <v>980</v>
      </c>
      <c r="B302" s="611" t="s">
        <v>574</v>
      </c>
      <c r="C302" s="463"/>
      <c r="D302" s="463"/>
      <c r="E302" s="463"/>
      <c r="F302" s="463"/>
      <c r="G302" s="463"/>
      <c r="H302" s="463"/>
      <c r="I302" s="464"/>
      <c r="J302" s="464"/>
      <c r="K302" s="1668">
        <f>SUM(C302:J302)</f>
        <v>0</v>
      </c>
      <c r="L302" s="463"/>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1835</v>
      </c>
      <c r="B306" s="687" t="s">
        <v>1830</v>
      </c>
      <c r="C306" s="613"/>
      <c r="D306" s="613"/>
      <c r="E306" s="464"/>
      <c r="F306" s="613"/>
      <c r="G306" s="613"/>
      <c r="H306" s="464"/>
      <c r="I306" s="613"/>
      <c r="J306" s="613"/>
      <c r="K306" s="1668">
        <f>SUM(E306,H306)</f>
        <v>0</v>
      </c>
      <c r="L306" s="464"/>
    </row>
    <row r="307" spans="1:14" x14ac:dyDescent="0.2">
      <c r="A307" s="1501" t="s">
        <v>304</v>
      </c>
      <c r="B307" s="611">
        <v>4120</v>
      </c>
      <c r="C307" s="613"/>
      <c r="D307" s="613"/>
      <c r="E307" s="464"/>
      <c r="F307" s="613"/>
      <c r="G307" s="613"/>
      <c r="H307" s="464"/>
      <c r="I307" s="474"/>
      <c r="J307" s="613"/>
      <c r="K307" s="1668">
        <f>SUM(E307,H307)</f>
        <v>0</v>
      </c>
      <c r="L307" s="463"/>
    </row>
    <row r="308" spans="1:14" x14ac:dyDescent="0.2">
      <c r="A308" s="1501" t="s">
        <v>697</v>
      </c>
      <c r="B308" s="611">
        <v>4140</v>
      </c>
      <c r="C308" s="613"/>
      <c r="D308" s="613"/>
      <c r="E308" s="464"/>
      <c r="F308" s="613"/>
      <c r="G308" s="613"/>
      <c r="H308" s="464"/>
      <c r="I308" s="474"/>
      <c r="J308" s="613"/>
      <c r="K308" s="1668">
        <f>SUM(E308,H308)</f>
        <v>0</v>
      </c>
      <c r="L308" s="463"/>
    </row>
    <row r="309" spans="1:14" ht="12.75" customHeight="1" x14ac:dyDescent="0.2">
      <c r="A309" s="1505" t="s">
        <v>698</v>
      </c>
      <c r="B309" s="625">
        <v>4190</v>
      </c>
      <c r="C309" s="613"/>
      <c r="D309" s="613"/>
      <c r="E309" s="464"/>
      <c r="F309" s="613"/>
      <c r="G309" s="613"/>
      <c r="H309" s="464"/>
      <c r="I309" s="474"/>
      <c r="J309" s="613"/>
      <c r="K309" s="1668">
        <f>SUM(E309,H309)</f>
        <v>0</v>
      </c>
      <c r="L309" s="463"/>
    </row>
    <row r="310" spans="1:14" ht="12.75" customHeight="1" thickBot="1" x14ac:dyDescent="0.25">
      <c r="A310" s="1665" t="s">
        <v>1487</v>
      </c>
      <c r="B310" s="1672" t="s">
        <v>860</v>
      </c>
      <c r="C310" s="613"/>
      <c r="D310" s="613"/>
      <c r="E310" s="1667">
        <f>SUM(E306:E309)</f>
        <v>0</v>
      </c>
      <c r="F310" s="613"/>
      <c r="G310" s="613"/>
      <c r="H310" s="1667">
        <f>SUM(H306:H309)</f>
        <v>0</v>
      </c>
      <c r="I310" s="474"/>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row>
    <row r="312" spans="1:14" s="671" customFormat="1" ht="12.75" customHeight="1" thickTop="1" thickBot="1" x14ac:dyDescent="0.25">
      <c r="A312" s="2173" t="s">
        <v>277</v>
      </c>
      <c r="B312" s="2174"/>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9" t="s">
        <v>996</v>
      </c>
      <c r="B313" s="2170"/>
      <c r="C313" s="623"/>
      <c r="D313" s="623"/>
      <c r="E313" s="623"/>
      <c r="F313" s="623"/>
      <c r="G313" s="623"/>
      <c r="H313" s="623"/>
      <c r="I313" s="623"/>
      <c r="J313" s="623"/>
      <c r="K313" s="1682">
        <f>'Revenues 9-14'!H268-'Expenditures 15-22'!K312</f>
        <v>229196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82" t="s">
        <v>149</v>
      </c>
      <c r="B315" s="218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4" t="s">
        <v>898</v>
      </c>
      <c r="B317" s="218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4"/>
      <c r="D319" s="464"/>
      <c r="E319" s="464"/>
      <c r="F319" s="464"/>
      <c r="G319" s="464"/>
      <c r="H319" s="464"/>
      <c r="I319" s="464"/>
      <c r="J319" s="464"/>
      <c r="K319" s="1668">
        <f>SUM(C319:J319)</f>
        <v>0</v>
      </c>
      <c r="L319" s="464"/>
      <c r="M319" s="662"/>
      <c r="N319" s="662"/>
    </row>
    <row r="320" spans="1:14" s="671" customFormat="1" x14ac:dyDescent="0.2">
      <c r="A320" s="1520" t="s">
        <v>1790</v>
      </c>
      <c r="B320" s="695" t="s">
        <v>282</v>
      </c>
      <c r="C320" s="464"/>
      <c r="D320" s="464">
        <v>50566</v>
      </c>
      <c r="E320" s="464"/>
      <c r="F320" s="464"/>
      <c r="G320" s="464"/>
      <c r="H320" s="464"/>
      <c r="I320" s="464"/>
      <c r="J320" s="464"/>
      <c r="K320" s="1668">
        <f t="shared" ref="K320:K327" si="24">SUM(C320:J320)</f>
        <v>50566</v>
      </c>
      <c r="L320" s="464">
        <v>60000</v>
      </c>
      <c r="M320" s="662"/>
      <c r="N320" s="662"/>
    </row>
    <row r="321" spans="1:14" s="671" customFormat="1" x14ac:dyDescent="0.2">
      <c r="A321" s="1516" t="s">
        <v>300</v>
      </c>
      <c r="B321" s="694" t="s">
        <v>283</v>
      </c>
      <c r="C321" s="464"/>
      <c r="D321" s="464"/>
      <c r="E321" s="464"/>
      <c r="F321" s="464"/>
      <c r="G321" s="464"/>
      <c r="H321" s="464"/>
      <c r="I321" s="464"/>
      <c r="J321" s="464"/>
      <c r="K321" s="1668">
        <f t="shared" si="24"/>
        <v>0</v>
      </c>
      <c r="L321" s="464">
        <v>5000</v>
      </c>
      <c r="M321" s="662"/>
      <c r="N321" s="662"/>
    </row>
    <row r="322" spans="1:14" s="671" customFormat="1" x14ac:dyDescent="0.2">
      <c r="A322" s="1516" t="s">
        <v>238</v>
      </c>
      <c r="B322" s="694" t="s">
        <v>284</v>
      </c>
      <c r="C322" s="464"/>
      <c r="D322" s="464"/>
      <c r="E322" s="464">
        <v>8204</v>
      </c>
      <c r="F322" s="464"/>
      <c r="G322" s="464"/>
      <c r="H322" s="464"/>
      <c r="I322" s="464"/>
      <c r="J322" s="464"/>
      <c r="K322" s="1668">
        <f t="shared" si="24"/>
        <v>8204</v>
      </c>
      <c r="L322" s="464">
        <v>8225</v>
      </c>
      <c r="M322" s="662"/>
      <c r="N322" s="662"/>
    </row>
    <row r="323" spans="1:14" s="671" customFormat="1" x14ac:dyDescent="0.2">
      <c r="A323" s="1516" t="s">
        <v>702</v>
      </c>
      <c r="B323" s="694" t="s">
        <v>285</v>
      </c>
      <c r="C323" s="464"/>
      <c r="D323" s="464"/>
      <c r="E323" s="464"/>
      <c r="F323" s="464"/>
      <c r="G323" s="464"/>
      <c r="H323" s="464"/>
      <c r="I323" s="464"/>
      <c r="J323" s="464"/>
      <c r="K323" s="1668">
        <f t="shared" si="24"/>
        <v>0</v>
      </c>
      <c r="L323" s="464"/>
      <c r="M323" s="662"/>
      <c r="N323" s="662"/>
    </row>
    <row r="324" spans="1:14" s="671" customFormat="1" x14ac:dyDescent="0.2">
      <c r="A324" s="1516" t="s">
        <v>239</v>
      </c>
      <c r="B324" s="694" t="s">
        <v>286</v>
      </c>
      <c r="C324" s="464"/>
      <c r="D324" s="464"/>
      <c r="E324" s="464"/>
      <c r="F324" s="464"/>
      <c r="G324" s="464"/>
      <c r="H324" s="464"/>
      <c r="I324" s="464"/>
      <c r="J324" s="464"/>
      <c r="K324" s="1668">
        <f t="shared" si="24"/>
        <v>0</v>
      </c>
      <c r="L324" s="464"/>
      <c r="M324" s="662"/>
      <c r="N324" s="662"/>
    </row>
    <row r="325" spans="1:14" s="671" customFormat="1" ht="22.5" x14ac:dyDescent="0.2">
      <c r="A325" s="1516" t="s">
        <v>1029</v>
      </c>
      <c r="B325" s="695" t="s">
        <v>287</v>
      </c>
      <c r="C325" s="464">
        <v>353074</v>
      </c>
      <c r="D325" s="464"/>
      <c r="E325" s="464">
        <v>106080</v>
      </c>
      <c r="F325" s="464"/>
      <c r="G325" s="464">
        <v>9978</v>
      </c>
      <c r="H325" s="464"/>
      <c r="I325" s="464"/>
      <c r="J325" s="464"/>
      <c r="K325" s="1668">
        <f t="shared" si="24"/>
        <v>469132</v>
      </c>
      <c r="L325" s="464">
        <v>559565</v>
      </c>
      <c r="M325" s="662"/>
      <c r="N325" s="662"/>
    </row>
    <row r="326" spans="1:14" s="671" customFormat="1" x14ac:dyDescent="0.2">
      <c r="A326" s="1516" t="s">
        <v>1030</v>
      </c>
      <c r="B326" s="694" t="s">
        <v>288</v>
      </c>
      <c r="C326" s="464"/>
      <c r="D326" s="464"/>
      <c r="E326" s="464"/>
      <c r="F326" s="464"/>
      <c r="G326" s="464"/>
      <c r="H326" s="464"/>
      <c r="I326" s="464"/>
      <c r="J326" s="464"/>
      <c r="K326" s="1668">
        <f t="shared" si="24"/>
        <v>0</v>
      </c>
      <c r="L326" s="464"/>
      <c r="M326" s="662"/>
      <c r="N326" s="662"/>
    </row>
    <row r="327" spans="1:14" s="671" customFormat="1" x14ac:dyDescent="0.2">
      <c r="A327" s="1516" t="s">
        <v>971</v>
      </c>
      <c r="B327" s="694" t="s">
        <v>289</v>
      </c>
      <c r="C327" s="464"/>
      <c r="D327" s="464"/>
      <c r="E327" s="464">
        <v>4451</v>
      </c>
      <c r="F327" s="464"/>
      <c r="G327" s="464"/>
      <c r="H327" s="464"/>
      <c r="I327" s="464"/>
      <c r="J327" s="464"/>
      <c r="K327" s="1668">
        <f t="shared" si="24"/>
        <v>4451</v>
      </c>
      <c r="L327" s="464">
        <v>10000</v>
      </c>
      <c r="M327" s="662"/>
      <c r="N327" s="662"/>
    </row>
    <row r="328" spans="1:14" s="671" customFormat="1" x14ac:dyDescent="0.2">
      <c r="A328" s="1517" t="s">
        <v>472</v>
      </c>
      <c r="B328" s="687" t="s">
        <v>1132</v>
      </c>
      <c r="C328" s="471"/>
      <c r="D328" s="471"/>
      <c r="E328" s="471">
        <v>96871</v>
      </c>
      <c r="F328" s="471"/>
      <c r="G328" s="471"/>
      <c r="H328" s="471"/>
      <c r="I328" s="471"/>
      <c r="J328" s="471"/>
      <c r="K328" s="1696">
        <f>SUM(C328:J328)</f>
        <v>96871</v>
      </c>
      <c r="L328" s="471">
        <v>96875</v>
      </c>
      <c r="M328" s="662"/>
      <c r="N328" s="662"/>
    </row>
    <row r="329" spans="1:14" s="671" customFormat="1" x14ac:dyDescent="0.2">
      <c r="A329" s="1517" t="s">
        <v>1133</v>
      </c>
      <c r="B329" s="687" t="s">
        <v>1134</v>
      </c>
      <c r="C329" s="471"/>
      <c r="D329" s="471"/>
      <c r="E329" s="471"/>
      <c r="F329" s="471"/>
      <c r="G329" s="471"/>
      <c r="H329" s="471"/>
      <c r="I329" s="471"/>
      <c r="J329" s="471"/>
      <c r="K329" s="1696">
        <f>SUM(C329:J329)</f>
        <v>0</v>
      </c>
      <c r="L329" s="471"/>
      <c r="M329" s="662"/>
      <c r="N329" s="662"/>
    </row>
    <row r="330" spans="1:14" s="671" customFormat="1" ht="12.75" customHeight="1" thickBot="1" x14ac:dyDescent="0.25">
      <c r="A330" s="1697" t="s">
        <v>717</v>
      </c>
      <c r="B330" s="1666" t="s">
        <v>569</v>
      </c>
      <c r="C330" s="1667">
        <f>SUM(C319:C329)</f>
        <v>353074</v>
      </c>
      <c r="D330" s="1667">
        <f t="shared" ref="D330:J330" si="25">SUM(D319:D329)</f>
        <v>50566</v>
      </c>
      <c r="E330" s="1667">
        <f t="shared" si="25"/>
        <v>215606</v>
      </c>
      <c r="F330" s="1667">
        <f t="shared" si="25"/>
        <v>0</v>
      </c>
      <c r="G330" s="1667">
        <f t="shared" si="25"/>
        <v>9978</v>
      </c>
      <c r="H330" s="1667">
        <f t="shared" si="25"/>
        <v>0</v>
      </c>
      <c r="I330" s="1667">
        <f t="shared" si="25"/>
        <v>0</v>
      </c>
      <c r="J330" s="1667">
        <f t="shared" si="25"/>
        <v>0</v>
      </c>
      <c r="K330" s="1667">
        <f>SUM(K319:K329)</f>
        <v>629224</v>
      </c>
      <c r="L330" s="1667">
        <f>SUM(L319:L329)</f>
        <v>739665</v>
      </c>
      <c r="M330" s="662"/>
      <c r="N330" s="662"/>
    </row>
    <row r="331" spans="1:14" s="671" customFormat="1" ht="12.75" customHeight="1" thickTop="1" x14ac:dyDescent="0.2">
      <c r="A331" s="1828" t="s">
        <v>1836</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1830</v>
      </c>
      <c r="C332" s="1830"/>
      <c r="D332" s="1830"/>
      <c r="E332" s="1830"/>
      <c r="F332" s="1830"/>
      <c r="G332" s="1830"/>
      <c r="H332" s="464"/>
      <c r="I332" s="1830"/>
      <c r="J332" s="1830"/>
      <c r="K332" s="1668">
        <f>H332</f>
        <v>0</v>
      </c>
      <c r="L332" s="464"/>
      <c r="M332" s="662"/>
      <c r="N332" s="662"/>
    </row>
    <row r="333" spans="1:14" s="671" customFormat="1" ht="12.75" customHeight="1" x14ac:dyDescent="0.2">
      <c r="A333" s="1829" t="s">
        <v>304</v>
      </c>
      <c r="B333" s="1824" t="s">
        <v>1832</v>
      </c>
      <c r="C333" s="1830"/>
      <c r="D333" s="1830"/>
      <c r="E333" s="1830"/>
      <c r="F333" s="1830"/>
      <c r="G333" s="1830"/>
      <c r="H333" s="464"/>
      <c r="I333" s="1830"/>
      <c r="J333" s="1830"/>
      <c r="K333" s="1668">
        <f>H333</f>
        <v>0</v>
      </c>
      <c r="L333" s="464"/>
      <c r="M333" s="662"/>
      <c r="N333" s="662"/>
    </row>
    <row r="334" spans="1:14" s="671" customFormat="1" ht="12.75" customHeight="1" thickBot="1" x14ac:dyDescent="0.25">
      <c r="A334" s="1829" t="s">
        <v>1837</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5"/>
      <c r="I337" s="635"/>
      <c r="J337" s="635"/>
      <c r="K337" s="1668">
        <f>H337</f>
        <v>0</v>
      </c>
      <c r="L337" s="475"/>
    </row>
    <row r="338" spans="1:14" ht="12.75" customHeight="1" x14ac:dyDescent="0.2">
      <c r="A338" s="1515" t="s">
        <v>1170</v>
      </c>
      <c r="B338" s="687" t="s">
        <v>617</v>
      </c>
      <c r="C338" s="635"/>
      <c r="D338" s="635"/>
      <c r="E338" s="635"/>
      <c r="F338" s="635"/>
      <c r="G338" s="635"/>
      <c r="H338" s="475"/>
      <c r="I338" s="635"/>
      <c r="J338" s="635"/>
      <c r="K338" s="1668">
        <f>H338</f>
        <v>0</v>
      </c>
      <c r="L338" s="475"/>
    </row>
    <row r="339" spans="1:14" x14ac:dyDescent="0.2">
      <c r="A339" s="1501" t="s">
        <v>901</v>
      </c>
      <c r="B339" s="625">
        <v>5150</v>
      </c>
      <c r="C339" s="635"/>
      <c r="D339" s="635"/>
      <c r="E339" s="635"/>
      <c r="F339" s="635"/>
      <c r="G339" s="635"/>
      <c r="H339" s="464"/>
      <c r="I339" s="635"/>
      <c r="J339" s="635"/>
      <c r="K339" s="1668">
        <f>H339</f>
        <v>0</v>
      </c>
      <c r="L339" s="464"/>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4"/>
      <c r="F341" s="465"/>
      <c r="G341" s="465"/>
      <c r="H341" s="474"/>
      <c r="I341" s="474"/>
      <c r="J341" s="465"/>
      <c r="K341" s="474"/>
      <c r="L341" s="573"/>
    </row>
    <row r="342" spans="1:14" ht="12.75" customHeight="1" thickTop="1" thickBot="1" x14ac:dyDescent="0.25">
      <c r="A342" s="1683" t="s">
        <v>505</v>
      </c>
      <c r="B342" s="1698"/>
      <c r="C342" s="1667">
        <f>SUM(C330)</f>
        <v>353074</v>
      </c>
      <c r="D342" s="1667">
        <f>SUM(D330)</f>
        <v>50566</v>
      </c>
      <c r="E342" s="1667">
        <f>SUM(E330)</f>
        <v>215606</v>
      </c>
      <c r="F342" s="1667">
        <f>SUM(F330)</f>
        <v>0</v>
      </c>
      <c r="G342" s="1667">
        <f>SUM(G330)</f>
        <v>9978</v>
      </c>
      <c r="H342" s="1667">
        <f>SUM(H330,H334,H340)</f>
        <v>0</v>
      </c>
      <c r="I342" s="1667">
        <f>SUM(I330)</f>
        <v>0</v>
      </c>
      <c r="J342" s="1667">
        <f>SUM(J330)</f>
        <v>0</v>
      </c>
      <c r="K342" s="1667">
        <f>SUM(K330,K334,K340)</f>
        <v>629224</v>
      </c>
      <c r="L342" s="1674">
        <f>SUM(L330,L340,L341)</f>
        <v>739665</v>
      </c>
    </row>
    <row r="343" spans="1:14" ht="12.75" customHeight="1" thickTop="1" x14ac:dyDescent="0.2">
      <c r="A343" s="2171" t="s">
        <v>996</v>
      </c>
      <c r="B343" s="2172"/>
      <c r="C343" s="613"/>
      <c r="D343" s="613"/>
      <c r="E343" s="613"/>
      <c r="F343" s="613"/>
      <c r="G343" s="613"/>
      <c r="H343" s="613"/>
      <c r="I343" s="613"/>
      <c r="J343" s="613"/>
      <c r="K343" s="1681">
        <f>'Revenues 9-14'!J268-'Expenditures 15-22'!K342</f>
        <v>14574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61" t="s">
        <v>966</v>
      </c>
      <c r="B345" s="2162"/>
      <c r="C345" s="1548"/>
      <c r="D345" s="1549"/>
      <c r="E345" s="1549"/>
      <c r="F345" s="1549"/>
      <c r="G345" s="1549"/>
      <c r="H345" s="1549"/>
      <c r="I345" s="1549"/>
      <c r="J345" s="1549"/>
      <c r="K345" s="1549"/>
      <c r="L345" s="1550"/>
      <c r="M345" s="664"/>
      <c r="N345" s="664"/>
    </row>
    <row r="346" spans="1:14" s="340"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3"/>
      <c r="D348" s="463"/>
      <c r="E348" s="463"/>
      <c r="F348" s="463"/>
      <c r="G348" s="463"/>
      <c r="H348" s="463"/>
      <c r="I348" s="464"/>
      <c r="J348" s="464"/>
      <c r="K348" s="1668">
        <f>SUM(C348:J348)</f>
        <v>0</v>
      </c>
      <c r="L348" s="463">
        <v>10000</v>
      </c>
    </row>
    <row r="349" spans="1:14" x14ac:dyDescent="0.2">
      <c r="A349" s="1501" t="s">
        <v>197</v>
      </c>
      <c r="B349" s="611">
        <v>2540</v>
      </c>
      <c r="C349" s="463"/>
      <c r="D349" s="463"/>
      <c r="E349" s="463">
        <f>13258-9334</f>
        <v>3924</v>
      </c>
      <c r="F349" s="463">
        <v>80</v>
      </c>
      <c r="G349" s="463">
        <v>9334</v>
      </c>
      <c r="H349" s="463"/>
      <c r="I349" s="464"/>
      <c r="J349" s="464"/>
      <c r="K349" s="1668">
        <f>SUM(C349:J349)</f>
        <v>13338</v>
      </c>
      <c r="L349" s="463">
        <v>16500</v>
      </c>
    </row>
    <row r="350" spans="1:14" ht="12.75" customHeight="1" thickBot="1" x14ac:dyDescent="0.25">
      <c r="A350" s="1665" t="s">
        <v>719</v>
      </c>
      <c r="B350" s="1666" t="s">
        <v>35</v>
      </c>
      <c r="C350" s="1667">
        <f>SUM(C348:C349)</f>
        <v>0</v>
      </c>
      <c r="D350" s="1667">
        <f t="shared" ref="D350:L350" si="26">SUM(D348:D349)</f>
        <v>0</v>
      </c>
      <c r="E350" s="1667">
        <f t="shared" si="26"/>
        <v>3924</v>
      </c>
      <c r="F350" s="1667">
        <f t="shared" si="26"/>
        <v>80</v>
      </c>
      <c r="G350" s="1667">
        <f t="shared" si="26"/>
        <v>9334</v>
      </c>
      <c r="H350" s="1667">
        <f t="shared" si="26"/>
        <v>0</v>
      </c>
      <c r="I350" s="1667">
        <f t="shared" si="26"/>
        <v>0</v>
      </c>
      <c r="J350" s="1667">
        <f t="shared" si="26"/>
        <v>0</v>
      </c>
      <c r="K350" s="1667">
        <f t="shared" si="26"/>
        <v>13338</v>
      </c>
      <c r="L350" s="1667">
        <f t="shared" si="26"/>
        <v>26500</v>
      </c>
    </row>
    <row r="351" spans="1:14" ht="12.75" customHeight="1" thickTop="1" x14ac:dyDescent="0.2">
      <c r="A351" s="1507" t="s">
        <v>980</v>
      </c>
      <c r="B351" s="640" t="s">
        <v>574</v>
      </c>
      <c r="C351" s="478"/>
      <c r="D351" s="478"/>
      <c r="E351" s="478"/>
      <c r="F351" s="478"/>
      <c r="G351" s="478"/>
      <c r="H351" s="478"/>
      <c r="I351" s="475"/>
      <c r="J351" s="475"/>
      <c r="K351" s="612">
        <f>SUM(C351:J351)</f>
        <v>0</v>
      </c>
      <c r="L351" s="478"/>
    </row>
    <row r="352" spans="1:14" ht="12.75" customHeight="1" thickBot="1" x14ac:dyDescent="0.25">
      <c r="A352" s="1665" t="s">
        <v>624</v>
      </c>
      <c r="B352" s="1672" t="s">
        <v>569</v>
      </c>
      <c r="C352" s="1667">
        <f>SUM(C350:C351)</f>
        <v>0</v>
      </c>
      <c r="D352" s="1667">
        <f t="shared" ref="D352:L352" si="27">SUM(D350:D351)</f>
        <v>0</v>
      </c>
      <c r="E352" s="1667">
        <f t="shared" si="27"/>
        <v>3924</v>
      </c>
      <c r="F352" s="1667">
        <f t="shared" si="27"/>
        <v>80</v>
      </c>
      <c r="G352" s="1667">
        <f t="shared" si="27"/>
        <v>9334</v>
      </c>
      <c r="H352" s="1667">
        <f t="shared" si="27"/>
        <v>0</v>
      </c>
      <c r="I352" s="1667">
        <f t="shared" si="27"/>
        <v>0</v>
      </c>
      <c r="J352" s="1667">
        <f t="shared" si="27"/>
        <v>0</v>
      </c>
      <c r="K352" s="1667">
        <f t="shared" si="27"/>
        <v>13338</v>
      </c>
      <c r="L352" s="1667">
        <f t="shared" si="27"/>
        <v>26500</v>
      </c>
    </row>
    <row r="353" spans="1:14" s="340"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1838</v>
      </c>
      <c r="B354" s="680" t="s">
        <v>1830</v>
      </c>
      <c r="C354" s="613"/>
      <c r="D354" s="613"/>
      <c r="E354" s="613"/>
      <c r="F354" s="613"/>
      <c r="G354" s="613"/>
      <c r="H354" s="471"/>
      <c r="I354" s="698"/>
      <c r="J354" s="613"/>
      <c r="K354" s="1696">
        <f>H354</f>
        <v>0</v>
      </c>
      <c r="L354" s="468"/>
    </row>
    <row r="355" spans="1:14" ht="12.75" customHeight="1" x14ac:dyDescent="0.2">
      <c r="A355" s="1510" t="s">
        <v>1839</v>
      </c>
      <c r="B355" s="687" t="s">
        <v>1832</v>
      </c>
      <c r="C355" s="613"/>
      <c r="D355" s="613"/>
      <c r="E355" s="613"/>
      <c r="F355" s="613"/>
      <c r="G355" s="613"/>
      <c r="H355" s="464"/>
      <c r="I355" s="698"/>
      <c r="J355" s="613"/>
      <c r="K355" s="1740">
        <f>H355</f>
        <v>0</v>
      </c>
      <c r="L355" s="464"/>
    </row>
    <row r="356" spans="1:14" ht="12.75" customHeight="1" x14ac:dyDescent="0.2">
      <c r="A356" s="1831" t="s">
        <v>698</v>
      </c>
      <c r="B356" s="680" t="s">
        <v>558</v>
      </c>
      <c r="C356" s="613"/>
      <c r="D356" s="613"/>
      <c r="E356" s="613"/>
      <c r="F356" s="613"/>
      <c r="G356" s="613"/>
      <c r="H356" s="476"/>
      <c r="I356" s="698"/>
      <c r="J356" s="613"/>
      <c r="K356" s="1737">
        <f>H356</f>
        <v>0</v>
      </c>
      <c r="L356" s="476"/>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0"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0"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4"/>
      <c r="I360" s="613"/>
      <c r="J360" s="613"/>
      <c r="K360" s="1668">
        <f>SUM(C360:J360)</f>
        <v>0</v>
      </c>
      <c r="L360" s="463"/>
    </row>
    <row r="361" spans="1:14" ht="12.75" customHeight="1" x14ac:dyDescent="0.2">
      <c r="A361" s="1502" t="s">
        <v>619</v>
      </c>
      <c r="B361" s="599" t="s">
        <v>618</v>
      </c>
      <c r="C361" s="613"/>
      <c r="D361" s="613"/>
      <c r="E361" s="613"/>
      <c r="F361" s="613"/>
      <c r="G361" s="613"/>
      <c r="H361" s="464"/>
      <c r="I361" s="613"/>
      <c r="J361" s="613"/>
      <c r="K361" s="1668">
        <f>SUM(C361:J361)</f>
        <v>0</v>
      </c>
      <c r="L361" s="463"/>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6"/>
      <c r="I363" s="635"/>
      <c r="J363" s="635"/>
      <c r="K363" s="1696">
        <f>SUM(C363:J363)</f>
        <v>0</v>
      </c>
      <c r="L363" s="476"/>
      <c r="M363" s="662"/>
      <c r="N363" s="662"/>
    </row>
    <row r="364" spans="1:14" s="705" customFormat="1" ht="29.25" customHeight="1" x14ac:dyDescent="0.2">
      <c r="A364" s="699" t="s">
        <v>1658</v>
      </c>
      <c r="B364" s="700">
        <v>5300</v>
      </c>
      <c r="C364" s="701"/>
      <c r="D364" s="702"/>
      <c r="E364" s="702"/>
      <c r="F364" s="701"/>
      <c r="G364" s="702"/>
      <c r="H364" s="703"/>
      <c r="I364" s="702"/>
      <c r="J364" s="702"/>
      <c r="K364" s="1668">
        <f>SUM(C364:J364)</f>
        <v>0</v>
      </c>
      <c r="L364" s="704"/>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0" customFormat="1" ht="15.75" customHeight="1" thickTop="1" thickBot="1" x14ac:dyDescent="0.25">
      <c r="A366" s="1603" t="s">
        <v>949</v>
      </c>
      <c r="B366" s="1610" t="s">
        <v>861</v>
      </c>
      <c r="C366" s="620"/>
      <c r="D366" s="620"/>
      <c r="E366" s="620"/>
      <c r="F366" s="620"/>
      <c r="G366" s="620"/>
      <c r="H366" s="620"/>
      <c r="I366" s="620"/>
      <c r="J366" s="613"/>
      <c r="K366" s="620"/>
      <c r="L366" s="570"/>
      <c r="M366" s="606"/>
      <c r="N366" s="606"/>
    </row>
    <row r="367" spans="1:14" ht="12.75" customHeight="1" thickTop="1" thickBot="1" x14ac:dyDescent="0.25">
      <c r="A367" s="1689" t="s">
        <v>505</v>
      </c>
      <c r="B367" s="1701"/>
      <c r="C367" s="1667">
        <f t="shared" ref="C367:L367" si="28">SUM(C352,C357,C365,C366)</f>
        <v>0</v>
      </c>
      <c r="D367" s="1667">
        <f t="shared" si="28"/>
        <v>0</v>
      </c>
      <c r="E367" s="1667">
        <f t="shared" si="28"/>
        <v>3924</v>
      </c>
      <c r="F367" s="1667">
        <f t="shared" si="28"/>
        <v>80</v>
      </c>
      <c r="G367" s="1667">
        <f t="shared" si="28"/>
        <v>9334</v>
      </c>
      <c r="H367" s="1667">
        <f t="shared" si="28"/>
        <v>0</v>
      </c>
      <c r="I367" s="1667">
        <f t="shared" si="28"/>
        <v>0</v>
      </c>
      <c r="J367" s="1667">
        <f t="shared" si="28"/>
        <v>0</v>
      </c>
      <c r="K367" s="1667">
        <f t="shared" si="28"/>
        <v>13338</v>
      </c>
      <c r="L367" s="1667">
        <f t="shared" si="28"/>
        <v>26500</v>
      </c>
    </row>
    <row r="368" spans="1:14" ht="13.5" thickTop="1" x14ac:dyDescent="0.2">
      <c r="A368" s="2185" t="s">
        <v>996</v>
      </c>
      <c r="B368" s="2186"/>
      <c r="C368" s="651"/>
      <c r="D368" s="651"/>
      <c r="E368" s="623"/>
      <c r="F368" s="623"/>
      <c r="G368" s="623"/>
      <c r="H368" s="623"/>
      <c r="I368" s="623"/>
      <c r="J368" s="620"/>
      <c r="K368" s="1668">
        <f>'Revenues 9-14'!K268-'Expenditures 15-22'!K367</f>
        <v>76972</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39"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www.w3.org/XML/1998/namespace"/>
    <ds:schemaRef ds:uri="d21dc803-237d-4c68-8692-8d731fd29118"/>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Sheet2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2019-09-23T12:22:16Z</cp:lastPrinted>
  <dcterms:created xsi:type="dcterms:W3CDTF">2003-10-29T19:06:34Z</dcterms:created>
  <dcterms:modified xsi:type="dcterms:W3CDTF">2019-12-23T20:01:53Z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