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6CB5A89-F6EF-4F41-BB52-A1872F3CBD3A}"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1" sheetId="184" r:id="rId29"/>
    <sheet name=" SEFA.2" sheetId="185" r:id="rId30"/>
    <sheet name="SEFA NOTES" sheetId="173" r:id="rId31"/>
    <sheet name="SF&amp;QC Sec-1" sheetId="174" r:id="rId32"/>
    <sheet name="SF&amp;QC Sec-2" sheetId="183" r:id="rId33"/>
    <sheet name="SF&amp;QC Sec-2.1" sheetId="187" r:id="rId34"/>
    <sheet name="SF&amp;QC Sec-3" sheetId="176" r:id="rId35"/>
    <sheet name="SSPAF" sheetId="177" r:id="rId36"/>
  </sheets>
  <definedNames>
    <definedName name="_xlnm.Print_Area" localSheetId="27">' SEFA'!$B$1:$M$46</definedName>
    <definedName name="_xlnm.Print_Area" localSheetId="28">' SEFA.1'!$B$1:$M$46</definedName>
    <definedName name="_xlnm.Print_Area" localSheetId="29">' SEFA.2'!$B$1:$M$46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ADDRS1">#REF!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20" i="127" l="1"/>
  <c r="C107" i="5"/>
  <c r="E51" i="29"/>
  <c r="E38" i="3"/>
  <c r="C34" i="173"/>
  <c r="C33" i="173"/>
  <c r="B4" i="187" l="1"/>
  <c r="K19" i="185" l="1"/>
  <c r="F19" i="185"/>
  <c r="C35" i="127" l="1"/>
  <c r="C21" i="127"/>
  <c r="G40" i="174" l="1"/>
  <c r="K26" i="185"/>
  <c r="I26" i="185"/>
  <c r="G26" i="185"/>
  <c r="F26" i="185"/>
  <c r="E26" i="185"/>
  <c r="I19" i="185"/>
  <c r="G19" i="185"/>
  <c r="E19" i="185"/>
  <c r="L18" i="185"/>
  <c r="L17" i="185"/>
  <c r="L25" i="185"/>
  <c r="L24" i="185"/>
  <c r="K14" i="185"/>
  <c r="I14" i="185"/>
  <c r="G14" i="185"/>
  <c r="F14" i="185"/>
  <c r="E14" i="185"/>
  <c r="L13" i="185"/>
  <c r="L12" i="185"/>
  <c r="K27" i="185" l="1"/>
  <c r="K24" i="179" s="1"/>
  <c r="L19" i="185"/>
  <c r="I27" i="185"/>
  <c r="I24" i="179" s="1"/>
  <c r="E27" i="185"/>
  <c r="E24" i="179" s="1"/>
  <c r="L14" i="185"/>
  <c r="F27" i="185"/>
  <c r="F24" i="179" s="1"/>
  <c r="G27" i="185"/>
  <c r="G24" i="179" s="1"/>
  <c r="L26" i="185"/>
  <c r="L27" i="185" l="1"/>
  <c r="L24" i="179" s="1"/>
  <c r="L22" i="184"/>
  <c r="K20" i="184"/>
  <c r="I20" i="184"/>
  <c r="G39" i="174" s="1"/>
  <c r="G20" i="184"/>
  <c r="F20" i="184"/>
  <c r="E20" i="184"/>
  <c r="L19" i="184"/>
  <c r="L18" i="184"/>
  <c r="L20" i="184" s="1"/>
  <c r="K16" i="184" l="1"/>
  <c r="K24" i="184" s="1"/>
  <c r="I16" i="184"/>
  <c r="I24" i="184" s="1"/>
  <c r="G16" i="184"/>
  <c r="G24" i="184" s="1"/>
  <c r="F16" i="184"/>
  <c r="F24" i="184" s="1"/>
  <c r="F20" i="185" s="1"/>
  <c r="E16" i="184"/>
  <c r="E24" i="184" s="1"/>
  <c r="L15" i="184"/>
  <c r="L14" i="184"/>
  <c r="L13" i="184"/>
  <c r="L13" i="179"/>
  <c r="B4" i="185"/>
  <c r="B4" i="184"/>
  <c r="K21" i="179"/>
  <c r="I21" i="179"/>
  <c r="G21" i="179"/>
  <c r="F21" i="179"/>
  <c r="E23" i="179" l="1"/>
  <c r="E20" i="185"/>
  <c r="L16" i="184"/>
  <c r="L24" i="184" s="1"/>
  <c r="L23" i="179" s="1"/>
  <c r="G38" i="174"/>
  <c r="F23" i="179"/>
  <c r="F25" i="179" s="1"/>
  <c r="G23" i="179"/>
  <c r="G25" i="179" s="1"/>
  <c r="G20" i="185"/>
  <c r="K23" i="179"/>
  <c r="K25" i="179" s="1"/>
  <c r="K20" i="185"/>
  <c r="I23" i="179"/>
  <c r="I25" i="179" s="1"/>
  <c r="D45" i="174" s="1"/>
  <c r="I20" i="185"/>
  <c r="H182" i="29"/>
  <c r="L20" i="185" l="1"/>
  <c r="L25" i="179"/>
  <c r="E21" i="179"/>
  <c r="E25" i="179" s="1"/>
  <c r="C14" i="127" l="1"/>
  <c r="C51" i="127" l="1"/>
  <c r="C44" i="127"/>
  <c r="B4" i="183" l="1"/>
  <c r="L39" i="3"/>
  <c r="F39" i="181"/>
  <c r="F38" i="181"/>
  <c r="G38" i="181" s="1"/>
  <c r="F37" i="181"/>
  <c r="G37" i="181" s="1"/>
  <c r="F36" i="181"/>
  <c r="G36" i="181" s="1"/>
  <c r="F35" i="181"/>
  <c r="G35" i="181" s="1"/>
  <c r="F34" i="181"/>
  <c r="G34" i="181" s="1"/>
  <c r="F33" i="181"/>
  <c r="G33" i="181" s="1"/>
  <c r="F32" i="181"/>
  <c r="G32" i="181" s="1"/>
  <c r="F31" i="181"/>
  <c r="F30" i="181"/>
  <c r="G30" i="181" s="1"/>
  <c r="F29" i="181"/>
  <c r="G29" i="181" s="1"/>
  <c r="F28" i="181"/>
  <c r="G28" i="181" s="1"/>
  <c r="F27" i="181"/>
  <c r="G27" i="181" s="1"/>
  <c r="F26" i="181"/>
  <c r="G26" i="181" s="1"/>
  <c r="F25" i="181"/>
  <c r="G25" i="181" s="1"/>
  <c r="B15" i="7"/>
  <c r="D167" i="34"/>
  <c r="D166" i="34"/>
  <c r="C167" i="34"/>
  <c r="C166" i="34"/>
  <c r="F167" i="34"/>
  <c r="F166"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s="1"/>
  <c r="K354" i="29"/>
  <c r="B7792" i="106" s="1"/>
  <c r="H357" i="29"/>
  <c r="L334" i="29"/>
  <c r="K333" i="29"/>
  <c r="B7788" i="106" s="1"/>
  <c r="K332" i="29"/>
  <c r="H334" i="29"/>
  <c r="B7789" i="106"/>
  <c r="K282" i="29"/>
  <c r="B7784" i="106" s="1"/>
  <c r="H160" i="29"/>
  <c r="K159" i="29"/>
  <c r="B7782" i="106" s="1"/>
  <c r="D7782" i="106" s="1"/>
  <c r="K158" i="29"/>
  <c r="K157" i="29"/>
  <c r="B7778" i="106" s="1"/>
  <c r="B7795" i="106"/>
  <c r="K133" i="29"/>
  <c r="B7776" i="106" s="1"/>
  <c r="D7776" i="106" s="1"/>
  <c r="B7793" i="106"/>
  <c r="B7791" i="106"/>
  <c r="B7787" i="106"/>
  <c r="B7785" i="106"/>
  <c r="B7783" i="106"/>
  <c r="B7781" i="106"/>
  <c r="B7779" i="106"/>
  <c r="B7777" i="106"/>
  <c r="B7775" i="106"/>
  <c r="B7774" i="106"/>
  <c r="L357" i="29"/>
  <c r="L285" i="29"/>
  <c r="D285" i="29"/>
  <c r="L160" i="29"/>
  <c r="L137" i="29"/>
  <c r="L139" i="29" s="1"/>
  <c r="H137" i="29"/>
  <c r="E137" i="29"/>
  <c r="E139" i="29" s="1"/>
  <c r="E38" i="181"/>
  <c r="E37" i="181"/>
  <c r="E36" i="181"/>
  <c r="E35" i="181"/>
  <c r="E34" i="181"/>
  <c r="E33" i="181"/>
  <c r="E32" i="181"/>
  <c r="E31" i="181"/>
  <c r="G31" i="181"/>
  <c r="E30" i="181"/>
  <c r="E29" i="181"/>
  <c r="E28" i="181"/>
  <c r="E27" i="181"/>
  <c r="G39" i="181"/>
  <c r="E39" i="181"/>
  <c r="E26" i="181"/>
  <c r="E25" i="18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40" i="181"/>
  <c r="B7797" i="106" s="1"/>
  <c r="D7797" i="106" s="1"/>
  <c r="E17" i="181"/>
  <c r="F17" i="181" s="1"/>
  <c r="E16" i="181"/>
  <c r="F16" i="181" s="1"/>
  <c r="G16" i="181" s="1"/>
  <c r="B4" i="179"/>
  <c r="D17" i="171"/>
  <c r="L21" i="179"/>
  <c r="L20" i="179"/>
  <c r="L19" i="179"/>
  <c r="L18" i="179"/>
  <c r="L17" i="179"/>
  <c r="L16" i="179"/>
  <c r="L15" i="179"/>
  <c r="L14" i="179"/>
  <c r="D14" i="171"/>
  <c r="D12" i="171"/>
  <c r="A10" i="169"/>
  <c r="A16" i="169"/>
  <c r="A15" i="169"/>
  <c r="A14" i="169"/>
  <c r="K18" i="169"/>
  <c r="G18" i="169"/>
  <c r="G15" i="169"/>
  <c r="I13" i="169"/>
  <c r="G11" i="169"/>
  <c r="G10" i="169"/>
  <c r="G9" i="169"/>
  <c r="G7" i="169"/>
  <c r="E7" i="169"/>
  <c r="B2" i="187"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79"/>
  <c r="A1" i="170"/>
  <c r="B1" i="174"/>
  <c r="B7773" i="106"/>
  <c r="B61" i="106"/>
  <c r="B52" i="106"/>
  <c r="B51" i="106"/>
  <c r="B49" i="106"/>
  <c r="B48" i="106"/>
  <c r="B47" i="106"/>
  <c r="B46" i="106"/>
  <c r="B45" i="106"/>
  <c r="B44" i="106"/>
  <c r="B43" i="106"/>
  <c r="B42" i="106"/>
  <c r="B41" i="106"/>
  <c r="B50" i="106"/>
  <c r="F159" i="34"/>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c r="B7734" i="106"/>
  <c r="B7726" i="106"/>
  <c r="F158" i="34"/>
  <c r="B30" i="36"/>
  <c r="B33" i="36" s="1"/>
  <c r="B43" i="36" s="1"/>
  <c r="B56" i="36" s="1"/>
  <c r="B66" i="36" s="1"/>
  <c r="B70" i="36" s="1"/>
  <c r="B74" i="36" s="1"/>
  <c r="D73" i="36"/>
  <c r="C188" i="5"/>
  <c r="B4395" i="106" s="1"/>
  <c r="D4395" i="106" s="1"/>
  <c r="C198" i="5"/>
  <c r="B5246" i="106"/>
  <c r="D5246" i="106" s="1"/>
  <c r="C204" i="5"/>
  <c r="B5260" i="106" s="1"/>
  <c r="D5260" i="106" s="1"/>
  <c r="C209" i="5"/>
  <c r="C217" i="5"/>
  <c r="B5286" i="106" s="1"/>
  <c r="D5286" i="106" s="1"/>
  <c r="C221" i="5"/>
  <c r="C252" i="5"/>
  <c r="B7761" i="106"/>
  <c r="D7761" i="106" s="1"/>
  <c r="L127" i="29"/>
  <c r="L129" i="29" s="1"/>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s="1"/>
  <c r="D74" i="106"/>
  <c r="D75" i="106"/>
  <c r="B76" i="106"/>
  <c r="D76" i="106" s="1"/>
  <c r="C13" i="3"/>
  <c r="B77" i="106" s="1"/>
  <c r="D77" i="106" s="1"/>
  <c r="D78" i="106"/>
  <c r="D79" i="106"/>
  <c r="D80" i="106"/>
  <c r="D81" i="106"/>
  <c r="D82" i="106"/>
  <c r="D83" i="106"/>
  <c r="D84" i="106"/>
  <c r="D85" i="106"/>
  <c r="B86" i="106"/>
  <c r="D86" i="106"/>
  <c r="D87" i="106"/>
  <c r="B88" i="106"/>
  <c r="D88" i="106" s="1"/>
  <c r="D89" i="106"/>
  <c r="D90" i="106"/>
  <c r="C34" i="3"/>
  <c r="B91" i="106" s="1"/>
  <c r="D91"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c r="D135" i="106"/>
  <c r="D136" i="106"/>
  <c r="D137" i="106"/>
  <c r="D138" i="106"/>
  <c r="E34" i="3"/>
  <c r="D142" i="106"/>
  <c r="D143" i="106"/>
  <c r="D144" i="106"/>
  <c r="B145" i="106"/>
  <c r="D145" i="106"/>
  <c r="D146" i="106"/>
  <c r="D147" i="106"/>
  <c r="D148" i="106"/>
  <c r="D149" i="106"/>
  <c r="D150" i="106"/>
  <c r="D151" i="106"/>
  <c r="B152" i="106"/>
  <c r="D152" i="106"/>
  <c r="B153" i="106"/>
  <c r="D153" i="106" s="1"/>
  <c r="D154" i="106"/>
  <c r="D155" i="106"/>
  <c r="B156" i="106"/>
  <c r="D156" i="106" s="1"/>
  <c r="F13" i="3"/>
  <c r="B157" i="106" s="1"/>
  <c r="D157" i="106" s="1"/>
  <c r="D158" i="106"/>
  <c r="D159" i="106"/>
  <c r="D160" i="106"/>
  <c r="D161" i="106"/>
  <c r="D162" i="106"/>
  <c r="D163" i="106"/>
  <c r="B164" i="106"/>
  <c r="D164" i="106" s="1"/>
  <c r="D165" i="106"/>
  <c r="B166" i="106"/>
  <c r="D166" i="106"/>
  <c r="D167" i="106"/>
  <c r="D168" i="106"/>
  <c r="F34" i="3"/>
  <c r="D172" i="106"/>
  <c r="B173" i="106"/>
  <c r="D173" i="106"/>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c r="B717" i="106"/>
  <c r="D717" i="106" s="1"/>
  <c r="B718" i="106"/>
  <c r="D718" i="106" s="1"/>
  <c r="B719" i="106"/>
  <c r="D719" i="106" s="1"/>
  <c r="B721" i="106"/>
  <c r="D721" i="106" s="1"/>
  <c r="B722" i="106"/>
  <c r="D722" i="106" s="1"/>
  <c r="B723" i="106"/>
  <c r="D723" i="106" s="1"/>
  <c r="B724" i="106"/>
  <c r="D724" i="106" s="1"/>
  <c r="B725" i="106"/>
  <c r="D725" i="106"/>
  <c r="B726" i="106"/>
  <c r="D726" i="106" s="1"/>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c r="B794" i="106"/>
  <c r="D794" i="106"/>
  <c r="D57" i="29"/>
  <c r="B795" i="106"/>
  <c r="D795" i="106" s="1"/>
  <c r="B796" i="106"/>
  <c r="D796" i="106" s="1"/>
  <c r="B797" i="106"/>
  <c r="D797" i="106" s="1"/>
  <c r="B798" i="106"/>
  <c r="D798" i="106"/>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c r="D866" i="106"/>
  <c r="B867" i="106"/>
  <c r="D867" i="106" s="1"/>
  <c r="D868" i="106"/>
  <c r="E72" i="29"/>
  <c r="B869" i="106" s="1"/>
  <c r="D869" i="106" s="1"/>
  <c r="B870" i="106"/>
  <c r="D870" i="106"/>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c r="B917" i="106"/>
  <c r="D917" i="106" s="1"/>
  <c r="D918" i="106"/>
  <c r="F65" i="29"/>
  <c r="B919" i="106"/>
  <c r="D919" i="106" s="1"/>
  <c r="B920" i="106"/>
  <c r="D920" i="106"/>
  <c r="B921" i="106"/>
  <c r="D921" i="106" s="1"/>
  <c r="B922" i="106"/>
  <c r="D922" i="106" s="1"/>
  <c r="B923" i="106"/>
  <c r="D923" i="106" s="1"/>
  <c r="D924" i="106"/>
  <c r="B925" i="106"/>
  <c r="D925" i="106" s="1"/>
  <c r="D926" i="106"/>
  <c r="F72" i="29"/>
  <c r="B927" i="106"/>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c r="B953" i="106"/>
  <c r="D953" i="106" s="1"/>
  <c r="B954" i="106"/>
  <c r="D954" i="106" s="1"/>
  <c r="B955" i="106"/>
  <c r="D955" i="106" s="1"/>
  <c r="B956" i="106"/>
  <c r="D956" i="106" s="1"/>
  <c r="B957" i="106"/>
  <c r="D957" i="106" s="1"/>
  <c r="B958" i="106"/>
  <c r="D958" i="106" s="1"/>
  <c r="G42" i="29"/>
  <c r="B959" i="106" s="1"/>
  <c r="D959" i="106" s="1"/>
  <c r="B960" i="106"/>
  <c r="D960" i="106"/>
  <c r="B961" i="106"/>
  <c r="D961" i="106" s="1"/>
  <c r="B962" i="106"/>
  <c r="D962" i="106" s="1"/>
  <c r="G47" i="29"/>
  <c r="B963" i="106" s="1"/>
  <c r="D963" i="106" s="1"/>
  <c r="B964" i="106"/>
  <c r="D964" i="106" s="1"/>
  <c r="B965" i="106"/>
  <c r="D965" i="106" s="1"/>
  <c r="G53" i="29"/>
  <c r="B966" i="106" s="1"/>
  <c r="D966" i="106" s="1"/>
  <c r="B967" i="106"/>
  <c r="D967" i="106"/>
  <c r="B968" i="106"/>
  <c r="D968" i="106" s="1"/>
  <c r="G57" i="29"/>
  <c r="B969" i="106" s="1"/>
  <c r="D969" i="106" s="1"/>
  <c r="B970" i="106"/>
  <c r="D970" i="106" s="1"/>
  <c r="B971" i="106"/>
  <c r="D971" i="106" s="1"/>
  <c r="B972" i="106"/>
  <c r="D972" i="106"/>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c r="B996" i="106"/>
  <c r="D996" i="106" s="1"/>
  <c r="D997" i="106"/>
  <c r="D998" i="106"/>
  <c r="D999" i="106"/>
  <c r="D1000" i="106"/>
  <c r="D1001" i="106"/>
  <c r="B1002" i="106"/>
  <c r="D1002" i="106"/>
  <c r="D1003" i="106"/>
  <c r="D1004" i="106"/>
  <c r="D1005" i="106"/>
  <c r="B1006" i="106"/>
  <c r="D1006" i="106" s="1"/>
  <c r="B1007" i="106"/>
  <c r="D1007" i="106"/>
  <c r="B1008" i="106"/>
  <c r="D1008" i="106" s="1"/>
  <c r="B1009" i="106"/>
  <c r="D1009" i="106" s="1"/>
  <c r="B1011" i="106"/>
  <c r="D1011" i="106" s="1"/>
  <c r="B1012" i="106"/>
  <c r="D1012" i="106" s="1"/>
  <c r="B1013" i="106"/>
  <c r="D1013" i="106" s="1"/>
  <c r="B1014" i="106"/>
  <c r="D1014" i="106" s="1"/>
  <c r="B1015" i="106"/>
  <c r="D1015" i="106" s="1"/>
  <c r="B1016" i="106"/>
  <c r="D1016" i="106"/>
  <c r="H42" i="29"/>
  <c r="B1017" i="106" s="1"/>
  <c r="D1017" i="106" s="1"/>
  <c r="B1018" i="106"/>
  <c r="D1018" i="106" s="1"/>
  <c r="B1019" i="106"/>
  <c r="D1019" i="106" s="1"/>
  <c r="B1020" i="106"/>
  <c r="D1020" i="106" s="1"/>
  <c r="H47" i="29"/>
  <c r="B1022" i="106"/>
  <c r="D1022" i="106" s="1"/>
  <c r="B1023" i="106"/>
  <c r="D1023" i="106" s="1"/>
  <c r="H53" i="29"/>
  <c r="B1024" i="106"/>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c r="D1100" i="106" s="1"/>
  <c r="D1101" i="106"/>
  <c r="D1102" i="106"/>
  <c r="D1103" i="106"/>
  <c r="K12" i="29"/>
  <c r="B1104" i="106" s="1"/>
  <c r="D1104" i="106" s="1"/>
  <c r="K14" i="29"/>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c r="D2974" i="106" s="1"/>
  <c r="K80" i="29"/>
  <c r="K81" i="29"/>
  <c r="K82" i="29"/>
  <c r="K83" i="29"/>
  <c r="B2978" i="106" s="1"/>
  <c r="D2978" i="106" s="1"/>
  <c r="K93" i="29"/>
  <c r="K94" i="29"/>
  <c r="K95" i="29"/>
  <c r="K96" i="29"/>
  <c r="K97" i="29"/>
  <c r="B7005" i="106" s="1"/>
  <c r="D7005" i="106" s="1"/>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c r="B1440" i="106"/>
  <c r="D1440" i="106" s="1"/>
  <c r="D1441" i="106"/>
  <c r="B1442" i="106"/>
  <c r="D1442" i="106" s="1"/>
  <c r="D1443" i="106"/>
  <c r="D277" i="29"/>
  <c r="B1444" i="106"/>
  <c r="D1444" i="106" s="1"/>
  <c r="B1445" i="106"/>
  <c r="D1445" i="106"/>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c r="D3390" i="106" s="1"/>
  <c r="K216" i="29"/>
  <c r="F67" i="34"/>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c r="K247" i="29"/>
  <c r="K248" i="29"/>
  <c r="K249" i="29"/>
  <c r="B7084" i="106"/>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c r="D1805" i="106"/>
  <c r="D1806" i="106"/>
  <c r="B1808" i="106"/>
  <c r="D1808" i="106" s="1"/>
  <c r="B1809" i="106"/>
  <c r="D1809" i="106" s="1"/>
  <c r="B1810" i="106"/>
  <c r="D1810" i="106" s="1"/>
  <c r="B1811" i="106"/>
  <c r="D1811" i="106" s="1"/>
  <c r="B1812" i="106"/>
  <c r="D1812" i="106"/>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c r="B2040" i="106"/>
  <c r="D2040" i="106"/>
  <c r="B2041" i="106"/>
  <c r="D2041" i="106" s="1"/>
  <c r="B2042" i="106"/>
  <c r="D2042" i="106" s="1"/>
  <c r="I16" i="11"/>
  <c r="B2043" i="106" s="1"/>
  <c r="D2043" i="106" s="1"/>
  <c r="D2044" i="106"/>
  <c r="B2045" i="106"/>
  <c r="D2045" i="106"/>
  <c r="B2046" i="106"/>
  <c r="D2046" i="106"/>
  <c r="B2047" i="106"/>
  <c r="D2047" i="106"/>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B3257" i="106"/>
  <c r="D3257" i="106"/>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c r="E37" i="4"/>
  <c r="B6285" i="106"/>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c r="B3577" i="106"/>
  <c r="D3577" i="106"/>
  <c r="B3578" i="106"/>
  <c r="D3578" i="106"/>
  <c r="B3579" i="106"/>
  <c r="D3579" i="106"/>
  <c r="B3580" i="106"/>
  <c r="D3580" i="106"/>
  <c r="B3581" i="106"/>
  <c r="D3581" i="106"/>
  <c r="B3582" i="106"/>
  <c r="D3582" i="106"/>
  <c r="B3583" i="106"/>
  <c r="K44" i="4"/>
  <c r="B3584" i="106" s="1"/>
  <c r="D3584" i="106" s="1"/>
  <c r="B3585" i="106"/>
  <c r="D3585" i="106"/>
  <c r="K52" i="4"/>
  <c r="B3702" i="106"/>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s="1"/>
  <c r="B4802" i="106"/>
  <c r="D4802" i="106"/>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c r="B5068" i="106"/>
  <c r="D5068" i="106" s="1"/>
  <c r="B5069" i="106"/>
  <c r="D5069" i="106" s="1"/>
  <c r="B5070" i="106"/>
  <c r="D5070" i="106" s="1"/>
  <c r="B5072" i="106"/>
  <c r="D5072" i="106"/>
  <c r="B5073" i="106"/>
  <c r="D5073" i="106" s="1"/>
  <c r="B5074" i="106"/>
  <c r="D5074" i="106" s="1"/>
  <c r="B5075" i="106"/>
  <c r="D5075" i="106" s="1"/>
  <c r="B5076" i="106"/>
  <c r="D5076" i="106"/>
  <c r="B5077" i="106"/>
  <c r="D5077" i="106" s="1"/>
  <c r="B5078" i="106"/>
  <c r="D5078" i="106" s="1"/>
  <c r="B5079" i="106"/>
  <c r="D5079" i="106" s="1"/>
  <c r="B5080" i="106"/>
  <c r="D5080" i="106"/>
  <c r="B5081" i="106"/>
  <c r="D5081" i="106" s="1"/>
  <c r="B5082" i="106"/>
  <c r="D5082" i="106" s="1"/>
  <c r="B5083" i="106"/>
  <c r="D5083" i="106" s="1"/>
  <c r="B5084" i="106"/>
  <c r="D5084" i="106"/>
  <c r="B5085" i="106"/>
  <c r="D5085" i="106" s="1"/>
  <c r="B5086" i="106"/>
  <c r="D5086" i="106" s="1"/>
  <c r="B5088" i="106"/>
  <c r="D5088" i="106" s="1"/>
  <c r="B5089" i="106"/>
  <c r="D5089" i="106"/>
  <c r="B5091" i="106"/>
  <c r="D5091" i="106" s="1"/>
  <c r="B5092" i="106"/>
  <c r="D5092" i="106" s="1"/>
  <c r="B5093" i="106"/>
  <c r="D5093" i="106" s="1"/>
  <c r="B5094" i="106"/>
  <c r="D5094" i="106"/>
  <c r="B5095" i="106"/>
  <c r="D5095" i="106" s="1"/>
  <c r="B5097" i="106"/>
  <c r="D5097" i="106" s="1"/>
  <c r="B5098" i="106"/>
  <c r="D5098" i="106" s="1"/>
  <c r="B5099" i="106"/>
  <c r="D5099" i="106"/>
  <c r="B5100" i="106"/>
  <c r="D5100" i="106" s="1"/>
  <c r="B5101" i="106"/>
  <c r="D5101" i="106" s="1"/>
  <c r="B5103" i="106"/>
  <c r="D5103" i="106" s="1"/>
  <c r="B5104" i="106"/>
  <c r="D5104" i="106"/>
  <c r="B5105" i="106"/>
  <c r="D5105" i="106" s="1"/>
  <c r="B5106" i="106"/>
  <c r="D5106" i="106" s="1"/>
  <c r="B5107" i="106"/>
  <c r="D5107" i="106" s="1"/>
  <c r="B5108" i="106"/>
  <c r="D5108" i="106"/>
  <c r="B5109" i="106"/>
  <c r="D5109" i="106" s="1"/>
  <c r="B5110" i="106"/>
  <c r="D5110" i="106" s="1"/>
  <c r="B5111" i="106"/>
  <c r="D5111" i="106" s="1"/>
  <c r="B5113" i="106"/>
  <c r="D5113" i="106"/>
  <c r="B5114" i="106"/>
  <c r="D5114" i="106" s="1"/>
  <c r="B5115" i="106"/>
  <c r="D5115" i="106" s="1"/>
  <c r="B5116" i="106"/>
  <c r="D5116" i="106" s="1"/>
  <c r="B5117" i="106"/>
  <c r="D5117" i="106"/>
  <c r="B5118" i="106"/>
  <c r="D5118" i="106" s="1"/>
  <c r="B5119" i="106"/>
  <c r="D5119" i="106" s="1"/>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c r="D5313" i="106"/>
  <c r="D5314" i="106"/>
  <c r="B5315" i="106"/>
  <c r="D5315" i="106"/>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s="1"/>
  <c r="B5426" i="106"/>
  <c r="D5426" i="106" s="1"/>
  <c r="D5427" i="106"/>
  <c r="D5428" i="106"/>
  <c r="D5429" i="106"/>
  <c r="D5430" i="106"/>
  <c r="B5431" i="106"/>
  <c r="D5431" i="106" s="1"/>
  <c r="B5432" i="106"/>
  <c r="D5432" i="106"/>
  <c r="D5433" i="106"/>
  <c r="D5434" i="106"/>
  <c r="D5435" i="106"/>
  <c r="D5436" i="106"/>
  <c r="D5437" i="106"/>
  <c r="D5438" i="106"/>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s="1"/>
  <c r="B5558" i="106"/>
  <c r="D5558" i="106" s="1"/>
  <c r="B5559" i="106"/>
  <c r="D5559" i="106" s="1"/>
  <c r="B5560" i="106"/>
  <c r="D5560" i="106"/>
  <c r="B5561" i="106"/>
  <c r="D5561" i="106" s="1"/>
  <c r="B5563" i="106"/>
  <c r="D5563" i="106" s="1"/>
  <c r="B5564" i="106"/>
  <c r="D5564" i="106" s="1"/>
  <c r="B5565" i="106"/>
  <c r="D5565" i="106"/>
  <c r="B5566" i="106"/>
  <c r="D5566" i="106" s="1"/>
  <c r="B5567" i="106"/>
  <c r="D5567" i="106" s="1"/>
  <c r="B5568" i="106"/>
  <c r="D5568" i="106" s="1"/>
  <c r="B5569" i="106"/>
  <c r="D5569" i="106"/>
  <c r="B5570" i="106"/>
  <c r="D5570" i="106" s="1"/>
  <c r="B5571" i="106"/>
  <c r="D5571" i="106" s="1"/>
  <c r="B5572" i="106"/>
  <c r="D5572" i="106" s="1"/>
  <c r="B5573" i="106"/>
  <c r="D5573" i="106"/>
  <c r="B5574" i="106"/>
  <c r="D5574" i="106" s="1"/>
  <c r="B5575" i="106"/>
  <c r="D5575" i="106" s="1"/>
  <c r="B5576" i="106"/>
  <c r="D5576" i="106" s="1"/>
  <c r="B5577" i="106"/>
  <c r="D5577" i="106"/>
  <c r="B5578" i="106"/>
  <c r="D5578" i="106" s="1"/>
  <c r="B5580" i="106"/>
  <c r="D5580" i="106" s="1"/>
  <c r="B5581" i="106"/>
  <c r="D5581" i="106" s="1"/>
  <c r="B5583" i="106"/>
  <c r="D5583" i="106"/>
  <c r="B5584" i="106"/>
  <c r="D5584" i="106" s="1"/>
  <c r="B5585" i="106"/>
  <c r="D5585" i="106" s="1"/>
  <c r="B5586" i="106"/>
  <c r="D5586" i="106" s="1"/>
  <c r="B5589" i="106"/>
  <c r="D5589" i="106"/>
  <c r="B5590" i="106"/>
  <c r="D5590" i="106" s="1"/>
  <c r="B5591" i="106"/>
  <c r="D5591" i="106" s="1"/>
  <c r="B5593" i="106"/>
  <c r="D5593" i="106" s="1"/>
  <c r="B5594" i="106"/>
  <c r="D5594" i="106"/>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s="1"/>
  <c r="D5819" i="106"/>
  <c r="D5820" i="106"/>
  <c r="B5821" i="106"/>
  <c r="D5821" i="106" s="1"/>
  <c r="B5822" i="106"/>
  <c r="D5822" i="106"/>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c r="B6129" i="106"/>
  <c r="D6129" i="106" s="1"/>
  <c r="B6130" i="106"/>
  <c r="D6130" i="106" s="1"/>
  <c r="B6131" i="106"/>
  <c r="D6131" i="106" s="1"/>
  <c r="B6132" i="106"/>
  <c r="D6132" i="106"/>
  <c r="B6133" i="106"/>
  <c r="D6133" i="106" s="1"/>
  <c r="B6134" i="106"/>
  <c r="D6134" i="106" s="1"/>
  <c r="B6135" i="106"/>
  <c r="D6135" i="106" s="1"/>
  <c r="B6136" i="106"/>
  <c r="D6136" i="106"/>
  <c r="B6137" i="106"/>
  <c r="D6137" i="106" s="1"/>
  <c r="B6138" i="106"/>
  <c r="D6138" i="106" s="1"/>
  <c r="B6139" i="106"/>
  <c r="D6139" i="106" s="1"/>
  <c r="B6140" i="106"/>
  <c r="D6140" i="106"/>
  <c r="B6141" i="106"/>
  <c r="D6141" i="106" s="1"/>
  <c r="B6142" i="106"/>
  <c r="D6142" i="106" s="1"/>
  <c r="B6143" i="106"/>
  <c r="D6143" i="106" s="1"/>
  <c r="B6144" i="106"/>
  <c r="D6144" i="106"/>
  <c r="B6145" i="106"/>
  <c r="D6145" i="106" s="1"/>
  <c r="B6146" i="106"/>
  <c r="D6146" i="106" s="1"/>
  <c r="B6147" i="106"/>
  <c r="D6147" i="106" s="1"/>
  <c r="B6148" i="106"/>
  <c r="D6148" i="106"/>
  <c r="B6149" i="106"/>
  <c r="D6149" i="106" s="1"/>
  <c r="B6150" i="106"/>
  <c r="D6150" i="106" s="1"/>
  <c r="B6151" i="106"/>
  <c r="D6151" i="106" s="1"/>
  <c r="B6152" i="106"/>
  <c r="D6152" i="106"/>
  <c r="B6153" i="106"/>
  <c r="D6153" i="106" s="1"/>
  <c r="B6154" i="106"/>
  <c r="D6154" i="106" s="1"/>
  <c r="B6155" i="106"/>
  <c r="D6155" i="106" s="1"/>
  <c r="B6156" i="106"/>
  <c r="D6156" i="106"/>
  <c r="B6157" i="106"/>
  <c r="D6157" i="106" s="1"/>
  <c r="B6158" i="106"/>
  <c r="D6158" i="106" s="1"/>
  <c r="B6159" i="106"/>
  <c r="D6159" i="106" s="1"/>
  <c r="B6160" i="106"/>
  <c r="D6160" i="106"/>
  <c r="B6161" i="106"/>
  <c r="D6161" i="106" s="1"/>
  <c r="B6162" i="106"/>
  <c r="D6162" i="106" s="1"/>
  <c r="B6163" i="106"/>
  <c r="D6163" i="106" s="1"/>
  <c r="B6164" i="106"/>
  <c r="D6164" i="106"/>
  <c r="B6165" i="106"/>
  <c r="D6165" i="106" s="1"/>
  <c r="B6166" i="106"/>
  <c r="D6166" i="106" s="1"/>
  <c r="B6167" i="106"/>
  <c r="D6167" i="106" s="1"/>
  <c r="B6168" i="106"/>
  <c r="D6168" i="106"/>
  <c r="B6169" i="106"/>
  <c r="D6169" i="106" s="1"/>
  <c r="B6170" i="106"/>
  <c r="D6170" i="106" s="1"/>
  <c r="B6171" i="106"/>
  <c r="D6171" i="106" s="1"/>
  <c r="B6172" i="106"/>
  <c r="D6172" i="106"/>
  <c r="B6173" i="106"/>
  <c r="D6173" i="106" s="1"/>
  <c r="B6174" i="106"/>
  <c r="D6174" i="106" s="1"/>
  <c r="B6175" i="106"/>
  <c r="D6175" i="106" s="1"/>
  <c r="B6176" i="106"/>
  <c r="D6176" i="106"/>
  <c r="B6177" i="106"/>
  <c r="D6177" i="106" s="1"/>
  <c r="B6178" i="106"/>
  <c r="D6178" i="106" s="1"/>
  <c r="B6179" i="106"/>
  <c r="D6179" i="106" s="1"/>
  <c r="B6180" i="106"/>
  <c r="D6180" i="106"/>
  <c r="B6181" i="106"/>
  <c r="D6181" i="106" s="1"/>
  <c r="B6182" i="106"/>
  <c r="D6182" i="106" s="1"/>
  <c r="B6183" i="106"/>
  <c r="D6183" i="106" s="1"/>
  <c r="B6184" i="106"/>
  <c r="D6184" i="106"/>
  <c r="B6185" i="106"/>
  <c r="D6185" i="106" s="1"/>
  <c r="B6186" i="106"/>
  <c r="D6186" i="106" s="1"/>
  <c r="B6187" i="106"/>
  <c r="D6187" i="106" s="1"/>
  <c r="B6188" i="106"/>
  <c r="D6188" i="106"/>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s="1"/>
  <c r="B6859" i="106"/>
  <c r="D6859" i="106" s="1"/>
  <c r="B6860" i="106"/>
  <c r="D6860" i="106" s="1"/>
  <c r="B6861" i="106"/>
  <c r="D6861" i="106"/>
  <c r="B6862" i="106"/>
  <c r="D6862" i="106" s="1"/>
  <c r="B6863" i="106"/>
  <c r="D6863" i="106" s="1"/>
  <c r="B6864" i="106"/>
  <c r="D6864" i="106" s="1"/>
  <c r="B6865" i="106"/>
  <c r="D6865" i="106" s="1"/>
  <c r="B6866" i="106"/>
  <c r="D6866" i="106" s="1"/>
  <c r="B6867" i="106"/>
  <c r="D6867" i="106"/>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3" i="106" s="1"/>
  <c r="D6893" i="106" s="1"/>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c r="B6910" i="106"/>
  <c r="D6910" i="106" s="1"/>
  <c r="B6911" i="106"/>
  <c r="D6911" i="106" s="1"/>
  <c r="B6912" i="106"/>
  <c r="D6912" i="106" s="1"/>
  <c r="B6913" i="106"/>
  <c r="D6913" i="106" s="1"/>
  <c r="B6914" i="106"/>
  <c r="D6914" i="106" s="1"/>
  <c r="B6915" i="106"/>
  <c r="D6915" i="106"/>
  <c r="I42" i="29"/>
  <c r="J42" i="29"/>
  <c r="B6918" i="106"/>
  <c r="D6918" i="106"/>
  <c r="B6919" i="106"/>
  <c r="D6919" i="106" s="1"/>
  <c r="B6920" i="106"/>
  <c r="D6920" i="106" s="1"/>
  <c r="B6921" i="106"/>
  <c r="D6921" i="106" s="1"/>
  <c r="B6922" i="106"/>
  <c r="D6922" i="106"/>
  <c r="B6923" i="106"/>
  <c r="D6923" i="106" s="1"/>
  <c r="I47" i="29"/>
  <c r="B6924" i="106" s="1"/>
  <c r="D6924" i="106" s="1"/>
  <c r="J47" i="29"/>
  <c r="B6925" i="106" s="1"/>
  <c r="D6925" i="106" s="1"/>
  <c r="B6926" i="106"/>
  <c r="D6926" i="106" s="1"/>
  <c r="B6927" i="106"/>
  <c r="D6927" i="106" s="1"/>
  <c r="B6928" i="106"/>
  <c r="D6928" i="106"/>
  <c r="B6929" i="106"/>
  <c r="D6929" i="106" s="1"/>
  <c r="B6930" i="106"/>
  <c r="D6930" i="106" s="1"/>
  <c r="B6931" i="106"/>
  <c r="D6931" i="106" s="1"/>
  <c r="B6932" i="106"/>
  <c r="D6932" i="106" s="1"/>
  <c r="B6933" i="106"/>
  <c r="D6933" i="106" s="1"/>
  <c r="B6934" i="106"/>
  <c r="D6934" i="106"/>
  <c r="B6935" i="106"/>
  <c r="D6935" i="106" s="1"/>
  <c r="B6936" i="106"/>
  <c r="D6936" i="106" s="1"/>
  <c r="B6937" i="106"/>
  <c r="D6937" i="106" s="1"/>
  <c r="B6938" i="106"/>
  <c r="D6938" i="106"/>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c r="I72" i="29"/>
  <c r="B6973" i="106" s="1"/>
  <c r="D6973" i="106" s="1"/>
  <c r="J72" i="29"/>
  <c r="B6974" i="106" s="1"/>
  <c r="D6974" i="106" s="1"/>
  <c r="B6975" i="106"/>
  <c r="D6975" i="106" s="1"/>
  <c r="B6976" i="106"/>
  <c r="D6976" i="106" s="1"/>
  <c r="B6979" i="106"/>
  <c r="D6979" i="106" s="1"/>
  <c r="B6980" i="106"/>
  <c r="D6980" i="106" s="1"/>
  <c r="B6981" i="106"/>
  <c r="D6981" i="106"/>
  <c r="K85" i="29"/>
  <c r="B6982" i="106" s="1"/>
  <c r="D6982" i="106" s="1"/>
  <c r="B6983" i="106"/>
  <c r="D6983" i="106" s="1"/>
  <c r="K86" i="29"/>
  <c r="B6984" i="106"/>
  <c r="D6984" i="106" s="1"/>
  <c r="B6985" i="106"/>
  <c r="D6985" i="106" s="1"/>
  <c r="K87" i="29"/>
  <c r="B6986" i="106"/>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c r="B6998" i="106"/>
  <c r="D6998" i="106"/>
  <c r="B6999" i="106"/>
  <c r="D6999" i="106"/>
  <c r="B7000" i="106"/>
  <c r="D7000" i="106"/>
  <c r="B7001" i="106"/>
  <c r="D7001" i="106"/>
  <c r="B7002" i="106"/>
  <c r="D7002" i="106"/>
  <c r="B7003" i="106"/>
  <c r="D7003" i="106"/>
  <c r="B7004" i="106"/>
  <c r="D7004"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s="1"/>
  <c r="H112" i="29"/>
  <c r="B7018" i="106"/>
  <c r="D7018" i="106" s="1"/>
  <c r="B7022" i="106"/>
  <c r="D7022" i="106" s="1"/>
  <c r="B7023" i="106"/>
  <c r="D7023" i="106" s="1"/>
  <c r="B7024" i="106"/>
  <c r="D7024" i="106"/>
  <c r="B7025" i="106"/>
  <c r="D7025" i="106" s="1"/>
  <c r="B7026" i="106"/>
  <c r="D7026" i="106" s="1"/>
  <c r="B7027" i="106"/>
  <c r="D7027" i="106" s="1"/>
  <c r="B7028" i="106"/>
  <c r="D7028" i="106"/>
  <c r="B7029" i="106"/>
  <c r="D7029" i="106" s="1"/>
  <c r="B7030" i="106"/>
  <c r="D7030" i="106" s="1"/>
  <c r="B7031" i="106"/>
  <c r="D7031" i="106" s="1"/>
  <c r="B7032" i="106"/>
  <c r="D7032" i="106" s="1"/>
  <c r="I127" i="29"/>
  <c r="J127" i="29"/>
  <c r="J129" i="29" s="1"/>
  <c r="B7038" i="106" s="1"/>
  <c r="D7038" i="106" s="1"/>
  <c r="B7034" i="106"/>
  <c r="D7034" i="106" s="1"/>
  <c r="B7035" i="106"/>
  <c r="D7035" i="106" s="1"/>
  <c r="B7036" i="106"/>
  <c r="D7036" i="106" s="1"/>
  <c r="B7039" i="106"/>
  <c r="D7039" i="106" s="1"/>
  <c r="B7040" i="106"/>
  <c r="D7040" i="106" s="1"/>
  <c r="B7043" i="106"/>
  <c r="D7043" i="106" s="1"/>
  <c r="B7044" i="106"/>
  <c r="D7044" i="106" s="1"/>
  <c r="B7045" i="106"/>
  <c r="D7045" i="106"/>
  <c r="B7046" i="106"/>
  <c r="D7046" i="106" s="1"/>
  <c r="B7047" i="106"/>
  <c r="D7047" i="106" s="1"/>
  <c r="B7049" i="106"/>
  <c r="D7049" i="106" s="1"/>
  <c r="B7053" i="106"/>
  <c r="D7053" i="106"/>
  <c r="D7056" i="106"/>
  <c r="B7057" i="106"/>
  <c r="D7057" i="106" s="1"/>
  <c r="B7058" i="106"/>
  <c r="D7058" i="106" s="1"/>
  <c r="B7059" i="106"/>
  <c r="D7059" i="106" s="1"/>
  <c r="B7060" i="106"/>
  <c r="D7060" i="106" s="1"/>
  <c r="B7061" i="106"/>
  <c r="D7061" i="106"/>
  <c r="B7062" i="106"/>
  <c r="D7062" i="106" s="1"/>
  <c r="I184" i="29"/>
  <c r="I210" i="29" s="1"/>
  <c r="J184" i="29"/>
  <c r="B7064" i="106"/>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c r="B7078" i="106"/>
  <c r="D7078" i="106" s="1"/>
  <c r="B7079" i="106"/>
  <c r="D7079" i="106" s="1"/>
  <c r="B7080" i="106"/>
  <c r="D7080" i="106" s="1"/>
  <c r="B7081" i="106"/>
  <c r="D7081" i="106" s="1"/>
  <c r="B7082" i="106"/>
  <c r="D7082" i="106" s="1"/>
  <c r="B7083" i="106"/>
  <c r="D7083" i="106"/>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c r="B7096" i="106"/>
  <c r="D7096" i="106" s="1"/>
  <c r="B7097" i="106"/>
  <c r="D7097" i="106" s="1"/>
  <c r="B7098" i="106"/>
  <c r="D7098" i="106" s="1"/>
  <c r="B7099" i="106"/>
  <c r="D7099" i="106" s="1"/>
  <c r="B7100" i="106"/>
  <c r="D7100" i="106" s="1"/>
  <c r="B7101" i="106"/>
  <c r="D7101" i="106"/>
  <c r="B7102" i="106"/>
  <c r="D7102" i="106" s="1"/>
  <c r="I303" i="29"/>
  <c r="B7103" i="106" s="1"/>
  <c r="D7103" i="106" s="1"/>
  <c r="J303" i="29"/>
  <c r="B7104" i="106"/>
  <c r="D7104" i="106" s="1"/>
  <c r="B7105" i="106"/>
  <c r="D7105" i="106" s="1"/>
  <c r="B7106" i="106"/>
  <c r="D7106" i="106"/>
  <c r="B7108" i="106"/>
  <c r="D7108" i="106" s="1"/>
  <c r="B7109" i="106"/>
  <c r="D7109" i="106" s="1"/>
  <c r="B7110" i="106"/>
  <c r="D7110" i="106" s="1"/>
  <c r="B7111" i="106"/>
  <c r="D7111" i="106" s="1"/>
  <c r="B7112" i="106"/>
  <c r="D7112" i="106" s="1"/>
  <c r="B7113" i="106"/>
  <c r="D7113" i="106"/>
  <c r="B7114" i="106"/>
  <c r="D7114" i="106" s="1"/>
  <c r="B7115" i="106"/>
  <c r="D7115" i="106" s="1"/>
  <c r="B7118" i="106"/>
  <c r="D7118" i="106" s="1"/>
  <c r="B7119" i="106"/>
  <c r="D7119" i="106" s="1"/>
  <c r="B7120" i="106"/>
  <c r="D7120" i="106" s="1"/>
  <c r="B7121" i="106"/>
  <c r="D7121" i="106"/>
  <c r="B7122" i="106"/>
  <c r="D7122" i="106" s="1"/>
  <c r="B7123" i="106"/>
  <c r="D7123" i="106" s="1"/>
  <c r="B7124" i="106"/>
  <c r="D7124" i="106" s="1"/>
  <c r="B7125" i="106"/>
  <c r="D7125" i="106" s="1"/>
  <c r="K319" i="29"/>
  <c r="B7127" i="106"/>
  <c r="D7127" i="106" s="1"/>
  <c r="B7128" i="106"/>
  <c r="D7128" i="106" s="1"/>
  <c r="B7129" i="106"/>
  <c r="D7129" i="106" s="1"/>
  <c r="B7130" i="106"/>
  <c r="D7130" i="106"/>
  <c r="B7131" i="106"/>
  <c r="D7131" i="106" s="1"/>
  <c r="B7132" i="106"/>
  <c r="D7132" i="106" s="1"/>
  <c r="B7133" i="106"/>
  <c r="D7133" i="106" s="1"/>
  <c r="B7134" i="106"/>
  <c r="D7134" i="106" s="1"/>
  <c r="K320" i="29"/>
  <c r="B7135" i="106" s="1"/>
  <c r="D7135" i="106" s="1"/>
  <c r="B7136" i="106"/>
  <c r="D7136" i="106"/>
  <c r="B7137" i="106"/>
  <c r="D7137" i="106" s="1"/>
  <c r="B7138" i="106"/>
  <c r="D7138" i="106" s="1"/>
  <c r="B7139" i="106"/>
  <c r="D7139" i="106" s="1"/>
  <c r="B7140" i="106"/>
  <c r="D7140" i="106" s="1"/>
  <c r="B7141" i="106"/>
  <c r="D7141" i="106" s="1"/>
  <c r="B7142" i="106"/>
  <c r="D7142" i="106"/>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c r="B7155" i="106"/>
  <c r="D7155" i="106" s="1"/>
  <c r="B7156" i="106"/>
  <c r="D7156" i="106" s="1"/>
  <c r="B7157" i="106"/>
  <c r="D7157" i="106" s="1"/>
  <c r="B7158" i="106"/>
  <c r="D7158" i="106" s="1"/>
  <c r="B7159" i="106"/>
  <c r="D7159" i="106" s="1"/>
  <c r="B7160" i="106"/>
  <c r="D7160" i="106"/>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c r="B7178" i="106"/>
  <c r="D7178" i="106" s="1"/>
  <c r="B7179" i="106"/>
  <c r="D7179" i="106" s="1"/>
  <c r="K325" i="29"/>
  <c r="B7180" i="106" s="1"/>
  <c r="D7180" i="106" s="1"/>
  <c r="B7181" i="106"/>
  <c r="D7181" i="106"/>
  <c r="B7182" i="106"/>
  <c r="D7182" i="106"/>
  <c r="B7183" i="106"/>
  <c r="D7183" i="106"/>
  <c r="B7184" i="106"/>
  <c r="D7184" i="106"/>
  <c r="B7185" i="106"/>
  <c r="D7185" i="106"/>
  <c r="B7186" i="106"/>
  <c r="D7186" i="106"/>
  <c r="B7187" i="106"/>
  <c r="D7187" i="106"/>
  <c r="B7188" i="106"/>
  <c r="D7188" i="106"/>
  <c r="K326" i="29"/>
  <c r="B7189" i="106"/>
  <c r="D7189" i="106" s="1"/>
  <c r="B7190" i="106"/>
  <c r="D7190" i="106"/>
  <c r="B7191" i="106"/>
  <c r="D7191" i="106" s="1"/>
  <c r="B7192" i="106"/>
  <c r="D7192" i="106" s="1"/>
  <c r="B7193" i="106"/>
  <c r="D7193" i="106" s="1"/>
  <c r="B7194" i="106"/>
  <c r="D7194" i="106"/>
  <c r="B7195" i="106"/>
  <c r="D7195" i="106" s="1"/>
  <c r="B7196" i="106"/>
  <c r="D7196" i="106" s="1"/>
  <c r="B7197" i="106"/>
  <c r="D7197" i="106" s="1"/>
  <c r="K327" i="29"/>
  <c r="B7198" i="106" s="1"/>
  <c r="D7198" i="106" s="1"/>
  <c r="C330" i="29"/>
  <c r="C342" i="29" s="1"/>
  <c r="B7216" i="106" s="1"/>
  <c r="D7216" i="106" s="1"/>
  <c r="D330" i="29"/>
  <c r="B7200" i="106" s="1"/>
  <c r="E330" i="29"/>
  <c r="F330" i="29"/>
  <c r="B7202" i="106" s="1"/>
  <c r="D7202" i="106" s="1"/>
  <c r="G330" i="29"/>
  <c r="B7203" i="106" s="1"/>
  <c r="D7203" i="106" s="1"/>
  <c r="H330" i="29"/>
  <c r="B7204" i="106"/>
  <c r="D7204" i="106" s="1"/>
  <c r="I330" i="29"/>
  <c r="B7205" i="106" s="1"/>
  <c r="D7205" i="106" s="1"/>
  <c r="J330" i="29"/>
  <c r="K328" i="29"/>
  <c r="B7696" i="106" s="1"/>
  <c r="D7696" i="106" s="1"/>
  <c r="K329" i="29"/>
  <c r="B7705" i="106" s="1"/>
  <c r="D7705" i="106" s="1"/>
  <c r="B7208" i="106"/>
  <c r="D7208" i="106" s="1"/>
  <c r="K337" i="29"/>
  <c r="B7209" i="106" s="1"/>
  <c r="D7209" i="106" s="1"/>
  <c r="B7210" i="106"/>
  <c r="D7210" i="106"/>
  <c r="K338" i="29"/>
  <c r="B7212" i="106"/>
  <c r="D7212" i="106" s="1"/>
  <c r="K339" i="29"/>
  <c r="B7213" i="106" s="1"/>
  <c r="D7213" i="106" s="1"/>
  <c r="H340" i="29"/>
  <c r="H342" i="29" s="1"/>
  <c r="B7221" i="106" s="1"/>
  <c r="D7221" i="106" s="1"/>
  <c r="B7226" i="106"/>
  <c r="D7226" i="106" s="1"/>
  <c r="B7227" i="106"/>
  <c r="D7227" i="106" s="1"/>
  <c r="B7228" i="106"/>
  <c r="D7228" i="106" s="1"/>
  <c r="B7229" i="106"/>
  <c r="D7229" i="106"/>
  <c r="I350" i="29"/>
  <c r="J350" i="29"/>
  <c r="B7231" i="106" s="1"/>
  <c r="D7231" i="106" s="1"/>
  <c r="B7232" i="106"/>
  <c r="D7232" i="106" s="1"/>
  <c r="B7233" i="106"/>
  <c r="D7233" i="106" s="1"/>
  <c r="J352" i="29"/>
  <c r="B7236" i="106"/>
  <c r="D7236" i="106"/>
  <c r="B7237" i="106"/>
  <c r="D7237" i="106"/>
  <c r="B7238" i="106"/>
  <c r="D7238" i="106"/>
  <c r="B7239" i="106"/>
  <c r="D7239" i="106"/>
  <c r="B7240" i="106"/>
  <c r="D7240" i="106"/>
  <c r="A7245" i="106"/>
  <c r="A7246" i="106"/>
  <c r="A7247" i="106" s="1"/>
  <c r="A7248" i="106" s="1"/>
  <c r="A7249" i="106" s="1"/>
  <c r="A7250" i="106" s="1"/>
  <c r="B7246" i="106"/>
  <c r="B7247" i="106"/>
  <c r="D7247" i="106" s="1"/>
  <c r="B7248" i="106"/>
  <c r="B7249" i="106"/>
  <c r="D7249" i="106" s="1"/>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c r="B7720" i="106"/>
  <c r="D7720" i="106"/>
  <c r="B7721" i="106"/>
  <c r="D7721" i="106"/>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c r="D7744" i="106"/>
  <c r="B7745" i="106"/>
  <c r="D7745" i="106" s="1"/>
  <c r="B7746" i="106"/>
  <c r="D7746" i="106" s="1"/>
  <c r="B7748" i="106"/>
  <c r="D7748" i="106" s="1"/>
  <c r="B7749" i="106"/>
  <c r="D7749" i="106" s="1"/>
  <c r="B7750" i="106"/>
  <c r="D7750" i="106"/>
  <c r="B7751" i="106"/>
  <c r="D7751" i="106" s="1"/>
  <c r="B7752" i="106"/>
  <c r="D7752" i="106" s="1"/>
  <c r="B7753" i="106"/>
  <c r="D7753" i="106" s="1"/>
  <c r="B7754" i="106"/>
  <c r="D7754" i="106"/>
  <c r="B7755" i="106"/>
  <c r="D7755" i="106" s="1"/>
  <c r="B7756" i="106"/>
  <c r="D7756" i="106" s="1"/>
  <c r="B7757" i="106"/>
  <c r="D7757" i="106" s="1"/>
  <c r="D7762" i="106"/>
  <c r="D7765" i="106"/>
  <c r="D7768" i="106"/>
  <c r="D7769" i="106"/>
  <c r="D7770" i="106"/>
  <c r="D7771" i="106"/>
  <c r="D7772" i="106"/>
  <c r="D7773" i="106"/>
  <c r="D7774" i="106"/>
  <c r="D7775" i="106"/>
  <c r="D7777" i="106"/>
  <c r="D7778" i="106"/>
  <c r="D7779" i="106"/>
  <c r="D7781" i="106"/>
  <c r="D7783" i="106"/>
  <c r="D7784" i="106"/>
  <c r="D7785" i="106"/>
  <c r="D7787" i="106"/>
  <c r="D7788" i="106"/>
  <c r="D7789" i="106"/>
  <c r="D7791" i="106"/>
  <c r="D7792" i="106"/>
  <c r="D7793" i="106"/>
  <c r="D7794"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3" i="127"/>
  <c r="B64" i="127"/>
  <c r="D26" i="108"/>
  <c r="E26" i="108"/>
  <c r="F26" i="108"/>
  <c r="G26" i="108"/>
  <c r="D27" i="108"/>
  <c r="E27" i="108"/>
  <c r="G27" i="108"/>
  <c r="F31" i="108"/>
  <c r="F36" i="108"/>
  <c r="G28" i="108"/>
  <c r="D31" i="108"/>
  <c r="D36"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F62" i="34"/>
  <c r="C63" i="34"/>
  <c r="D63" i="34"/>
  <c r="C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B2026" i="106"/>
  <c r="D2026" i="106" s="1"/>
  <c r="C16" i="11"/>
  <c r="B2013" i="106" s="1"/>
  <c r="D2013" i="106"/>
  <c r="B7727" i="106"/>
  <c r="D7727" i="106" s="1"/>
  <c r="C49" i="8"/>
  <c r="B4" i="7"/>
  <c r="B1744" i="106"/>
  <c r="D1744" i="106" s="1"/>
  <c r="B5" i="7"/>
  <c r="D5" i="7" s="1"/>
  <c r="B1761" i="106" s="1"/>
  <c r="D1761" i="106" s="1"/>
  <c r="B1745" i="106"/>
  <c r="D1745" i="106" s="1"/>
  <c r="B6" i="7"/>
  <c r="D6" i="7" s="1"/>
  <c r="B1762" i="106"/>
  <c r="D1762" i="106" s="1"/>
  <c r="B7" i="7"/>
  <c r="B8" i="7"/>
  <c r="B1748" i="106"/>
  <c r="D1748" i="106" s="1"/>
  <c r="B9" i="7"/>
  <c r="B10" i="7"/>
  <c r="B1749" i="106" s="1"/>
  <c r="D1749" i="106" s="1"/>
  <c r="B11" i="7"/>
  <c r="B12" i="7"/>
  <c r="B13" i="7"/>
  <c r="B3725" i="106" s="1"/>
  <c r="D3725" i="106" s="1"/>
  <c r="B14" i="7"/>
  <c r="B1754" i="106" s="1"/>
  <c r="D1754" i="106" s="1"/>
  <c r="B1756" i="106"/>
  <c r="D1756" i="106" s="1"/>
  <c r="B16" i="7"/>
  <c r="D16" i="7" s="1"/>
  <c r="B3447" i="106" s="1"/>
  <c r="D3447" i="106" s="1"/>
  <c r="B17" i="7"/>
  <c r="B4102" i="106"/>
  <c r="D4102" i="106" s="1"/>
  <c r="B18" i="7"/>
  <c r="B4103" i="106" s="1"/>
  <c r="D4103"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c r="D3062" i="106" s="1"/>
  <c r="K13" i="29"/>
  <c r="B1105" i="106" s="1"/>
  <c r="D1105" i="106" s="1"/>
  <c r="C33" i="29"/>
  <c r="B720" i="106" s="1"/>
  <c r="D720" i="106" s="1"/>
  <c r="D33" i="29"/>
  <c r="B778" i="106" s="1"/>
  <c r="D778" i="106" s="1"/>
  <c r="F33" i="29"/>
  <c r="B894" i="106" s="1"/>
  <c r="D894" i="106" s="1"/>
  <c r="G33" i="29"/>
  <c r="B952" i="106" s="1"/>
  <c r="D952" i="106" s="1"/>
  <c r="H33" i="29"/>
  <c r="B1010" i="106" s="1"/>
  <c r="D1010" i="106" s="1"/>
  <c r="I33" i="29"/>
  <c r="B6902" i="106" s="1"/>
  <c r="D6902" i="106" s="1"/>
  <c r="J33" i="29"/>
  <c r="B6903" i="106" s="1"/>
  <c r="D6903" i="106"/>
  <c r="L33" i="29"/>
  <c r="L42" i="29"/>
  <c r="K44" i="29"/>
  <c r="K45" i="29"/>
  <c r="C47" i="29"/>
  <c r="B731" i="106" s="1"/>
  <c r="D731" i="106" s="1"/>
  <c r="L47" i="29"/>
  <c r="K50" i="29"/>
  <c r="C53" i="29"/>
  <c r="B734" i="106" s="1"/>
  <c r="D734" i="106"/>
  <c r="L53" i="29"/>
  <c r="L57" i="29"/>
  <c r="L65" i="29"/>
  <c r="L72" i="29"/>
  <c r="L84" i="29"/>
  <c r="L92" i="29"/>
  <c r="L100" i="29"/>
  <c r="L110" i="29"/>
  <c r="L112" i="29"/>
  <c r="L147" i="29"/>
  <c r="L168" i="29"/>
  <c r="L172" i="29"/>
  <c r="L174" i="29"/>
  <c r="L184" i="29"/>
  <c r="L194" i="29"/>
  <c r="L196" i="29"/>
  <c r="L204" i="29"/>
  <c r="L208" i="29" s="1"/>
  <c r="L229" i="29"/>
  <c r="L238" i="29"/>
  <c r="L243" i="29"/>
  <c r="L257" i="29"/>
  <c r="L261" i="29"/>
  <c r="L270" i="29"/>
  <c r="L277" i="29"/>
  <c r="L293" i="29"/>
  <c r="L303" i="29"/>
  <c r="L310" i="29"/>
  <c r="L312" i="29" s="1"/>
  <c r="L330" i="29"/>
  <c r="L340" i="29"/>
  <c r="L350" i="29"/>
  <c r="L352" i="29"/>
  <c r="L362" i="29"/>
  <c r="L365" i="29" s="1"/>
  <c r="C12" i="5"/>
  <c r="B5066" i="106" s="1"/>
  <c r="D5066" i="106" s="1"/>
  <c r="D12" i="5"/>
  <c r="B5334" i="106"/>
  <c r="D5334" i="106" s="1"/>
  <c r="E12" i="5"/>
  <c r="B5513" i="106"/>
  <c r="D5513" i="106" s="1"/>
  <c r="F12" i="5"/>
  <c r="G12" i="5"/>
  <c r="B5725" i="106" s="1"/>
  <c r="D5725" i="106" s="1"/>
  <c r="H12" i="5"/>
  <c r="B5873" i="106" s="1"/>
  <c r="D5873" i="106" s="1"/>
  <c r="I12" i="5"/>
  <c r="B5918" i="106"/>
  <c r="D5918" i="106" s="1"/>
  <c r="J12" i="5"/>
  <c r="B6301" i="106" s="1"/>
  <c r="D6301" i="106" s="1"/>
  <c r="K12" i="5"/>
  <c r="B5987" i="106" s="1"/>
  <c r="D5987" i="106" s="1"/>
  <c r="C18" i="5"/>
  <c r="B5071" i="106"/>
  <c r="D5071" i="106" s="1"/>
  <c r="D18" i="5"/>
  <c r="B5339" i="106"/>
  <c r="D5339" i="106" s="1"/>
  <c r="E18" i="5"/>
  <c r="F18" i="5"/>
  <c r="B5562" i="106"/>
  <c r="D5562" i="106" s="1"/>
  <c r="G18" i="5"/>
  <c r="B5730" i="106" s="1"/>
  <c r="D5730" i="106" s="1"/>
  <c r="H18" i="5"/>
  <c r="B5878" i="106" s="1"/>
  <c r="D5878" i="106" s="1"/>
  <c r="I18" i="5"/>
  <c r="B5923" i="106" s="1"/>
  <c r="D5923" i="106"/>
  <c r="J18" i="5"/>
  <c r="B6306" i="106" s="1"/>
  <c r="D6306" i="106" s="1"/>
  <c r="K18" i="5"/>
  <c r="B5992" i="106" s="1"/>
  <c r="D5992" i="106" s="1"/>
  <c r="C40" i="5"/>
  <c r="B5087" i="106" s="1"/>
  <c r="D5087" i="106" s="1"/>
  <c r="F63" i="5"/>
  <c r="B5579" i="106" s="1"/>
  <c r="D5579" i="106" s="1"/>
  <c r="C67" i="5"/>
  <c r="B5090" i="106"/>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s="1"/>
  <c r="D5587" i="106" s="1"/>
  <c r="G108" i="5"/>
  <c r="B5737" i="106" s="1"/>
  <c r="D5737" i="106" s="1"/>
  <c r="H108" i="5"/>
  <c r="B5886" i="106" s="1"/>
  <c r="D5886" i="106" s="1"/>
  <c r="I108" i="5"/>
  <c r="B5930" i="106"/>
  <c r="D5930" i="106" s="1"/>
  <c r="J108" i="5"/>
  <c r="B6351" i="106" s="1"/>
  <c r="D6351" i="106" s="1"/>
  <c r="K108" i="5"/>
  <c r="B5999" i="106" s="1"/>
  <c r="D5999" i="106" s="1"/>
  <c r="C114" i="5"/>
  <c r="B5125" i="106"/>
  <c r="D5125" i="106" s="1"/>
  <c r="D114" i="5"/>
  <c r="B5360" i="106"/>
  <c r="D5360" i="106" s="1"/>
  <c r="F114" i="5"/>
  <c r="B5592" i="106" s="1"/>
  <c r="D5592" i="106" s="1"/>
  <c r="G114" i="5"/>
  <c r="B5741" i="106"/>
  <c r="D5741" i="106" s="1"/>
  <c r="C122" i="5"/>
  <c r="B5132" i="106" s="1"/>
  <c r="D5132" i="106" s="1"/>
  <c r="D122" i="5"/>
  <c r="B5367" i="106" s="1"/>
  <c r="D5367" i="106" s="1"/>
  <c r="E122" i="5"/>
  <c r="F122" i="5"/>
  <c r="B5599" i="106" s="1"/>
  <c r="D5599" i="106" s="1"/>
  <c r="F132" i="5"/>
  <c r="F155" i="5"/>
  <c r="B5618" i="106" s="1"/>
  <c r="D5618" i="106" s="1"/>
  <c r="G122" i="5"/>
  <c r="B5748" i="106"/>
  <c r="D5748" i="106" s="1"/>
  <c r="H122" i="5"/>
  <c r="B5893" i="106"/>
  <c r="D5893" i="106" s="1"/>
  <c r="J122" i="5"/>
  <c r="B6357" i="106" s="1"/>
  <c r="D6357" i="106" s="1"/>
  <c r="K122" i="5"/>
  <c r="B6006" i="106"/>
  <c r="D6006" i="106" s="1"/>
  <c r="C132" i="5"/>
  <c r="B5147" i="106" s="1"/>
  <c r="D5147" i="106" s="1"/>
  <c r="D132" i="5"/>
  <c r="B5369" i="106" s="1"/>
  <c r="D5369" i="106" s="1"/>
  <c r="C141" i="5"/>
  <c r="B5161" i="106" s="1"/>
  <c r="D5161" i="106"/>
  <c r="D141" i="5"/>
  <c r="B5383" i="106" s="1"/>
  <c r="D5383" i="106" s="1"/>
  <c r="G141" i="5"/>
  <c r="B5752" i="106" s="1"/>
  <c r="D5752" i="106" s="1"/>
  <c r="G145" i="5"/>
  <c r="B5756" i="106" s="1"/>
  <c r="D5756" i="106" s="1"/>
  <c r="G155" i="5"/>
  <c r="B4357" i="106" s="1"/>
  <c r="D4357" i="106" s="1"/>
  <c r="C145" i="5"/>
  <c r="B5165" i="106"/>
  <c r="D5165" i="106" s="1"/>
  <c r="C155" i="5"/>
  <c r="B5178" i="106" s="1"/>
  <c r="D5178" i="106" s="1"/>
  <c r="D155" i="5"/>
  <c r="F111" i="34" s="1"/>
  <c r="E169" i="5"/>
  <c r="B5537" i="106" s="1"/>
  <c r="D5537" i="106" s="1"/>
  <c r="H169" i="5"/>
  <c r="B5899" i="106"/>
  <c r="D5899" i="106" s="1"/>
  <c r="I169" i="5"/>
  <c r="B4363" i="106" s="1"/>
  <c r="D4363" i="106"/>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I267" i="5" s="1"/>
  <c r="B4373" i="106"/>
  <c r="D4373" i="106" s="1"/>
  <c r="J175" i="5"/>
  <c r="B6400" i="106" s="1"/>
  <c r="D6400" i="106" s="1"/>
  <c r="K175" i="5"/>
  <c r="B4951" i="106" s="1"/>
  <c r="D4951" i="106" s="1"/>
  <c r="C181" i="5"/>
  <c r="B5232" i="106"/>
  <c r="D5232" i="106" s="1"/>
  <c r="D181" i="5"/>
  <c r="B5425" i="106"/>
  <c r="D5425" i="106" s="1"/>
  <c r="F181" i="5"/>
  <c r="B5658" i="106" s="1"/>
  <c r="D5658" i="106" s="1"/>
  <c r="G181" i="5"/>
  <c r="B5784" i="106"/>
  <c r="D5784" i="106" s="1"/>
  <c r="H181" i="5"/>
  <c r="B5908" i="106" s="1"/>
  <c r="D5908" i="106" s="1"/>
  <c r="K181" i="5"/>
  <c r="B6016" i="106" s="1"/>
  <c r="D6016" i="106" s="1"/>
  <c r="D188" i="5"/>
  <c r="F188" i="5"/>
  <c r="B4397" i="106" s="1"/>
  <c r="D4397" i="106" s="1"/>
  <c r="G188" i="5"/>
  <c r="B4398" i="106" s="1"/>
  <c r="D4398" i="106" s="1"/>
  <c r="G198" i="5"/>
  <c r="F125" i="34" s="1"/>
  <c r="D204" i="5"/>
  <c r="F204" i="5"/>
  <c r="B5677" i="106" s="1"/>
  <c r="D5677" i="106" s="1"/>
  <c r="G204" i="5"/>
  <c r="B5803" i="106" s="1"/>
  <c r="D5803" i="106" s="1"/>
  <c r="B4411" i="106"/>
  <c r="D4411" i="106" s="1"/>
  <c r="D209" i="5"/>
  <c r="B4412" i="106"/>
  <c r="D4412" i="106" s="1"/>
  <c r="F209" i="5"/>
  <c r="B4413" i="106" s="1"/>
  <c r="D4413" i="106" s="1"/>
  <c r="G209" i="5"/>
  <c r="B4414" i="106"/>
  <c r="D4414" i="106" s="1"/>
  <c r="D217" i="5"/>
  <c r="B5470" i="106" s="1"/>
  <c r="D5470" i="106" s="1"/>
  <c r="F217" i="5"/>
  <c r="B5703" i="106" s="1"/>
  <c r="D5703" i="106" s="1"/>
  <c r="G217" i="5"/>
  <c r="B5829" i="106" s="1"/>
  <c r="D5829" i="106"/>
  <c r="B5304" i="106"/>
  <c r="D5304" i="106" s="1"/>
  <c r="D221" i="5"/>
  <c r="B5488" i="106" s="1"/>
  <c r="D5488" i="106" s="1"/>
  <c r="G221" i="5"/>
  <c r="B5847" i="106" s="1"/>
  <c r="D5847" i="106" s="1"/>
  <c r="G252" i="5"/>
  <c r="B6833" i="106"/>
  <c r="D6833" i="106"/>
  <c r="D252" i="5"/>
  <c r="B6834" i="106" s="1"/>
  <c r="D6834" i="106" s="1"/>
  <c r="E252" i="5"/>
  <c r="E266" i="5" s="1"/>
  <c r="F252" i="5"/>
  <c r="B6836" i="106" s="1"/>
  <c r="D6836" i="106"/>
  <c r="H252" i="5"/>
  <c r="H266" i="5" s="1"/>
  <c r="B4441" i="106" s="1"/>
  <c r="D4441" i="106" s="1"/>
  <c r="J252" i="5"/>
  <c r="K252" i="5"/>
  <c r="B6840" i="106" s="1"/>
  <c r="D6840" i="106" s="1"/>
  <c r="K266" i="5"/>
  <c r="G14" i="4"/>
  <c r="B2609" i="106" s="1"/>
  <c r="D2609" i="106" s="1"/>
  <c r="C14" i="4"/>
  <c r="B2558" i="106" s="1"/>
  <c r="D2558" i="106" s="1"/>
  <c r="D14" i="4"/>
  <c r="B2570" i="106"/>
  <c r="D2570" i="106" s="1"/>
  <c r="F14" i="4"/>
  <c r="B2597" i="106" s="1"/>
  <c r="D2597" i="106"/>
  <c r="D7" i="118"/>
  <c r="D8" i="118"/>
  <c r="D9" i="118"/>
  <c r="H14" i="118"/>
  <c r="H19" i="118"/>
  <c r="H24" i="118"/>
  <c r="H33" i="118"/>
  <c r="D22" i="37"/>
  <c r="J22" i="37"/>
  <c r="L22" i="37"/>
  <c r="N22" i="3"/>
  <c r="H29" i="118"/>
  <c r="L5" i="11"/>
  <c r="B2056" i="106" s="1"/>
  <c r="D2056" i="106" s="1"/>
  <c r="D69" i="36"/>
  <c r="D31" i="36"/>
  <c r="J77" i="4"/>
  <c r="B6262" i="106" s="1"/>
  <c r="D6262" i="106" s="1"/>
  <c r="B4211" i="106"/>
  <c r="D4211" i="106"/>
  <c r="F77" i="4"/>
  <c r="B3255" i="106"/>
  <c r="D3255" i="106" s="1"/>
  <c r="F44" i="34"/>
  <c r="G38" i="108"/>
  <c r="D24" i="37"/>
  <c r="B4270" i="106" s="1"/>
  <c r="D4270" i="106" s="1"/>
  <c r="D11" i="37"/>
  <c r="F34" i="34"/>
  <c r="E38" i="108"/>
  <c r="H365" i="29"/>
  <c r="B7242" i="106" s="1"/>
  <c r="D7242" i="106" s="1"/>
  <c r="K76" i="4"/>
  <c r="K77" i="4" s="1"/>
  <c r="B3587" i="106" s="1"/>
  <c r="D3587" i="106" s="1"/>
  <c r="G15" i="145"/>
  <c r="K184" i="29"/>
  <c r="F13" i="4" s="1"/>
  <c r="B2596" i="106" s="1"/>
  <c r="D2596" i="106" s="1"/>
  <c r="G210" i="29"/>
  <c r="B1365" i="106" s="1"/>
  <c r="D1365" i="106" s="1"/>
  <c r="B3647" i="106"/>
  <c r="D3647" i="106" s="1"/>
  <c r="E28" i="108"/>
  <c r="C129" i="29"/>
  <c r="C151" i="29" s="1"/>
  <c r="B1226" i="106" s="1"/>
  <c r="D1226" i="106" s="1"/>
  <c r="D37" i="108"/>
  <c r="F37" i="108"/>
  <c r="G30" i="108"/>
  <c r="E30" i="108"/>
  <c r="F28" i="108"/>
  <c r="B2724" i="106"/>
  <c r="D2724" i="106" s="1"/>
  <c r="C352" i="29"/>
  <c r="B3621" i="106" s="1"/>
  <c r="D3621" i="106" s="1"/>
  <c r="B1308" i="106"/>
  <c r="D1308" i="106"/>
  <c r="E174" i="29"/>
  <c r="B1309" i="106"/>
  <c r="D1309" i="106" s="1"/>
  <c r="B1126" i="106"/>
  <c r="D1126" i="106" s="1"/>
  <c r="D17" i="7"/>
  <c r="B4104" i="106" s="1"/>
  <c r="D4104" i="106" s="1"/>
  <c r="F49" i="34"/>
  <c r="B3254" i="106"/>
  <c r="D3254" i="106" s="1"/>
  <c r="I24" i="12"/>
  <c r="B1996" i="106" s="1"/>
  <c r="D1996" i="106" s="1"/>
  <c r="B3649" i="106"/>
  <c r="D3649" i="106" s="1"/>
  <c r="G367" i="29"/>
  <c r="B3650" i="106" s="1"/>
  <c r="D3650" i="106" s="1"/>
  <c r="D5" i="4"/>
  <c r="B3406" i="106" s="1"/>
  <c r="D3406" i="106" s="1"/>
  <c r="I342" i="29"/>
  <c r="B7222" i="106" s="1"/>
  <c r="D7222" i="106" s="1"/>
  <c r="K350" i="29"/>
  <c r="B3670" i="106" s="1"/>
  <c r="D3670" i="106" s="1"/>
  <c r="F21" i="8"/>
  <c r="H22" i="37" s="1"/>
  <c r="K24" i="12"/>
  <c r="F35" i="34"/>
  <c r="D3583" i="106"/>
  <c r="B3635" i="106"/>
  <c r="D3635" i="106" s="1"/>
  <c r="F45" i="34"/>
  <c r="K285" i="29"/>
  <c r="B3724" i="106" s="1"/>
  <c r="D3724" i="106" s="1"/>
  <c r="B1410" i="106"/>
  <c r="D1410" i="106" s="1"/>
  <c r="B1329" i="106"/>
  <c r="D1329" i="106" s="1"/>
  <c r="F61" i="34"/>
  <c r="D13" i="7"/>
  <c r="B3726" i="106"/>
  <c r="D3726" i="106" s="1"/>
  <c r="I170" i="5"/>
  <c r="B4216" i="106" s="1"/>
  <c r="D4216" i="106" s="1"/>
  <c r="D4" i="7"/>
  <c r="B1760" i="106" s="1"/>
  <c r="D1760" i="106" s="1"/>
  <c r="G5" i="4"/>
  <c r="B3409" i="106"/>
  <c r="D3409" i="106" s="1"/>
  <c r="G169" i="5"/>
  <c r="B5770" i="106" s="1"/>
  <c r="D5770" i="106" s="1"/>
  <c r="B4396" i="106"/>
  <c r="D4396" i="106" s="1"/>
  <c r="K170" i="5"/>
  <c r="K6" i="4" s="1"/>
  <c r="B3570" i="106" s="1"/>
  <c r="D3570" i="106" s="1"/>
  <c r="D15" i="7"/>
  <c r="B1772" i="106" s="1"/>
  <c r="D1772" i="106" s="1"/>
  <c r="H170" i="5"/>
  <c r="H295" i="29"/>
  <c r="B1454" i="106" s="1"/>
  <c r="D1454" i="106" s="1"/>
  <c r="B4156" i="106"/>
  <c r="D4156" i="106" s="1"/>
  <c r="H172" i="29"/>
  <c r="B1317" i="106" s="1"/>
  <c r="D1317" i="106" s="1"/>
  <c r="B2823" i="106"/>
  <c r="D2823" i="106" s="1"/>
  <c r="J90" i="28"/>
  <c r="H352" i="29"/>
  <c r="B3656" i="106" s="1"/>
  <c r="D3656" i="106" s="1"/>
  <c r="E102" i="29"/>
  <c r="B2790" i="106" s="1"/>
  <c r="D2790" i="106" s="1"/>
  <c r="K84" i="29"/>
  <c r="B2088" i="106" s="1"/>
  <c r="D2088" i="106" s="1"/>
  <c r="F95" i="34"/>
  <c r="C5" i="4"/>
  <c r="B3405" i="106" s="1"/>
  <c r="D3405" i="106" s="1"/>
  <c r="F48" i="34"/>
  <c r="F40" i="34"/>
  <c r="D7200" i="106"/>
  <c r="D342" i="29"/>
  <c r="B7217" i="106" s="1"/>
  <c r="D7217" i="106" s="1"/>
  <c r="B7144" i="106"/>
  <c r="D7144" i="106" s="1"/>
  <c r="B6885" i="106"/>
  <c r="D6885" i="106" s="1"/>
  <c r="F43" i="34"/>
  <c r="B6877" i="106"/>
  <c r="D6877" i="106"/>
  <c r="F39" i="34"/>
  <c r="B3703" i="106"/>
  <c r="D3703" i="106" s="1"/>
  <c r="K362" i="29"/>
  <c r="B3676" i="106" s="1"/>
  <c r="D3676" i="106"/>
  <c r="D352" i="29"/>
  <c r="D367" i="29"/>
  <c r="B3629" i="106" s="1"/>
  <c r="D3629" i="106" s="1"/>
  <c r="I76" i="4"/>
  <c r="B3318" i="106" s="1"/>
  <c r="D3318" i="106" s="1"/>
  <c r="L41" i="3"/>
  <c r="H312" i="29"/>
  <c r="B1554" i="106"/>
  <c r="D1554" i="106" s="1"/>
  <c r="E312" i="29"/>
  <c r="B1536" i="106" s="1"/>
  <c r="D1536" i="106" s="1"/>
  <c r="D312" i="29"/>
  <c r="B1530" i="106" s="1"/>
  <c r="D1530" i="106" s="1"/>
  <c r="B1512" i="106"/>
  <c r="D1512" i="106"/>
  <c r="K229" i="29"/>
  <c r="B1352" i="106"/>
  <c r="D1352" i="106" s="1"/>
  <c r="E210" i="29"/>
  <c r="B1353" i="106" s="1"/>
  <c r="D1353" i="106" s="1"/>
  <c r="B1264" i="106"/>
  <c r="D1264" i="106" s="1"/>
  <c r="H129" i="29"/>
  <c r="B1239" i="106"/>
  <c r="D1239" i="106"/>
  <c r="E129" i="29"/>
  <c r="E151" i="29" s="1"/>
  <c r="B1242" i="106" s="1"/>
  <c r="D1242" i="106" s="1"/>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c r="L3" i="11"/>
  <c r="B7596" i="106" s="1"/>
  <c r="L10" i="11"/>
  <c r="B2058" i="106" s="1"/>
  <c r="D2058" i="106" s="1"/>
  <c r="D10" i="7"/>
  <c r="B1765" i="106"/>
  <c r="D1765" i="106" s="1"/>
  <c r="B19" i="7"/>
  <c r="B1759" i="106" s="1"/>
  <c r="D1759" i="106" s="1"/>
  <c r="D8" i="7"/>
  <c r="B1764" i="106" s="1"/>
  <c r="D1764" i="106" s="1"/>
  <c r="F266" i="5"/>
  <c r="F267" i="5" s="1"/>
  <c r="F7" i="4" s="1"/>
  <c r="B2594" i="106" s="1"/>
  <c r="D2594" i="106" s="1"/>
  <c r="B4950" i="106"/>
  <c r="D4950" i="106" s="1"/>
  <c r="L210" i="29"/>
  <c r="B1121" i="106"/>
  <c r="D1121" i="106" s="1"/>
  <c r="E12" i="145"/>
  <c r="G12" i="145" s="1"/>
  <c r="B1116" i="106"/>
  <c r="D1116" i="106" s="1"/>
  <c r="B7600" i="106"/>
  <c r="L6" i="11"/>
  <c r="B7605" i="106" s="1"/>
  <c r="B6835" i="106"/>
  <c r="D6835" i="106"/>
  <c r="I109" i="5"/>
  <c r="I4" i="4" s="1"/>
  <c r="L74" i="29"/>
  <c r="B7618" i="106"/>
  <c r="L14" i="11"/>
  <c r="B7623" i="106" s="1"/>
  <c r="B7230" i="106"/>
  <c r="D7230" i="106" s="1"/>
  <c r="I352" i="29"/>
  <c r="F342" i="29"/>
  <c r="B7219" i="106" s="1"/>
  <c r="D7219" i="106"/>
  <c r="B7503" i="106"/>
  <c r="B7531" i="106"/>
  <c r="B7214" i="106"/>
  <c r="D7214" i="106"/>
  <c r="B7201" i="106"/>
  <c r="D7201" i="106" s="1"/>
  <c r="E342" i="29"/>
  <c r="B7218" i="106" s="1"/>
  <c r="D7218" i="106" s="1"/>
  <c r="B6917" i="106"/>
  <c r="D6917" i="106" s="1"/>
  <c r="D7248" i="106"/>
  <c r="J312" i="29"/>
  <c r="B7117" i="106" s="1"/>
  <c r="D7117" i="106" s="1"/>
  <c r="I312" i="29"/>
  <c r="B7116" i="106" s="1"/>
  <c r="D7116" i="106" s="1"/>
  <c r="J151" i="29"/>
  <c r="B7052" i="106" s="1"/>
  <c r="D7052" i="106" s="1"/>
  <c r="B6916" i="106"/>
  <c r="D6916" i="106" s="1"/>
  <c r="I74" i="29"/>
  <c r="I114" i="29" s="1"/>
  <c r="B7020" i="106" s="1"/>
  <c r="D7020" i="106" s="1"/>
  <c r="B3633" i="106"/>
  <c r="D3633" i="106" s="1"/>
  <c r="E352" i="29"/>
  <c r="E367" i="29" s="1"/>
  <c r="B3636" i="106" s="1"/>
  <c r="D3636" i="106" s="1"/>
  <c r="E44" i="4"/>
  <c r="E77" i="4" s="1"/>
  <c r="B3277" i="106" s="1"/>
  <c r="D3277" i="106" s="1"/>
  <c r="B3235" i="106"/>
  <c r="D3235" i="106" s="1"/>
  <c r="D77" i="4"/>
  <c r="B3238" i="106" s="1"/>
  <c r="D3238" i="106" s="1"/>
  <c r="B3229" i="106"/>
  <c r="D3229" i="106" s="1"/>
  <c r="C77" i="4"/>
  <c r="B3232" i="106" s="1"/>
  <c r="D3232" i="106" s="1"/>
  <c r="B1977" i="106"/>
  <c r="D1977" i="106" s="1"/>
  <c r="H24" i="12"/>
  <c r="B1983" i="106" s="1"/>
  <c r="D1983" i="106" s="1"/>
  <c r="B1867" i="106"/>
  <c r="D1867" i="106" s="1"/>
  <c r="K310" i="29"/>
  <c r="B2102" i="106" s="1"/>
  <c r="B4099" i="106"/>
  <c r="D4099" i="106" s="1"/>
  <c r="B1555" i="106"/>
  <c r="D1555" i="106"/>
  <c r="K303" i="29"/>
  <c r="H13" i="4" s="1"/>
  <c r="G312" i="29"/>
  <c r="B1548" i="106" s="1"/>
  <c r="D1548" i="106" s="1"/>
  <c r="F312" i="29"/>
  <c r="B1542" i="106" s="1"/>
  <c r="D1542" i="106" s="1"/>
  <c r="B1523" i="106"/>
  <c r="D1523" i="106" s="1"/>
  <c r="C312" i="29"/>
  <c r="B1524" i="106" s="1"/>
  <c r="D1524" i="106"/>
  <c r="K277" i="29"/>
  <c r="B1508" i="106" s="1"/>
  <c r="D1508" i="106" s="1"/>
  <c r="B1475" i="106"/>
  <c r="D1475" i="106" s="1"/>
  <c r="K238" i="29"/>
  <c r="K204" i="29"/>
  <c r="B2842" i="106"/>
  <c r="D2842" i="106" s="1"/>
  <c r="B1127" i="106"/>
  <c r="D1127" i="106" s="1"/>
  <c r="K65" i="29"/>
  <c r="B1133" i="106" s="1"/>
  <c r="D1133" i="106"/>
  <c r="B1123" i="106"/>
  <c r="D1123" i="106" s="1"/>
  <c r="K57" i="29"/>
  <c r="B3640" i="106"/>
  <c r="D3640" i="106" s="1"/>
  <c r="F352" i="29"/>
  <c r="F367" i="29" s="1"/>
  <c r="B3643" i="106" s="1"/>
  <c r="D3643" i="106" s="1"/>
  <c r="B3296" i="106"/>
  <c r="D3296" i="106" s="1"/>
  <c r="G77" i="4"/>
  <c r="B3261" i="106" s="1"/>
  <c r="D3261" i="106" s="1"/>
  <c r="L12" i="11"/>
  <c r="B2059" i="106" s="1"/>
  <c r="D2059" i="106" s="1"/>
  <c r="L8" i="11"/>
  <c r="B2057" i="106" s="1"/>
  <c r="D2057" i="106" s="1"/>
  <c r="G24" i="12"/>
  <c r="G26" i="12" s="1"/>
  <c r="B7739" i="106" s="1"/>
  <c r="D7739" i="106" s="1"/>
  <c r="B1492" i="106"/>
  <c r="D1492" i="106" s="1"/>
  <c r="K270" i="29"/>
  <c r="B1500" i="106" s="1"/>
  <c r="D1500" i="106" s="1"/>
  <c r="B1417" i="106"/>
  <c r="D1417" i="106" s="1"/>
  <c r="H196" i="29"/>
  <c r="B2828" i="106"/>
  <c r="D2828" i="106" s="1"/>
  <c r="B2986" i="106"/>
  <c r="D2986" i="106" s="1"/>
  <c r="B1256" i="106"/>
  <c r="D1256" i="106" s="1"/>
  <c r="G129" i="29"/>
  <c r="B1135" i="106"/>
  <c r="D1135" i="106" s="1"/>
  <c r="K72" i="29"/>
  <c r="B1141" i="106" s="1"/>
  <c r="D1141" i="106" s="1"/>
  <c r="B1021" i="106"/>
  <c r="D1021" i="106" s="1"/>
  <c r="H74" i="29"/>
  <c r="B1045" i="106" s="1"/>
  <c r="D1045" i="106" s="1"/>
  <c r="B847" i="106"/>
  <c r="D847" i="106" s="1"/>
  <c r="E74" i="29"/>
  <c r="E114" i="29" s="1"/>
  <c r="B873" i="106" s="1"/>
  <c r="D873" i="106" s="1"/>
  <c r="E39" i="108"/>
  <c r="B1144" i="106"/>
  <c r="D1144" i="106" s="1"/>
  <c r="K194" i="29"/>
  <c r="K196" i="29" s="1"/>
  <c r="B1382" i="106" s="1"/>
  <c r="D1382" i="106" s="1"/>
  <c r="B1358" i="106"/>
  <c r="D1358" i="106" s="1"/>
  <c r="F210" i="29"/>
  <c r="B1359" i="106" s="1"/>
  <c r="D1359" i="106" s="1"/>
  <c r="B1345" i="106"/>
  <c r="D1345" i="106" s="1"/>
  <c r="D210" i="29"/>
  <c r="B1346" i="106" s="1"/>
  <c r="D1346" i="106" s="1"/>
  <c r="B1283" i="106"/>
  <c r="D1283" i="106" s="1"/>
  <c r="K147" i="29"/>
  <c r="K149" i="29" s="1"/>
  <c r="B1275" i="106"/>
  <c r="D1275" i="106" s="1"/>
  <c r="B1266" i="106"/>
  <c r="D1266" i="106" s="1"/>
  <c r="H151" i="29"/>
  <c r="B1273" i="106" s="1"/>
  <c r="D1273" i="106" s="1"/>
  <c r="B1247" i="106"/>
  <c r="D1247" i="106" s="1"/>
  <c r="F129" i="29"/>
  <c r="F151" i="29" s="1"/>
  <c r="B1250" i="106" s="1"/>
  <c r="D1250" i="106" s="1"/>
  <c r="B1231" i="106"/>
  <c r="D1231" i="106"/>
  <c r="D129" i="29"/>
  <c r="D151" i="29" s="1"/>
  <c r="B1234" i="106" s="1"/>
  <c r="B1109" i="106"/>
  <c r="D1109" i="106" s="1"/>
  <c r="K42" i="29"/>
  <c r="G21" i="108" s="1"/>
  <c r="G74" i="29"/>
  <c r="B987" i="106" s="1"/>
  <c r="D987" i="106" s="1"/>
  <c r="B905" i="106"/>
  <c r="D905" i="106" s="1"/>
  <c r="F74" i="29"/>
  <c r="D74" i="29"/>
  <c r="B211" i="106"/>
  <c r="D211" i="106" s="1"/>
  <c r="B188" i="106"/>
  <c r="D188" i="106"/>
  <c r="B139" i="106"/>
  <c r="D139" i="106" s="1"/>
  <c r="L151" i="29"/>
  <c r="C266" i="5"/>
  <c r="J24" i="12"/>
  <c r="B7732" i="106" s="1"/>
  <c r="D7732" i="106" s="1"/>
  <c r="B7730" i="106"/>
  <c r="D7730" i="106" s="1"/>
  <c r="B7270" i="106"/>
  <c r="I26" i="12"/>
  <c r="B7741" i="106" s="1"/>
  <c r="D7741" i="106" s="1"/>
  <c r="B7733" i="106"/>
  <c r="D7733" i="106" s="1"/>
  <c r="K26" i="12"/>
  <c r="B7743" i="106" s="1"/>
  <c r="D7743" i="106" s="1"/>
  <c r="B1879" i="106"/>
  <c r="D1879" i="106" s="1"/>
  <c r="B3628" i="106"/>
  <c r="D3628" i="106"/>
  <c r="F73" i="34"/>
  <c r="B7760" i="106"/>
  <c r="D7760" i="106" s="1"/>
  <c r="D24" i="36"/>
  <c r="I77" i="4"/>
  <c r="B3319" i="106" s="1"/>
  <c r="D3319" i="106" s="1"/>
  <c r="B3674" i="106"/>
  <c r="D3674" i="106" s="1"/>
  <c r="B1241" i="106"/>
  <c r="D1241" i="106" s="1"/>
  <c r="B1474" i="106"/>
  <c r="D1474" i="106" s="1"/>
  <c r="G12" i="4"/>
  <c r="B2917" i="106"/>
  <c r="D2917" i="106"/>
  <c r="B5320" i="106"/>
  <c r="D5320" i="106" s="1"/>
  <c r="B929" i="106"/>
  <c r="D929" i="106" s="1"/>
  <c r="G114" i="29"/>
  <c r="F54" i="34" s="1"/>
  <c r="D1234" i="106"/>
  <c r="B1233" i="106"/>
  <c r="D1233" i="106" s="1"/>
  <c r="B1249" i="106"/>
  <c r="D1249" i="106" s="1"/>
  <c r="B2837" i="106"/>
  <c r="D2837" i="106"/>
  <c r="G151" i="29"/>
  <c r="F58" i="34" s="1"/>
  <c r="B1258" i="106"/>
  <c r="D1258" i="106" s="1"/>
  <c r="B1125" i="106"/>
  <c r="D1125" i="106" s="1"/>
  <c r="G24" i="108"/>
  <c r="E24" i="108"/>
  <c r="K312" i="29"/>
  <c r="B1560" i="106" s="1"/>
  <c r="D1560" i="106" s="1"/>
  <c r="B1559" i="106"/>
  <c r="D1559" i="106" s="1"/>
  <c r="B3274" i="106"/>
  <c r="D3274" i="106" s="1"/>
  <c r="B7747" i="106"/>
  <c r="D7747" i="106" s="1"/>
  <c r="B813" i="106"/>
  <c r="D813" i="106"/>
  <c r="B1958" i="106"/>
  <c r="D1958" i="106" s="1"/>
  <c r="B1481" i="106"/>
  <c r="D1481" i="106" s="1"/>
  <c r="D2102" i="106"/>
  <c r="H15" i="4"/>
  <c r="B2660" i="106" s="1"/>
  <c r="D2660" i="106" s="1"/>
  <c r="E19" i="145"/>
  <c r="B7298" i="106"/>
  <c r="B7299" i="106"/>
  <c r="B1259" i="106"/>
  <c r="D1259" i="106" s="1"/>
  <c r="B3225" i="106"/>
  <c r="D3225" i="106" s="1"/>
  <c r="B2659" i="106"/>
  <c r="D2659" i="106"/>
  <c r="G19" i="145" l="1"/>
  <c r="H174" i="29"/>
  <c r="B1318" i="106" s="1"/>
  <c r="D1318" i="106" s="1"/>
  <c r="B1225" i="106"/>
  <c r="D1225" i="106" s="1"/>
  <c r="B6409" i="106"/>
  <c r="D6409" i="106" s="1"/>
  <c r="B5394" i="106"/>
  <c r="D5394" i="106" s="1"/>
  <c r="F107" i="34"/>
  <c r="F169" i="5"/>
  <c r="B7199" i="106"/>
  <c r="D7199" i="106" s="1"/>
  <c r="L102" i="29"/>
  <c r="F157" i="34"/>
  <c r="J74" i="29"/>
  <c r="D6103" i="106"/>
  <c r="I49" i="8"/>
  <c r="B1" i="183"/>
  <c r="B1" i="187"/>
  <c r="A2" i="173"/>
  <c r="F19" i="7"/>
  <c r="B1807" i="106" s="1"/>
  <c r="D1807" i="106" s="1"/>
  <c r="J26" i="12"/>
  <c r="B7742" i="106" s="1"/>
  <c r="D7742" i="106" s="1"/>
  <c r="B1287" i="106"/>
  <c r="D1287" i="106" s="1"/>
  <c r="D16" i="4"/>
  <c r="B2572" i="106" s="1"/>
  <c r="D2572" i="106" s="1"/>
  <c r="B4171" i="106"/>
  <c r="D4171" i="106" s="1"/>
  <c r="N36" i="3"/>
  <c r="B285" i="106" s="1"/>
  <c r="D285" i="106" s="1"/>
  <c r="J114" i="29"/>
  <c r="B7021" i="106" s="1"/>
  <c r="D7021" i="106" s="1"/>
  <c r="B6978" i="106"/>
  <c r="D6978" i="106" s="1"/>
  <c r="I7" i="4"/>
  <c r="B4444" i="106" s="1"/>
  <c r="D4444" i="106" s="1"/>
  <c r="B4435" i="106"/>
  <c r="D4435" i="106" s="1"/>
  <c r="D114" i="29"/>
  <c r="B815" i="106" s="1"/>
  <c r="D815" i="106" s="1"/>
  <c r="K257" i="29"/>
  <c r="B1488" i="106" s="1"/>
  <c r="D1488" i="106" s="1"/>
  <c r="D266" i="5"/>
  <c r="K53" i="29"/>
  <c r="B1122" i="106" s="1"/>
  <c r="D1122" i="106" s="1"/>
  <c r="D169" i="5"/>
  <c r="B5412" i="106" s="1"/>
  <c r="D5412" i="106" s="1"/>
  <c r="J170" i="5"/>
  <c r="F41" i="34"/>
  <c r="F123" i="34"/>
  <c r="C109" i="5"/>
  <c r="I268" i="5"/>
  <c r="B5946" i="106" s="1"/>
  <c r="D5946" i="106" s="1"/>
  <c r="H26" i="12"/>
  <c r="B7740" i="106" s="1"/>
  <c r="D7740" i="106" s="1"/>
  <c r="H367" i="29"/>
  <c r="B3660" i="106" s="1"/>
  <c r="D3660" i="106" s="1"/>
  <c r="D7246" i="106"/>
  <c r="F47" i="34"/>
  <c r="B6838" i="106"/>
  <c r="D6838" i="106" s="1"/>
  <c r="F5" i="4"/>
  <c r="B3408" i="106" s="1"/>
  <c r="D3408" i="106" s="1"/>
  <c r="C367" i="29"/>
  <c r="B3622" i="106" s="1"/>
  <c r="D3622" i="106" s="1"/>
  <c r="F42" i="34"/>
  <c r="L367" i="29"/>
  <c r="F50" i="34"/>
  <c r="D68" i="36"/>
  <c r="L114" i="29"/>
  <c r="B5719" i="106"/>
  <c r="D5719" i="106" s="1"/>
  <c r="B3642" i="106"/>
  <c r="D3642" i="106" s="1"/>
  <c r="B871" i="106"/>
  <c r="D871" i="106" s="1"/>
  <c r="B6977" i="106"/>
  <c r="D6977" i="106" s="1"/>
  <c r="C267" i="5"/>
  <c r="D170" i="5"/>
  <c r="B6014" i="106"/>
  <c r="D6014" i="106" s="1"/>
  <c r="I6" i="4"/>
  <c r="B5011" i="106" s="1"/>
  <c r="D5011" i="106" s="1"/>
  <c r="H267" i="5"/>
  <c r="K137" i="29"/>
  <c r="L342" i="29"/>
  <c r="B7048" i="106"/>
  <c r="D7048" i="106" s="1"/>
  <c r="E21" i="108"/>
  <c r="K365" i="29"/>
  <c r="K243" i="29"/>
  <c r="B1485" i="106" s="1"/>
  <c r="D1485" i="106" s="1"/>
  <c r="C74" i="29"/>
  <c r="B755" i="106" s="1"/>
  <c r="D755" i="106" s="1"/>
  <c r="F105" i="34"/>
  <c r="F132" i="34"/>
  <c r="F124" i="34"/>
  <c r="B989" i="106"/>
  <c r="D989" i="106" s="1"/>
  <c r="E267" i="5"/>
  <c r="B6026" i="106"/>
  <c r="D6026" i="106" s="1"/>
  <c r="B1115" i="106"/>
  <c r="D1115" i="106" s="1"/>
  <c r="F114" i="29"/>
  <c r="B931" i="106" s="1"/>
  <c r="D931" i="106" s="1"/>
  <c r="G15" i="4"/>
  <c r="B6032" i="106" s="1"/>
  <c r="D6032" i="106" s="1"/>
  <c r="H77" i="4"/>
  <c r="B3299" i="106" s="1"/>
  <c r="D3299" i="106" s="1"/>
  <c r="K261" i="29"/>
  <c r="K293" i="29"/>
  <c r="D53" i="36"/>
  <c r="D14" i="7"/>
  <c r="B1770" i="106" s="1"/>
  <c r="D1770" i="106" s="1"/>
  <c r="G342" i="29"/>
  <c r="B7220" i="106" s="1"/>
  <c r="D7220" i="106" s="1"/>
  <c r="H109" i="5"/>
  <c r="B1746" i="106"/>
  <c r="D1746" i="106" s="1"/>
  <c r="D41" i="108"/>
  <c r="E43" i="108" s="1"/>
  <c r="B3586" i="106"/>
  <c r="D3586" i="106" s="1"/>
  <c r="F127" i="34"/>
  <c r="B5614" i="106"/>
  <c r="D5614" i="106" s="1"/>
  <c r="B3446" i="106"/>
  <c r="D3446" i="106" s="1"/>
  <c r="F46" i="34"/>
  <c r="B7063" i="106"/>
  <c r="D7063" i="106" s="1"/>
  <c r="I129" i="29"/>
  <c r="B7033" i="106"/>
  <c r="D7033" i="106" s="1"/>
  <c r="F41" i="108"/>
  <c r="G43" i="108" s="1"/>
  <c r="J19" i="145"/>
  <c r="D82" i="36" s="1"/>
  <c r="B1" i="176"/>
  <c r="B1" i="177"/>
  <c r="K357" i="29"/>
  <c r="K15" i="4" s="1"/>
  <c r="B1" i="184"/>
  <c r="B1" i="185"/>
  <c r="A1" i="173"/>
  <c r="A1" i="171"/>
  <c r="B2" i="185"/>
  <c r="B2" i="184"/>
  <c r="I34" i="182"/>
  <c r="J34" i="182"/>
  <c r="H34" i="182"/>
  <c r="F16" i="11"/>
  <c r="M40" i="3" s="1"/>
  <c r="L13" i="11"/>
  <c r="B2060" i="106" s="1"/>
  <c r="D2060" i="106" s="1"/>
  <c r="F65" i="34"/>
  <c r="K352" i="29"/>
  <c r="D279" i="29"/>
  <c r="B1381" i="106"/>
  <c r="D1381" i="106" s="1"/>
  <c r="K16" i="11"/>
  <c r="B2055" i="106" s="1"/>
  <c r="D2055" i="106" s="1"/>
  <c r="F40" i="181"/>
  <c r="B7798" i="106" s="1"/>
  <c r="D7798" i="106" s="1"/>
  <c r="D80" i="36"/>
  <c r="J20" i="145"/>
  <c r="B7206" i="106"/>
  <c r="D7206" i="106" s="1"/>
  <c r="J342" i="29"/>
  <c r="B7223" i="106" s="1"/>
  <c r="D7223" i="106" s="1"/>
  <c r="B7126" i="106"/>
  <c r="D7126" i="106" s="1"/>
  <c r="K330" i="29"/>
  <c r="B6901" i="106"/>
  <c r="D6901" i="106" s="1"/>
  <c r="F51" i="34"/>
  <c r="B3488" i="106"/>
  <c r="D3488" i="106" s="1"/>
  <c r="E29" i="108"/>
  <c r="G29" i="108"/>
  <c r="K127" i="29"/>
  <c r="B279" i="106"/>
  <c r="D279" i="106" s="1"/>
  <c r="B77" i="36"/>
  <c r="B79" i="36"/>
  <c r="G17" i="181"/>
  <c r="G40" i="181" s="1"/>
  <c r="B5906" i="106"/>
  <c r="D5906" i="106" s="1"/>
  <c r="H268" i="5"/>
  <c r="B1117" i="106"/>
  <c r="D1117" i="106" s="1"/>
  <c r="K47" i="29"/>
  <c r="J367" i="29"/>
  <c r="B7245" i="106" s="1"/>
  <c r="D7245" i="106" s="1"/>
  <c r="B7235" i="106"/>
  <c r="D7235" i="106" s="1"/>
  <c r="K340" i="29"/>
  <c r="B7211" i="106"/>
  <c r="D7211" i="106" s="1"/>
  <c r="B1868" i="106"/>
  <c r="D1868" i="106" s="1"/>
  <c r="F15" i="8"/>
  <c r="H28" i="118"/>
  <c r="K28" i="118" s="1"/>
  <c r="O27" i="118" s="1"/>
  <c r="O29" i="118" s="1"/>
  <c r="B2819" i="106"/>
  <c r="D2819" i="106" s="1"/>
  <c r="K168" i="29"/>
  <c r="B1106" i="106"/>
  <c r="D1106" i="106" s="1"/>
  <c r="K33" i="29"/>
  <c r="K92" i="29"/>
  <c r="B6995" i="106"/>
  <c r="D6995" i="106" s="1"/>
  <c r="H102" i="29"/>
  <c r="B1047" i="106" s="1"/>
  <c r="D1047" i="106" s="1"/>
  <c r="B3573" i="106"/>
  <c r="D3573" i="106" s="1"/>
  <c r="B2607" i="106"/>
  <c r="D2607" i="106" s="1"/>
  <c r="H6" i="4"/>
  <c r="B2656" i="106" s="1"/>
  <c r="D2656" i="106" s="1"/>
  <c r="B2031" i="106"/>
  <c r="D2031" i="106" s="1"/>
  <c r="J266" i="5"/>
  <c r="B6839" i="106"/>
  <c r="D6839" i="106" s="1"/>
  <c r="B6837" i="106"/>
  <c r="D6837" i="106" s="1"/>
  <c r="G266" i="5"/>
  <c r="B1146" i="106"/>
  <c r="D1146" i="106" s="1"/>
  <c r="K110" i="29"/>
  <c r="B6997" i="106"/>
  <c r="D6997" i="106" s="1"/>
  <c r="K100" i="29"/>
  <c r="B7013" i="106" s="1"/>
  <c r="D7013" i="106" s="1"/>
  <c r="B1491" i="106"/>
  <c r="D1491" i="106" s="1"/>
  <c r="K279" i="29"/>
  <c r="H114" i="29"/>
  <c r="B1054" i="106" s="1"/>
  <c r="D1054" i="106" s="1"/>
  <c r="A7251" i="106"/>
  <c r="D7250" i="106"/>
  <c r="K367" i="29"/>
  <c r="B3678" i="106" s="1"/>
  <c r="D3678" i="106" s="1"/>
  <c r="K208" i="29"/>
  <c r="B4157" i="106"/>
  <c r="D4157" i="106" s="1"/>
  <c r="H17" i="4"/>
  <c r="B5501" i="106"/>
  <c r="D5501" i="106" s="1"/>
  <c r="D267" i="5"/>
  <c r="B5713" i="106"/>
  <c r="D5713" i="106" s="1"/>
  <c r="B1747" i="106"/>
  <c r="D1747" i="106" s="1"/>
  <c r="D7" i="7"/>
  <c r="B1763" i="106" s="1"/>
  <c r="D1763" i="106" s="1"/>
  <c r="F55" i="34"/>
  <c r="I8" i="4"/>
  <c r="H7" i="4"/>
  <c r="B2657" i="106" s="1"/>
  <c r="D2657" i="106" s="1"/>
  <c r="B5914" i="106"/>
  <c r="D5914" i="106" s="1"/>
  <c r="B4442" i="106"/>
  <c r="D4442" i="106" s="1"/>
  <c r="K267" i="5"/>
  <c r="B5444" i="106"/>
  <c r="D5444" i="106" s="1"/>
  <c r="F126" i="34"/>
  <c r="G170" i="5"/>
  <c r="D12" i="7"/>
  <c r="B1769" i="106" s="1"/>
  <c r="D1769" i="106" s="1"/>
  <c r="B1753" i="106"/>
  <c r="D1753" i="106" s="1"/>
  <c r="B1751" i="106"/>
  <c r="D1751" i="106" s="1"/>
  <c r="D9" i="7"/>
  <c r="B1767" i="106" s="1"/>
  <c r="D1767" i="106" s="1"/>
  <c r="N37" i="3"/>
  <c r="H37" i="37"/>
  <c r="F63" i="34"/>
  <c r="F15" i="4"/>
  <c r="B2830" i="106"/>
  <c r="D2830" i="106" s="1"/>
  <c r="H210" i="29"/>
  <c r="B1376" i="106" s="1"/>
  <c r="D1376" i="106" s="1"/>
  <c r="I367" i="29"/>
  <c r="B7244" i="106" s="1"/>
  <c r="D7244" i="106" s="1"/>
  <c r="B7234" i="106"/>
  <c r="D7234" i="106" s="1"/>
  <c r="C4" i="4"/>
  <c r="B5121" i="106"/>
  <c r="D5121" i="106" s="1"/>
  <c r="B5534" i="106"/>
  <c r="D5534" i="106" s="1"/>
  <c r="E170" i="5"/>
  <c r="G109" i="5"/>
  <c r="D109" i="5"/>
  <c r="L279" i="29"/>
  <c r="L295" i="29" s="1"/>
  <c r="F94" i="34"/>
  <c r="B5096" i="106"/>
  <c r="D5096" i="106" s="1"/>
  <c r="J109" i="5"/>
  <c r="D18" i="7"/>
  <c r="B4105" i="106" s="1"/>
  <c r="D4105" i="106" s="1"/>
  <c r="F106" i="34"/>
  <c r="B1752" i="106"/>
  <c r="D1752" i="106" s="1"/>
  <c r="D11" i="7"/>
  <c r="B1768" i="106" s="1"/>
  <c r="D1768" i="106" s="1"/>
  <c r="B7613" i="106"/>
  <c r="L9" i="11"/>
  <c r="B7614" i="106" s="1"/>
  <c r="B7071" i="106"/>
  <c r="D7071" i="106" s="1"/>
  <c r="F66" i="34"/>
  <c r="B283" i="106"/>
  <c r="D283" i="106" s="1"/>
  <c r="N23" i="3"/>
  <c r="B284" i="106" s="1"/>
  <c r="D284" i="106" s="1"/>
  <c r="C169" i="5"/>
  <c r="B5518" i="106"/>
  <c r="D5518" i="106" s="1"/>
  <c r="E109" i="5"/>
  <c r="K109" i="5"/>
  <c r="B5557" i="106"/>
  <c r="D5557" i="106" s="1"/>
  <c r="F109" i="5"/>
  <c r="B7786" i="106"/>
  <c r="D7786" i="106" s="1"/>
  <c r="K334" i="29"/>
  <c r="B2" i="179"/>
  <c r="B2" i="174"/>
  <c r="B2" i="176"/>
  <c r="B2" i="177"/>
  <c r="A2" i="170"/>
  <c r="A2" i="171"/>
  <c r="B7780" i="106"/>
  <c r="D7780" i="106" s="1"/>
  <c r="K160" i="29"/>
  <c r="B2" i="183"/>
  <c r="E40" i="181"/>
  <c r="K34" i="182" l="1"/>
  <c r="D81" i="36" s="1"/>
  <c r="B5644" i="106"/>
  <c r="D5644" i="106" s="1"/>
  <c r="F170" i="5"/>
  <c r="B280" i="106"/>
  <c r="D280" i="106" s="1"/>
  <c r="M41" i="3"/>
  <c r="B7037" i="106"/>
  <c r="D7037" i="106" s="1"/>
  <c r="I151" i="29"/>
  <c r="B4434" i="106"/>
  <c r="D4434" i="106" s="1"/>
  <c r="E7" i="4"/>
  <c r="B4443" i="106" s="1"/>
  <c r="D4443" i="106" s="1"/>
  <c r="C7" i="4"/>
  <c r="B2554" i="106" s="1"/>
  <c r="D2554" i="106" s="1"/>
  <c r="B5326" i="106"/>
  <c r="D5326" i="106" s="1"/>
  <c r="B6025" i="106"/>
  <c r="D6025" i="106" s="1"/>
  <c r="H4" i="4"/>
  <c r="B2655" i="106" s="1"/>
  <c r="D2655" i="106" s="1"/>
  <c r="B1515" i="106"/>
  <c r="D1515" i="106" s="1"/>
  <c r="G16" i="4"/>
  <c r="B2611" i="106" s="1"/>
  <c r="D2611" i="106" s="1"/>
  <c r="J6" i="4"/>
  <c r="B6221" i="106" s="1"/>
  <c r="D6221" i="106" s="1"/>
  <c r="B6397" i="106"/>
  <c r="D6397" i="106" s="1"/>
  <c r="B7243" i="106"/>
  <c r="D7243" i="106" s="1"/>
  <c r="K16" i="4"/>
  <c r="B3574" i="106" s="1"/>
  <c r="D3574" i="106" s="1"/>
  <c r="K139" i="29"/>
  <c r="B2093" i="106"/>
  <c r="D2093" i="106" s="1"/>
  <c r="D6" i="4"/>
  <c r="B2566" i="106" s="1"/>
  <c r="D2566" i="106" s="1"/>
  <c r="B5421" i="106"/>
  <c r="D5421" i="106" s="1"/>
  <c r="C114" i="29"/>
  <c r="B757" i="106" s="1"/>
  <c r="D757" i="106" s="1"/>
  <c r="L16" i="11"/>
  <c r="B2061" i="106" s="1"/>
  <c r="D2061" i="106" s="1"/>
  <c r="B3672" i="106"/>
  <c r="D3672" i="106" s="1"/>
  <c r="K13" i="4"/>
  <c r="D295" i="29"/>
  <c r="B1448" i="106" s="1"/>
  <c r="D1448" i="106" s="1"/>
  <c r="B1446" i="106"/>
  <c r="D1446" i="106" s="1"/>
  <c r="B5527" i="106"/>
  <c r="D5527" i="106" s="1"/>
  <c r="E268" i="5"/>
  <c r="E4" i="4"/>
  <c r="B2598" i="106"/>
  <c r="D2598" i="106" s="1"/>
  <c r="G6" i="4"/>
  <c r="B2604" i="106" s="1"/>
  <c r="D2604" i="106" s="1"/>
  <c r="B5778" i="106"/>
  <c r="D5778" i="106" s="1"/>
  <c r="D7251" i="106"/>
  <c r="A7252" i="106"/>
  <c r="B2089" i="106"/>
  <c r="D2089" i="106" s="1"/>
  <c r="K102" i="29"/>
  <c r="B1119" i="106"/>
  <c r="D1119" i="106" s="1"/>
  <c r="K74" i="29"/>
  <c r="G22" i="108"/>
  <c r="E22" i="108"/>
  <c r="B7799" i="106"/>
  <c r="D7799" i="106" s="1"/>
  <c r="G40" i="108"/>
  <c r="E40" i="108"/>
  <c r="F4" i="4"/>
  <c r="F268" i="5"/>
  <c r="B5588" i="106"/>
  <c r="D5588" i="106" s="1"/>
  <c r="B6352" i="106"/>
  <c r="D6352" i="106" s="1"/>
  <c r="J4" i="4"/>
  <c r="B5356" i="106"/>
  <c r="D5356" i="106" s="1"/>
  <c r="D4" i="4"/>
  <c r="D268" i="5"/>
  <c r="B1387" i="106"/>
  <c r="D1387" i="106" s="1"/>
  <c r="K210" i="29"/>
  <c r="F16" i="4"/>
  <c r="B2599" i="106" s="1"/>
  <c r="D2599" i="106" s="1"/>
  <c r="D19" i="7"/>
  <c r="B1775" i="106" s="1"/>
  <c r="D1775" i="106" s="1"/>
  <c r="K295" i="29"/>
  <c r="G13" i="4"/>
  <c r="B1510" i="106"/>
  <c r="D1510" i="106" s="1"/>
  <c r="B1151" i="106"/>
  <c r="D1151" i="106" s="1"/>
  <c r="K112" i="29"/>
  <c r="E19" i="108"/>
  <c r="G19" i="108"/>
  <c r="B1108" i="106"/>
  <c r="D1108" i="106" s="1"/>
  <c r="C12" i="4"/>
  <c r="B1279" i="106"/>
  <c r="D1279" i="106" s="1"/>
  <c r="K129" i="29"/>
  <c r="C170" i="5"/>
  <c r="B5214" i="106"/>
  <c r="D5214" i="106" s="1"/>
  <c r="G4" i="4"/>
  <c r="B6024" i="106"/>
  <c r="D6024" i="106" s="1"/>
  <c r="B4997" i="106"/>
  <c r="D4997" i="106" s="1"/>
  <c r="H32" i="118"/>
  <c r="K32" i="118" s="1"/>
  <c r="O31" i="118" s="1"/>
  <c r="O33" i="118" s="1"/>
  <c r="B7041" i="106"/>
  <c r="D7041" i="106" s="1"/>
  <c r="J267" i="5"/>
  <c r="B1875" i="106"/>
  <c r="D1875" i="106" s="1"/>
  <c r="F22" i="37"/>
  <c r="F24" i="37" s="1"/>
  <c r="K313" i="29"/>
  <c r="B1561" i="106" s="1"/>
  <c r="D1561" i="106" s="1"/>
  <c r="B5915" i="106"/>
  <c r="D5915" i="106" s="1"/>
  <c r="B7215" i="106"/>
  <c r="D7215" i="106" s="1"/>
  <c r="J16" i="4"/>
  <c r="B6226" i="106" s="1"/>
  <c r="D6226" i="106" s="1"/>
  <c r="F60" i="34"/>
  <c r="E15" i="4"/>
  <c r="F74" i="34"/>
  <c r="B7790" i="106"/>
  <c r="D7790" i="106" s="1"/>
  <c r="J15" i="4"/>
  <c r="B7796" i="106" s="1"/>
  <c r="D7796" i="106" s="1"/>
  <c r="K4" i="4"/>
  <c r="B6028" i="106"/>
  <c r="D6028" i="106" s="1"/>
  <c r="K268" i="5"/>
  <c r="F174" i="34"/>
  <c r="B5544" i="106"/>
  <c r="D5544" i="106" s="1"/>
  <c r="E6" i="4"/>
  <c r="B2631" i="106" s="1"/>
  <c r="D2631" i="106" s="1"/>
  <c r="B2551" i="106"/>
  <c r="D2551" i="106" s="1"/>
  <c r="N41" i="3"/>
  <c r="B287" i="106"/>
  <c r="D287" i="106" s="1"/>
  <c r="B6022" i="106"/>
  <c r="D6022" i="106" s="1"/>
  <c r="K7" i="4"/>
  <c r="B3718" i="106" s="1"/>
  <c r="D3718" i="106" s="1"/>
  <c r="B3226" i="106"/>
  <c r="D3226" i="106" s="1"/>
  <c r="I20" i="4"/>
  <c r="I10" i="4"/>
  <c r="B4128" i="106" s="1"/>
  <c r="D4128" i="106" s="1"/>
  <c r="E8" i="146"/>
  <c r="E10" i="146" s="1"/>
  <c r="B5507" i="106"/>
  <c r="D5507" i="106" s="1"/>
  <c r="D7" i="4"/>
  <c r="H19" i="4"/>
  <c r="B4141" i="106" s="1"/>
  <c r="D4141" i="106" s="1"/>
  <c r="B2661" i="106"/>
  <c r="D2661" i="106" s="1"/>
  <c r="H8" i="4"/>
  <c r="G267" i="5"/>
  <c r="G268" i="5" s="1"/>
  <c r="B5863" i="106"/>
  <c r="D5863" i="106" s="1"/>
  <c r="K172" i="29"/>
  <c r="B1328" i="106"/>
  <c r="D1328" i="106" s="1"/>
  <c r="G23" i="108"/>
  <c r="B7207" i="106"/>
  <c r="D7207" i="106" s="1"/>
  <c r="E23" i="108"/>
  <c r="K342" i="29"/>
  <c r="J13" i="4"/>
  <c r="B5653" i="106" l="1"/>
  <c r="D5653" i="106" s="1"/>
  <c r="F6" i="4"/>
  <c r="B2593" i="106" s="1"/>
  <c r="D2593" i="106" s="1"/>
  <c r="F59" i="34"/>
  <c r="F17" i="11"/>
  <c r="B7051" i="106"/>
  <c r="D7051" i="106" s="1"/>
  <c r="B281" i="106"/>
  <c r="D281" i="106" s="1"/>
  <c r="D54" i="36"/>
  <c r="B1282" i="106"/>
  <c r="D1282" i="106" s="1"/>
  <c r="F57" i="34"/>
  <c r="D15" i="4"/>
  <c r="B2571" i="106" s="1"/>
  <c r="D2571" i="106" s="1"/>
  <c r="B3572" i="106"/>
  <c r="D3572" i="106" s="1"/>
  <c r="K17" i="4"/>
  <c r="B7224" i="106"/>
  <c r="D7224" i="106" s="1"/>
  <c r="F13" i="34"/>
  <c r="B2658" i="106"/>
  <c r="D2658" i="106" s="1"/>
  <c r="H20" i="4"/>
  <c r="H10" i="4"/>
  <c r="B4127" i="106" s="1"/>
  <c r="D4127" i="106" s="1"/>
  <c r="D55" i="36"/>
  <c r="B288" i="106"/>
  <c r="D288" i="106" s="1"/>
  <c r="K296" i="29"/>
  <c r="B1518" i="106" s="1"/>
  <c r="D1518" i="106" s="1"/>
  <c r="B5870" i="106"/>
  <c r="D5870" i="106" s="1"/>
  <c r="B2608" i="106"/>
  <c r="D2608" i="106" s="1"/>
  <c r="G17" i="4"/>
  <c r="F11" i="34"/>
  <c r="B1388" i="106"/>
  <c r="D1388" i="106" s="1"/>
  <c r="B1143" i="106"/>
  <c r="D1143" i="106" s="1"/>
  <c r="C13" i="4"/>
  <c r="B2557" i="106" s="1"/>
  <c r="D2557" i="106" s="1"/>
  <c r="B1331" i="106"/>
  <c r="D1331" i="106" s="1"/>
  <c r="E16" i="4"/>
  <c r="B2634" i="106" s="1"/>
  <c r="D2634" i="106" s="1"/>
  <c r="B3569" i="106"/>
  <c r="D3569" i="106" s="1"/>
  <c r="K8" i="4"/>
  <c r="K174" i="29"/>
  <c r="G41" i="108"/>
  <c r="G44" i="108" s="1"/>
  <c r="G45" i="108" s="1"/>
  <c r="F12" i="34"/>
  <c r="B1517" i="106"/>
  <c r="D1517" i="106" s="1"/>
  <c r="B6220" i="106"/>
  <c r="D6220" i="106" s="1"/>
  <c r="B2630" i="106"/>
  <c r="D2630" i="106" s="1"/>
  <c r="E8" i="4"/>
  <c r="E17" i="4"/>
  <c r="B2633" i="106"/>
  <c r="D2633" i="106" s="1"/>
  <c r="K114" i="29"/>
  <c r="E41" i="108"/>
  <c r="E44" i="108" s="1"/>
  <c r="E45" i="108" s="1"/>
  <c r="B5508" i="106"/>
  <c r="D5508" i="106" s="1"/>
  <c r="B2591" i="106"/>
  <c r="D2591" i="106" s="1"/>
  <c r="F8" i="4"/>
  <c r="F53" i="34"/>
  <c r="F76" i="34" s="1"/>
  <c r="C15" i="4"/>
  <c r="B2559" i="106" s="1"/>
  <c r="D2559" i="106" s="1"/>
  <c r="B1145" i="106"/>
  <c r="D1145" i="106" s="1"/>
  <c r="F17" i="4"/>
  <c r="B5552" i="106"/>
  <c r="D5552" i="106" s="1"/>
  <c r="B1281" i="106"/>
  <c r="D1281" i="106" s="1"/>
  <c r="K151" i="29"/>
  <c r="D13" i="4"/>
  <c r="A7253" i="106"/>
  <c r="D7252" i="106"/>
  <c r="B2603" i="106"/>
  <c r="D2603" i="106" s="1"/>
  <c r="C16" i="4"/>
  <c r="B2560" i="106" s="1"/>
  <c r="D2560" i="106" s="1"/>
  <c r="B7019" i="106"/>
  <c r="D7019" i="106" s="1"/>
  <c r="K211" i="29"/>
  <c r="B1389" i="106" s="1"/>
  <c r="D1389" i="106" s="1"/>
  <c r="B5720" i="106"/>
  <c r="D5720" i="106" s="1"/>
  <c r="B7042" i="106"/>
  <c r="D7042" i="106" s="1"/>
  <c r="J17" i="4"/>
  <c r="B5869" i="106"/>
  <c r="D5869" i="106" s="1"/>
  <c r="G7" i="4"/>
  <c r="B2605" i="106" s="1"/>
  <c r="D2605" i="106" s="1"/>
  <c r="B2567" i="106"/>
  <c r="D2567" i="106" s="1"/>
  <c r="I78" i="4"/>
  <c r="B3227" i="106"/>
  <c r="D3227" i="106" s="1"/>
  <c r="B6023" i="106"/>
  <c r="D6023" i="106" s="1"/>
  <c r="K368" i="29"/>
  <c r="B3681" i="106" s="1"/>
  <c r="D3681" i="106" s="1"/>
  <c r="J7" i="4"/>
  <c r="B6222" i="106" s="1"/>
  <c r="D6222" i="106" s="1"/>
  <c r="B7054" i="106"/>
  <c r="D7054" i="106" s="1"/>
  <c r="B5223" i="106"/>
  <c r="D5223" i="106" s="1"/>
  <c r="C6" i="4"/>
  <c r="C268" i="5"/>
  <c r="B2556" i="106"/>
  <c r="D2556" i="106" s="1"/>
  <c r="D8" i="4"/>
  <c r="B2564" i="106"/>
  <c r="D2564" i="106" s="1"/>
  <c r="J268" i="5"/>
  <c r="D10" i="171" l="1"/>
  <c r="D19" i="171" s="1"/>
  <c r="D32" i="171" s="1"/>
  <c r="D49" i="171" s="1"/>
  <c r="B7624" i="106"/>
  <c r="I17" i="11"/>
  <c r="B3575" i="106"/>
  <c r="D3575" i="106" s="1"/>
  <c r="K19" i="4"/>
  <c r="B4144" i="106" s="1"/>
  <c r="D4144" i="106" s="1"/>
  <c r="B2568" i="106"/>
  <c r="D2568" i="106" s="1"/>
  <c r="D10" i="4"/>
  <c r="B4123" i="106" s="1"/>
  <c r="D4123" i="106" s="1"/>
  <c r="C8" i="146"/>
  <c r="B2553" i="106"/>
  <c r="D2553" i="106" s="1"/>
  <c r="C8" i="4"/>
  <c r="B6227" i="106"/>
  <c r="D6227" i="106" s="1"/>
  <c r="J19" i="4"/>
  <c r="B6229" i="106" s="1"/>
  <c r="D6229" i="106" s="1"/>
  <c r="B2635" i="106"/>
  <c r="D2635" i="106" s="1"/>
  <c r="E19" i="4"/>
  <c r="B4138" i="106" s="1"/>
  <c r="D4138" i="106" s="1"/>
  <c r="F10" i="34"/>
  <c r="B1332" i="106"/>
  <c r="D1332" i="106" s="1"/>
  <c r="B2662" i="106"/>
  <c r="D2662" i="106" s="1"/>
  <c r="H78" i="4"/>
  <c r="A7254" i="106"/>
  <c r="D7253" i="106"/>
  <c r="B2595" i="106"/>
  <c r="D2595" i="106" s="1"/>
  <c r="F20" i="4"/>
  <c r="F10" i="4"/>
  <c r="B4125" i="106" s="1"/>
  <c r="D4125" i="106" s="1"/>
  <c r="D8" i="146"/>
  <c r="E10" i="4"/>
  <c r="B4124" i="106" s="1"/>
  <c r="D4124" i="106" s="1"/>
  <c r="E20" i="4"/>
  <c r="B2632" i="106"/>
  <c r="D2632" i="106" s="1"/>
  <c r="B3571" i="106"/>
  <c r="D3571" i="106" s="1"/>
  <c r="K10" i="4"/>
  <c r="B4130" i="106" s="1"/>
  <c r="D4130" i="106" s="1"/>
  <c r="K20" i="4"/>
  <c r="B2612" i="106"/>
  <c r="D2612" i="106" s="1"/>
  <c r="G19" i="4"/>
  <c r="B4140" i="106" s="1"/>
  <c r="D4140" i="106" s="1"/>
  <c r="B7055" i="106"/>
  <c r="D7055" i="106" s="1"/>
  <c r="K343" i="29"/>
  <c r="B7225" i="106" s="1"/>
  <c r="D7225" i="106" s="1"/>
  <c r="D17" i="4"/>
  <c r="D20" i="4" s="1"/>
  <c r="B2569" i="106"/>
  <c r="D2569" i="106" s="1"/>
  <c r="K175" i="29"/>
  <c r="B1333" i="106" s="1"/>
  <c r="D1333" i="106" s="1"/>
  <c r="B1152" i="106"/>
  <c r="D1152" i="106" s="1"/>
  <c r="F8" i="34"/>
  <c r="C17" i="4"/>
  <c r="B5327" i="106"/>
  <c r="D5327" i="106" s="1"/>
  <c r="K115" i="29"/>
  <c r="B1153" i="106" s="1"/>
  <c r="D1153" i="106" s="1"/>
  <c r="B3320" i="106"/>
  <c r="D3320" i="106" s="1"/>
  <c r="I81" i="4"/>
  <c r="I39" i="3" s="1"/>
  <c r="G8" i="4"/>
  <c r="F9" i="34"/>
  <c r="B1288" i="106"/>
  <c r="D1288" i="106" s="1"/>
  <c r="D9" i="146"/>
  <c r="F19" i="4"/>
  <c r="B4139" i="106" s="1"/>
  <c r="D4139" i="106" s="1"/>
  <c r="B2600" i="106"/>
  <c r="D2600" i="106" s="1"/>
  <c r="K152" i="29"/>
  <c r="B1289" i="106" s="1"/>
  <c r="D1289" i="106" s="1"/>
  <c r="J8" i="4"/>
  <c r="I18" i="11" l="1"/>
  <c r="B7625" i="106"/>
  <c r="G20" i="4"/>
  <c r="B2606" i="106"/>
  <c r="D2606" i="106" s="1"/>
  <c r="G10" i="4"/>
  <c r="B4126" i="106" s="1"/>
  <c r="D4126" i="106" s="1"/>
  <c r="A7255" i="106"/>
  <c r="D7254" i="106"/>
  <c r="B2574" i="106"/>
  <c r="D2574" i="106" s="1"/>
  <c r="D78" i="4"/>
  <c r="J10" i="4"/>
  <c r="B6225" i="106" s="1"/>
  <c r="D6225" i="106" s="1"/>
  <c r="B6223" i="106"/>
  <c r="D6223" i="106" s="1"/>
  <c r="J20" i="4"/>
  <c r="H17" i="118"/>
  <c r="B9" i="146"/>
  <c r="F16" i="37"/>
  <c r="B2561" i="106"/>
  <c r="D2561" i="106" s="1"/>
  <c r="C19" i="4"/>
  <c r="B4136" i="106" s="1"/>
  <c r="D4136" i="106" s="1"/>
  <c r="D10" i="146"/>
  <c r="B3300" i="106"/>
  <c r="D3300" i="106" s="1"/>
  <c r="H81" i="4"/>
  <c r="H39" i="3" s="1"/>
  <c r="F14" i="34"/>
  <c r="F77" i="34" s="1"/>
  <c r="B2573" i="106"/>
  <c r="D2573" i="106" s="1"/>
  <c r="D19" i="4"/>
  <c r="B4137" i="106" s="1"/>
  <c r="D4137" i="106" s="1"/>
  <c r="C9" i="146"/>
  <c r="C10" i="146" s="1"/>
  <c r="D16" i="37"/>
  <c r="H18" i="118"/>
  <c r="B8" i="146"/>
  <c r="C20" i="4"/>
  <c r="B2555" i="106"/>
  <c r="D2555" i="106" s="1"/>
  <c r="H13" i="118"/>
  <c r="C10" i="4"/>
  <c r="B4122" i="106" s="1"/>
  <c r="D4122" i="106" s="1"/>
  <c r="B3323" i="106"/>
  <c r="D3323" i="106" s="1"/>
  <c r="E11" i="146"/>
  <c r="I82" i="4"/>
  <c r="K78" i="4"/>
  <c r="B3576" i="106"/>
  <c r="D3576" i="106" s="1"/>
  <c r="E78" i="4"/>
  <c r="B2636" i="106"/>
  <c r="D2636" i="106" s="1"/>
  <c r="F78" i="4"/>
  <c r="B2601" i="106"/>
  <c r="D2601" i="106" s="1"/>
  <c r="F9" i="146" l="1"/>
  <c r="B7631" i="106"/>
  <c r="F176" i="34"/>
  <c r="H16" i="37"/>
  <c r="F175" i="34"/>
  <c r="F177" i="34" s="1"/>
  <c r="F179" i="34" s="1"/>
  <c r="F79" i="34"/>
  <c r="F81" i="4"/>
  <c r="F39" i="3" s="1"/>
  <c r="B3256" i="106"/>
  <c r="D3256" i="106" s="1"/>
  <c r="C78" i="4"/>
  <c r="B2562" i="106"/>
  <c r="D2562" i="106" s="1"/>
  <c r="A7256" i="106"/>
  <c r="D7255" i="106"/>
  <c r="K17" i="118"/>
  <c r="H25" i="118"/>
  <c r="K24" i="118" s="1"/>
  <c r="O23" i="118" s="1"/>
  <c r="O25" i="118" s="1"/>
  <c r="B3239" i="106"/>
  <c r="D3239" i="106" s="1"/>
  <c r="D81" i="4"/>
  <c r="D39" i="3" s="1"/>
  <c r="B3278" i="106"/>
  <c r="D3278" i="106" s="1"/>
  <c r="E81" i="4"/>
  <c r="E39" i="3" s="1"/>
  <c r="I83" i="4"/>
  <c r="B6282" i="106" s="1"/>
  <c r="D6282" i="106" s="1"/>
  <c r="B6273" i="106"/>
  <c r="D6273" i="106" s="1"/>
  <c r="H82" i="4"/>
  <c r="B1700" i="106"/>
  <c r="D1700" i="106" s="1"/>
  <c r="J78" i="4"/>
  <c r="B6230" i="106"/>
  <c r="D6230" i="106" s="1"/>
  <c r="B3588" i="106"/>
  <c r="D3588" i="106" s="1"/>
  <c r="K81" i="4"/>
  <c r="K39" i="3" s="1"/>
  <c r="B2912" i="106"/>
  <c r="D2912" i="106" s="1"/>
  <c r="I41" i="3"/>
  <c r="D63" i="36"/>
  <c r="F8" i="146"/>
  <c r="F10" i="146" s="1"/>
  <c r="B10" i="146"/>
  <c r="G78" i="4"/>
  <c r="B2613" i="106"/>
  <c r="D2613" i="106" s="1"/>
  <c r="B2913" i="106" l="1"/>
  <c r="D2913" i="106" s="1"/>
  <c r="D50" i="36"/>
  <c r="J20" i="118"/>
  <c r="K20" i="118"/>
  <c r="O16" i="118"/>
  <c r="B6263" i="106"/>
  <c r="D6263" i="106" s="1"/>
  <c r="J81" i="4"/>
  <c r="J39" i="3" s="1"/>
  <c r="D82" i="4"/>
  <c r="B1644" i="106"/>
  <c r="D1644" i="106" s="1"/>
  <c r="C11" i="146"/>
  <c r="B6272" i="106"/>
  <c r="D6272" i="106" s="1"/>
  <c r="H83" i="4"/>
  <c r="B6281" i="106" s="1"/>
  <c r="D6281" i="106" s="1"/>
  <c r="E82" i="4"/>
  <c r="B1658" i="106"/>
  <c r="D1658" i="106" s="1"/>
  <c r="G81" i="4"/>
  <c r="G39" i="3" s="1"/>
  <c r="B3262" i="106"/>
  <c r="D3262" i="106" s="1"/>
  <c r="B212" i="106"/>
  <c r="D212" i="106" s="1"/>
  <c r="D62" i="36"/>
  <c r="H41" i="3"/>
  <c r="B3233" i="106"/>
  <c r="D3233" i="106" s="1"/>
  <c r="C81" i="4"/>
  <c r="C39" i="3" s="1"/>
  <c r="K82" i="4"/>
  <c r="B3591" i="106"/>
  <c r="D3591" i="106" s="1"/>
  <c r="A7257" i="106"/>
  <c r="D7256" i="106"/>
  <c r="B1672" i="106"/>
  <c r="D1672" i="106" s="1"/>
  <c r="F82" i="4"/>
  <c r="D11" i="146"/>
  <c r="D41" i="3" l="1"/>
  <c r="D58" i="36"/>
  <c r="B123" i="106"/>
  <c r="D123" i="106" s="1"/>
  <c r="F41" i="3"/>
  <c r="D60" i="36"/>
  <c r="B170" i="106"/>
  <c r="D170" i="106" s="1"/>
  <c r="B6275" i="106"/>
  <c r="D6275" i="106" s="1"/>
  <c r="K83" i="4"/>
  <c r="B6284" i="106" s="1"/>
  <c r="D6284" i="106" s="1"/>
  <c r="J16" i="37"/>
  <c r="B4269" i="106" s="1"/>
  <c r="D4269" i="106" s="1"/>
  <c r="C82" i="4"/>
  <c r="B1630" i="106"/>
  <c r="D1630" i="106" s="1"/>
  <c r="H12" i="118"/>
  <c r="K12" i="118" s="1"/>
  <c r="O11" i="118" s="1"/>
  <c r="O13" i="118" s="1"/>
  <c r="B11" i="146"/>
  <c r="F11" i="146" s="1"/>
  <c r="B6269" i="106"/>
  <c r="D6269" i="106" s="1"/>
  <c r="E83" i="4"/>
  <c r="B6278" i="106" s="1"/>
  <c r="D6278" i="106" s="1"/>
  <c r="J82" i="4"/>
  <c r="B6266" i="106"/>
  <c r="D6266" i="106" s="1"/>
  <c r="K41" i="3"/>
  <c r="D65" i="36"/>
  <c r="B3567" i="106"/>
  <c r="D3567" i="106" s="1"/>
  <c r="E41" i="3"/>
  <c r="B140" i="106"/>
  <c r="D140" i="106" s="1"/>
  <c r="D59" i="36"/>
  <c r="B6270" i="106"/>
  <c r="D6270" i="106" s="1"/>
  <c r="F83" i="4"/>
  <c r="B6279" i="106" s="1"/>
  <c r="D6279" i="106" s="1"/>
  <c r="D7257" i="106"/>
  <c r="A7258" i="106"/>
  <c r="D49" i="36"/>
  <c r="B213" i="106"/>
  <c r="D213" i="106" s="1"/>
  <c r="G82" i="4"/>
  <c r="B1686" i="106"/>
  <c r="D1686" i="106" s="1"/>
  <c r="B6268" i="106"/>
  <c r="D6268" i="106" s="1"/>
  <c r="D83" i="4"/>
  <c r="B6277" i="106" s="1"/>
  <c r="D6277" i="106" s="1"/>
  <c r="O17" i="118"/>
  <c r="O20" i="118" s="1"/>
  <c r="B189" i="106" l="1"/>
  <c r="D189" i="106" s="1"/>
  <c r="G41" i="3"/>
  <c r="D61" i="36"/>
  <c r="D46" i="36"/>
  <c r="B141" i="106"/>
  <c r="D141" i="106" s="1"/>
  <c r="B6267" i="106"/>
  <c r="D6267" i="106" s="1"/>
  <c r="C83" i="4"/>
  <c r="B6276" i="106" s="1"/>
  <c r="D6276" i="106" s="1"/>
  <c r="B6274" i="106"/>
  <c r="D6274" i="106" s="1"/>
  <c r="J83" i="4"/>
  <c r="B6283" i="106" s="1"/>
  <c r="D6283" i="106" s="1"/>
  <c r="D29" i="36"/>
  <c r="J24" i="24" s="1"/>
  <c r="C12" i="146"/>
  <c r="D52" i="36"/>
  <c r="B3568" i="106"/>
  <c r="D3568" i="106" s="1"/>
  <c r="B171" i="106"/>
  <c r="D171" i="106" s="1"/>
  <c r="D47" i="36"/>
  <c r="G83" i="4"/>
  <c r="B6280" i="106" s="1"/>
  <c r="D6280" i="106" s="1"/>
  <c r="B6271" i="106"/>
  <c r="D6271" i="106" s="1"/>
  <c r="D7258" i="106"/>
  <c r="A7259" i="106"/>
  <c r="D64" i="36"/>
  <c r="J41" i="3"/>
  <c r="B6215" i="106"/>
  <c r="D6215" i="106" s="1"/>
  <c r="O35" i="118"/>
  <c r="O37" i="118" s="1"/>
  <c r="D76" i="36"/>
  <c r="B92" i="106"/>
  <c r="D92" i="106" s="1"/>
  <c r="D57" i="36"/>
  <c r="C41" i="3"/>
  <c r="D45" i="36"/>
  <c r="B124" i="106"/>
  <c r="D124" i="106" s="1"/>
  <c r="B93" i="106" l="1"/>
  <c r="D93" i="106" s="1"/>
  <c r="D44" i="36"/>
  <c r="B190" i="106"/>
  <c r="D190" i="106" s="1"/>
  <c r="D48" i="36"/>
  <c r="D7259" i="106"/>
  <c r="A7260" i="106"/>
  <c r="D51" i="36"/>
  <c r="B6216" i="106"/>
  <c r="D6216" i="106" s="1"/>
  <c r="D7260" i="106" l="1"/>
  <c r="A7261" i="106"/>
  <c r="A7262" i="106" l="1"/>
  <c r="D7261" i="106"/>
  <c r="A7263" i="106" l="1"/>
  <c r="D7262" i="106"/>
  <c r="D7263" i="106" l="1"/>
  <c r="A7264" i="106"/>
  <c r="A7265" i="106" l="1"/>
  <c r="D7264" i="106"/>
  <c r="D7265" i="106" l="1"/>
  <c r="A7266" i="106"/>
  <c r="A7267" i="106" l="1"/>
  <c r="D7266" i="106"/>
  <c r="D7267" i="106" l="1"/>
  <c r="A7268" i="106"/>
  <c r="A7269" i="106" l="1"/>
  <c r="D7268" i="106"/>
  <c r="D7269" i="106" l="1"/>
  <c r="A7270" i="106"/>
  <c r="A7271" i="106" l="1"/>
  <c r="D7270" i="106"/>
  <c r="D7271" i="106" l="1"/>
  <c r="A7272" i="106"/>
  <c r="A7273" i="106" l="1"/>
  <c r="D7272" i="106"/>
  <c r="D7273" i="106" l="1"/>
  <c r="A7274" i="106"/>
  <c r="A7275" i="106" l="1"/>
  <c r="D7274" i="106"/>
  <c r="D7275" i="106" l="1"/>
  <c r="A7276" i="106"/>
  <c r="A7277" i="106" l="1"/>
  <c r="D7276" i="106"/>
  <c r="D7277" i="106" l="1"/>
  <c r="A7278" i="106"/>
  <c r="A7279" i="106" l="1"/>
  <c r="D7278" i="106"/>
  <c r="D7279" i="106" l="1"/>
  <c r="A7280" i="106"/>
  <c r="A7281" i="106" l="1"/>
  <c r="D7280" i="106"/>
  <c r="D7281" i="106" l="1"/>
  <c r="A7282" i="106"/>
  <c r="A7283" i="106" l="1"/>
  <c r="D7282" i="106"/>
  <c r="D7283" i="106" l="1"/>
  <c r="A7284" i="106"/>
  <c r="A7285" i="106" l="1"/>
  <c r="D7284" i="106"/>
  <c r="D7285" i="106" l="1"/>
  <c r="A7286" i="106"/>
  <c r="A7287" i="106" l="1"/>
  <c r="D7286" i="106"/>
  <c r="D7287" i="106" l="1"/>
  <c r="A7288" i="106"/>
  <c r="A7289" i="106" l="1"/>
  <c r="D7288" i="106"/>
  <c r="D7289" i="106" l="1"/>
  <c r="A7290" i="106"/>
  <c r="A7291" i="106" l="1"/>
  <c r="D7290" i="106"/>
  <c r="D7291" i="106" l="1"/>
  <c r="A7292" i="106"/>
  <c r="A7293" i="106" l="1"/>
  <c r="D7292" i="106"/>
  <c r="D7293" i="106" l="1"/>
  <c r="A7294" i="106"/>
  <c r="A7295" i="106" l="1"/>
  <c r="D7294" i="106"/>
  <c r="D7295" i="106" l="1"/>
  <c r="A7296" i="106"/>
  <c r="A7297" i="106" l="1"/>
  <c r="D7296" i="106"/>
  <c r="D7297" i="106" l="1"/>
  <c r="A7298" i="106"/>
  <c r="A7299" i="106" l="1"/>
  <c r="D7298" i="106"/>
  <c r="D7299" i="106" l="1"/>
  <c r="A7300" i="106"/>
  <c r="A7301" i="106" l="1"/>
  <c r="D7300" i="106"/>
  <c r="D7301" i="106" l="1"/>
  <c r="A7302" i="106"/>
  <c r="A7303" i="106" l="1"/>
  <c r="D7302" i="106"/>
  <c r="D7303" i="106" l="1"/>
  <c r="A7304" i="106"/>
  <c r="A7305" i="106" l="1"/>
  <c r="D7304" i="106"/>
  <c r="D7305" i="106" l="1"/>
  <c r="A7306" i="106"/>
  <c r="A7307" i="106" l="1"/>
  <c r="D7306" i="106"/>
  <c r="D7307" i="106" l="1"/>
  <c r="A7308" i="106"/>
  <c r="A7309" i="106" l="1"/>
  <c r="D7308" i="106"/>
  <c r="D7309" i="106" l="1"/>
  <c r="A7310" i="106"/>
  <c r="A7311" i="106" l="1"/>
  <c r="D7310" i="106"/>
  <c r="D7311" i="106" l="1"/>
  <c r="A7312" i="106"/>
  <c r="A7313" i="106" l="1"/>
  <c r="D7312" i="106"/>
  <c r="D7313" i="106" l="1"/>
  <c r="A7314" i="106"/>
  <c r="A7315" i="106" l="1"/>
  <c r="D7314" i="106"/>
  <c r="D7315" i="106" l="1"/>
  <c r="A7316" i="106"/>
  <c r="A7317" i="106" l="1"/>
  <c r="D7316" i="106"/>
  <c r="D7317" i="106" l="1"/>
  <c r="A7318" i="106"/>
  <c r="A7319" i="106" l="1"/>
  <c r="D7318" i="106"/>
  <c r="D7319" i="106" l="1"/>
  <c r="A7320" i="106"/>
  <c r="A7321" i="106" l="1"/>
  <c r="D7320" i="106"/>
  <c r="D7321" i="106" l="1"/>
  <c r="A7322" i="106"/>
  <c r="A7323" i="106" l="1"/>
  <c r="D7322" i="106"/>
  <c r="D7323" i="106" l="1"/>
  <c r="A7324" i="106"/>
  <c r="A7325" i="106" l="1"/>
  <c r="D7324" i="106"/>
  <c r="D7325" i="106" l="1"/>
  <c r="A7326" i="106"/>
  <c r="A7327" i="106" l="1"/>
  <c r="D7326" i="106"/>
  <c r="D7327" i="106" l="1"/>
  <c r="A7328" i="106"/>
  <c r="A7329" i="106" l="1"/>
  <c r="D7328" i="106"/>
  <c r="D7329" i="106" l="1"/>
  <c r="A7330" i="106"/>
  <c r="A7331" i="106" l="1"/>
  <c r="D7330" i="106"/>
  <c r="D7331" i="106" l="1"/>
  <c r="A7332" i="106"/>
  <c r="A7333" i="106" l="1"/>
  <c r="D7332" i="106"/>
  <c r="D7333" i="106" l="1"/>
  <c r="A7334" i="106"/>
  <c r="A7335" i="106" l="1"/>
  <c r="D7334" i="106"/>
  <c r="D7335" i="106" l="1"/>
  <c r="A7336" i="106"/>
  <c r="A7337" i="106" l="1"/>
  <c r="D7336" i="106"/>
  <c r="D7337" i="106" l="1"/>
  <c r="A7338" i="106"/>
  <c r="A7339" i="106" l="1"/>
  <c r="D7338" i="106"/>
  <c r="D7339" i="106" l="1"/>
  <c r="A7340" i="106"/>
  <c r="A7341" i="106" l="1"/>
  <c r="D7340" i="106"/>
  <c r="D7341" i="106" l="1"/>
  <c r="A7342" i="106"/>
  <c r="A7343" i="106" l="1"/>
  <c r="D7342" i="106"/>
  <c r="D7343" i="106" l="1"/>
  <c r="A7344" i="106"/>
  <c r="A7345" i="106" l="1"/>
  <c r="D7344" i="106"/>
  <c r="D7345" i="106" l="1"/>
  <c r="A7346" i="106"/>
  <c r="A7347" i="106" l="1"/>
  <c r="D7346" i="106"/>
  <c r="D7347" i="106" l="1"/>
  <c r="A7348" i="106"/>
  <c r="A7349" i="106" l="1"/>
  <c r="D7348" i="106"/>
  <c r="D7349" i="106" l="1"/>
  <c r="A7350" i="106"/>
  <c r="A7351" i="106" l="1"/>
  <c r="D7350" i="106"/>
  <c r="D7351" i="106" l="1"/>
  <c r="A7352" i="106"/>
  <c r="A7353" i="106" l="1"/>
  <c r="D7352" i="106"/>
  <c r="D7353" i="106" l="1"/>
  <c r="A7354" i="106"/>
  <c r="A7355" i="106" l="1"/>
  <c r="D7354" i="106"/>
  <c r="D7355" i="106" l="1"/>
  <c r="A7356" i="106"/>
  <c r="A7357" i="106" l="1"/>
  <c r="D7356" i="106"/>
  <c r="D7357" i="106" l="1"/>
  <c r="A7358" i="106"/>
  <c r="A7359" i="106" l="1"/>
  <c r="D7358" i="106"/>
  <c r="D7359" i="106" l="1"/>
  <c r="A7360" i="106"/>
  <c r="A7361" i="106" l="1"/>
  <c r="D7360" i="106"/>
  <c r="D7361" i="106" l="1"/>
  <c r="A7362" i="106"/>
  <c r="A7363" i="106" l="1"/>
  <c r="D7362" i="106"/>
  <c r="D7363" i="106" l="1"/>
  <c r="A7364" i="106"/>
  <c r="D7364" i="106" l="1"/>
  <c r="A7365" i="106"/>
  <c r="D7365" i="106" l="1"/>
  <c r="A7366" i="106"/>
  <c r="A7367" i="106" l="1"/>
  <c r="D7366" i="106"/>
  <c r="D7367" i="106" l="1"/>
  <c r="A7368" i="106"/>
  <c r="A7369" i="106" l="1"/>
  <c r="D7368" i="106"/>
  <c r="D7369" i="106" l="1"/>
  <c r="A7370" i="106"/>
  <c r="A7371" i="106" l="1"/>
  <c r="D7370" i="106"/>
  <c r="D7371" i="106" l="1"/>
  <c r="A7372" i="106"/>
  <c r="A7373" i="106" l="1"/>
  <c r="D7372" i="106"/>
  <c r="D7373" i="106" l="1"/>
  <c r="A7374" i="106"/>
  <c r="A7375" i="106" l="1"/>
  <c r="D7374" i="106"/>
  <c r="D7375" i="106" l="1"/>
  <c r="A7376" i="106"/>
  <c r="A7377" i="106" l="1"/>
  <c r="D7376" i="106"/>
  <c r="D7377" i="106" l="1"/>
  <c r="A7378" i="106"/>
  <c r="A7379" i="106" l="1"/>
  <c r="D7378" i="106"/>
  <c r="D7379" i="106" l="1"/>
  <c r="A7380" i="106"/>
  <c r="A7381" i="106" l="1"/>
  <c r="D7380" i="106"/>
  <c r="D7381" i="106" l="1"/>
  <c r="A7382" i="106"/>
  <c r="A7383" i="106" l="1"/>
  <c r="D7382" i="106"/>
  <c r="D7383" i="106" l="1"/>
  <c r="A7384" i="106"/>
  <c r="D7384" i="106" l="1"/>
  <c r="A7385" i="106"/>
  <c r="D7385" i="106" l="1"/>
  <c r="A7386" i="106"/>
  <c r="A7387" i="106" l="1"/>
  <c r="D7386" i="106"/>
  <c r="D7387" i="106" l="1"/>
  <c r="A7388" i="106"/>
  <c r="A7389" i="106" l="1"/>
  <c r="D7388" i="106"/>
  <c r="D7389" i="106" l="1"/>
  <c r="A7390" i="106"/>
  <c r="D7390" i="106" l="1"/>
  <c r="A7391" i="106"/>
  <c r="D7391" i="106" l="1"/>
  <c r="A7392" i="106"/>
  <c r="A7393" i="106" l="1"/>
  <c r="D7392" i="106"/>
  <c r="D7393" i="106" l="1"/>
  <c r="A7394" i="106"/>
  <c r="A7395" i="106" l="1"/>
  <c r="D7394" i="106"/>
  <c r="D7395" i="106" l="1"/>
  <c r="A7396" i="106"/>
  <c r="D7396" i="106" l="1"/>
  <c r="A7397" i="106"/>
  <c r="D7397" i="106" l="1"/>
  <c r="A7398" i="106"/>
  <c r="A7399" i="106" l="1"/>
  <c r="D7398" i="106"/>
  <c r="D7399" i="106" l="1"/>
  <c r="A7400" i="106"/>
  <c r="D7400" i="106" l="1"/>
  <c r="A7401" i="106"/>
  <c r="D7401" i="106" l="1"/>
  <c r="A7402" i="106"/>
  <c r="A7403" i="106" l="1"/>
  <c r="D7402" i="106"/>
  <c r="D7403" i="106" l="1"/>
  <c r="A7404" i="106"/>
  <c r="A7405" i="106" l="1"/>
  <c r="D7404" i="106"/>
  <c r="D7405" i="106" l="1"/>
  <c r="A7406" i="106"/>
  <c r="D7406" i="106" l="1"/>
  <c r="A7407" i="106"/>
  <c r="D7407" i="106" l="1"/>
  <c r="A7408" i="106"/>
  <c r="A7409" i="106" l="1"/>
  <c r="D7408" i="106"/>
  <c r="D7409" i="106" l="1"/>
  <c r="A7410" i="106"/>
  <c r="D7410" i="106" l="1"/>
  <c r="A7411" i="106"/>
  <c r="D7411" i="106" l="1"/>
  <c r="A7412" i="106"/>
  <c r="A7413" i="106" l="1"/>
  <c r="D7412" i="106"/>
  <c r="D7413" i="106" l="1"/>
  <c r="A7414" i="106"/>
  <c r="A7415" i="106" l="1"/>
  <c r="D7414" i="106"/>
  <c r="D7415" i="106" l="1"/>
  <c r="A7416" i="106"/>
  <c r="D7416" i="106" l="1"/>
  <c r="A7417" i="106"/>
  <c r="D7417" i="106" l="1"/>
  <c r="A7418" i="106"/>
  <c r="A7419" i="106" l="1"/>
  <c r="D7418" i="106"/>
  <c r="D7419" i="106" l="1"/>
  <c r="A7420" i="106"/>
  <c r="D7420" i="106" l="1"/>
  <c r="A7421" i="106"/>
  <c r="D7421" i="106" l="1"/>
  <c r="A7422" i="106"/>
  <c r="A7423" i="106" l="1"/>
  <c r="D7422" i="106"/>
  <c r="D7423" i="106" l="1"/>
  <c r="A7424" i="106"/>
  <c r="A7425" i="106" l="1"/>
  <c r="D7424" i="106"/>
  <c r="D7425" i="106" l="1"/>
  <c r="A7426" i="106"/>
  <c r="D7426" i="106" l="1"/>
  <c r="A7427" i="106"/>
  <c r="D7427" i="106" l="1"/>
  <c r="A7428" i="106"/>
  <c r="A7429" i="106" l="1"/>
  <c r="D7428" i="106"/>
  <c r="D7429" i="106" l="1"/>
  <c r="A7430" i="106"/>
  <c r="D7430" i="106" l="1"/>
  <c r="A7431" i="106"/>
  <c r="D7431" i="106" l="1"/>
  <c r="A7432" i="106"/>
  <c r="A7433" i="106" l="1"/>
  <c r="D7432" i="106"/>
  <c r="D7433" i="106" l="1"/>
  <c r="A7434" i="106"/>
  <c r="D7434" i="106" l="1"/>
  <c r="A7435" i="106"/>
  <c r="D7435" i="106" l="1"/>
  <c r="A7436" i="106"/>
  <c r="A7437" i="106" l="1"/>
  <c r="D7436" i="106"/>
  <c r="D7437" i="106" l="1"/>
  <c r="A7438" i="106"/>
  <c r="A7439" i="106" l="1"/>
  <c r="D7438" i="106"/>
  <c r="D7439" i="106" l="1"/>
  <c r="A7440" i="106"/>
  <c r="D7440" i="106" l="1"/>
  <c r="A7441" i="106"/>
  <c r="D7441" i="106" l="1"/>
  <c r="A7442" i="106"/>
  <c r="A7443" i="106" l="1"/>
  <c r="D7442" i="106"/>
  <c r="D7443" i="106" l="1"/>
  <c r="A7444" i="106"/>
  <c r="D7444" i="106" l="1"/>
  <c r="A7445" i="106"/>
  <c r="D7445" i="106" l="1"/>
  <c r="A7446" i="106"/>
  <c r="A7447" i="106" l="1"/>
  <c r="D7446" i="106"/>
  <c r="D7447" i="106" l="1"/>
  <c r="A7448" i="106"/>
  <c r="A7449" i="106" l="1"/>
  <c r="D7448" i="106"/>
  <c r="D7449" i="106" l="1"/>
  <c r="A7450" i="106"/>
  <c r="D7450" i="106" l="1"/>
  <c r="A7451" i="106"/>
  <c r="D7451" i="106" l="1"/>
  <c r="A7452" i="106"/>
  <c r="A7453" i="106" l="1"/>
  <c r="D7452" i="106"/>
  <c r="D7453" i="106" l="1"/>
  <c r="A7454" i="106"/>
  <c r="D7454" i="106" l="1"/>
  <c r="A7455" i="106"/>
  <c r="D7455" i="106" l="1"/>
  <c r="A7456" i="106"/>
  <c r="A7457" i="106" l="1"/>
  <c r="D7456" i="106"/>
  <c r="D7457" i="106" l="1"/>
  <c r="A7458" i="106"/>
  <c r="A7459" i="106" l="1"/>
  <c r="D7458" i="106"/>
  <c r="D7459" i="106" l="1"/>
  <c r="A7460" i="106"/>
  <c r="D7460" i="106" l="1"/>
  <c r="A7461" i="106"/>
  <c r="D7461" i="106" l="1"/>
  <c r="A7462" i="106"/>
  <c r="A7463" i="106" l="1"/>
  <c r="D7462" i="106"/>
  <c r="D7463" i="106" l="1"/>
  <c r="A7464" i="106"/>
  <c r="D7464" i="106" l="1"/>
  <c r="A7465" i="106"/>
  <c r="D7465" i="106" l="1"/>
  <c r="A7466" i="106"/>
  <c r="A7467" i="106" l="1"/>
  <c r="D7466" i="106"/>
  <c r="D7467" i="106" l="1"/>
  <c r="A7468" i="106"/>
  <c r="A7469" i="106" l="1"/>
  <c r="D7468" i="106"/>
  <c r="D7469" i="106" l="1"/>
  <c r="A7470" i="106"/>
  <c r="A7471" i="106" l="1"/>
  <c r="D7470" i="106"/>
  <c r="D7471" i="106" l="1"/>
  <c r="A7472" i="106"/>
  <c r="D7472" i="106" l="1"/>
  <c r="A7473" i="106"/>
  <c r="D7473" i="106" l="1"/>
  <c r="A7474" i="106"/>
  <c r="A7475" i="106" l="1"/>
  <c r="D7474" i="106"/>
  <c r="D7475" i="106" l="1"/>
  <c r="A7476" i="106"/>
  <c r="D7476" i="106" l="1"/>
  <c r="A7477" i="106"/>
  <c r="D7477" i="106" l="1"/>
  <c r="A7478" i="106"/>
  <c r="A7479" i="106" l="1"/>
  <c r="D7478" i="106"/>
  <c r="D7479" i="106" l="1"/>
  <c r="A7480" i="106"/>
  <c r="A7481" i="106" l="1"/>
  <c r="D7480" i="106"/>
  <c r="D7481" i="106" l="1"/>
  <c r="A7482" i="106"/>
  <c r="D7482" i="106" l="1"/>
  <c r="A7483" i="106"/>
  <c r="D7483" i="106" l="1"/>
  <c r="A7484" i="106"/>
  <c r="D7484" i="106" l="1"/>
  <c r="A7485" i="106"/>
  <c r="D7485" i="106" l="1"/>
  <c r="A7486" i="106"/>
  <c r="A7487" i="106" l="1"/>
  <c r="D7486" i="106"/>
  <c r="D7487" i="106" l="1"/>
  <c r="A7488" i="106"/>
  <c r="A7489" i="106" l="1"/>
  <c r="D7488" i="106"/>
  <c r="D7489" i="106" l="1"/>
  <c r="A7490" i="106"/>
  <c r="D7490" i="106" l="1"/>
  <c r="A7491" i="106"/>
  <c r="D7491" i="106" l="1"/>
  <c r="A7492" i="106"/>
  <c r="A7493" i="106" l="1"/>
  <c r="D7492" i="106"/>
  <c r="D7493" i="106" l="1"/>
  <c r="A7494" i="106"/>
  <c r="A7495" i="106" l="1"/>
  <c r="D7494" i="106"/>
  <c r="D7495" i="106" l="1"/>
  <c r="A7496" i="106"/>
  <c r="D7496" i="106" l="1"/>
  <c r="A7497" i="106"/>
  <c r="D7497" i="106" l="1"/>
  <c r="A7498" i="106"/>
  <c r="A7499" i="106" l="1"/>
  <c r="D7498" i="106"/>
  <c r="D7499" i="106" l="1"/>
  <c r="A7500" i="106"/>
  <c r="D7500" i="106" l="1"/>
  <c r="A7501" i="106"/>
  <c r="D7501" i="106" l="1"/>
  <c r="A7502" i="106"/>
  <c r="A7503" i="106" l="1"/>
  <c r="D7502" i="106"/>
  <c r="D7503" i="106" l="1"/>
  <c r="A7504" i="106"/>
  <c r="A7505" i="106" l="1"/>
  <c r="D7504" i="106"/>
  <c r="D7505" i="106" l="1"/>
  <c r="A7506" i="106"/>
  <c r="D7506" i="106" l="1"/>
  <c r="A7507" i="106"/>
  <c r="D7507" i="106" l="1"/>
  <c r="A7508" i="106"/>
  <c r="A7509" i="106" l="1"/>
  <c r="D7508" i="106"/>
  <c r="D7509" i="106" l="1"/>
  <c r="A7510" i="106"/>
  <c r="D7510" i="106" l="1"/>
  <c r="A7511" i="106"/>
  <c r="D7511" i="106" l="1"/>
  <c r="A7512" i="106"/>
  <c r="A7513" i="106" l="1"/>
  <c r="D7512" i="106"/>
  <c r="D7513" i="106" l="1"/>
  <c r="A7514" i="106"/>
  <c r="A7515" i="106" l="1"/>
  <c r="D7514" i="106"/>
  <c r="D7515" i="106" l="1"/>
  <c r="A7516" i="106"/>
  <c r="D7516" i="106" l="1"/>
  <c r="A7517" i="106"/>
  <c r="D7517" i="106" l="1"/>
  <c r="A7518" i="106"/>
  <c r="A7519" i="106" l="1"/>
  <c r="D7518" i="106"/>
  <c r="D7519" i="106" l="1"/>
  <c r="A7520" i="106"/>
  <c r="A7521" i="106" l="1"/>
  <c r="D7520" i="106"/>
  <c r="D7521" i="106" l="1"/>
  <c r="A7522" i="106"/>
  <c r="A7523" i="106" l="1"/>
  <c r="D7522" i="106"/>
  <c r="D7523" i="106" l="1"/>
  <c r="A7524" i="106"/>
  <c r="A7525" i="106" l="1"/>
  <c r="D7524" i="106"/>
  <c r="D7525" i="106" l="1"/>
  <c r="A7526" i="106"/>
  <c r="A7527" i="106" l="1"/>
  <c r="D7526" i="106"/>
  <c r="D7527" i="106" l="1"/>
  <c r="A7528" i="106"/>
  <c r="A7529" i="106" l="1"/>
  <c r="D7528" i="106"/>
  <c r="D7529" i="106" l="1"/>
  <c r="A7530" i="106"/>
  <c r="A7531" i="106" l="1"/>
  <c r="D7530" i="106"/>
  <c r="D7531" i="106" l="1"/>
  <c r="A7532" i="106"/>
  <c r="A7533" i="106" l="1"/>
  <c r="D7532" i="106"/>
  <c r="D7533" i="106" l="1"/>
  <c r="A7534" i="106"/>
  <c r="A7535" i="106" l="1"/>
  <c r="D7534" i="106"/>
  <c r="D7535" i="106" l="1"/>
  <c r="A7536" i="106"/>
  <c r="A7537" i="106" l="1"/>
  <c r="D7536" i="106"/>
  <c r="D7537" i="106" l="1"/>
  <c r="A7538" i="106"/>
  <c r="A7539" i="106" l="1"/>
  <c r="D7538" i="106"/>
  <c r="D7539" i="106" l="1"/>
  <c r="A7540" i="106"/>
  <c r="A7541" i="106" l="1"/>
  <c r="D7540" i="106"/>
  <c r="D7541" i="106" l="1"/>
  <c r="A7542" i="106"/>
  <c r="A7543" i="106" l="1"/>
  <c r="D7542" i="106"/>
  <c r="D7543" i="106" l="1"/>
  <c r="A7544" i="106"/>
  <c r="A7545" i="106" l="1"/>
  <c r="D7544" i="106"/>
  <c r="D7545" i="106" l="1"/>
  <c r="A7546" i="106"/>
  <c r="A7547" i="106" l="1"/>
  <c r="D7546" i="106"/>
  <c r="D7547" i="106" l="1"/>
  <c r="A7548" i="106"/>
  <c r="A7549" i="106" l="1"/>
  <c r="D7548" i="106"/>
  <c r="D7549" i="106" l="1"/>
  <c r="A7550" i="106"/>
  <c r="A7551" i="106" l="1"/>
  <c r="D7550" i="106"/>
  <c r="D7551" i="106" l="1"/>
  <c r="A7552" i="106"/>
  <c r="A7553" i="106" l="1"/>
  <c r="D7552" i="106"/>
  <c r="D7553" i="106" l="1"/>
  <c r="A7554" i="106"/>
  <c r="A7555" i="106" l="1"/>
  <c r="D7554" i="106"/>
  <c r="D7555" i="106" l="1"/>
  <c r="A7556" i="106"/>
  <c r="A7557" i="106" l="1"/>
  <c r="D7556" i="106"/>
  <c r="D7557" i="106" l="1"/>
  <c r="A7558" i="106"/>
  <c r="A7559" i="106" l="1"/>
  <c r="D7558" i="106"/>
  <c r="D7559" i="106" l="1"/>
  <c r="A7560" i="106"/>
  <c r="A7561" i="106" l="1"/>
  <c r="D7560" i="106"/>
  <c r="D7561" i="106" l="1"/>
  <c r="A7562" i="106"/>
  <c r="A7563" i="106" l="1"/>
  <c r="D7562" i="106"/>
  <c r="D7563" i="106" l="1"/>
  <c r="A7564" i="106"/>
  <c r="A7565" i="106" l="1"/>
  <c r="D7564" i="106"/>
  <c r="D7565" i="106" l="1"/>
  <c r="A7566" i="106"/>
  <c r="A7567" i="106" l="1"/>
  <c r="D7566" i="106"/>
  <c r="D7567" i="106" l="1"/>
  <c r="A7568" i="106"/>
  <c r="A7569" i="106" l="1"/>
  <c r="D7568" i="106"/>
  <c r="D7569" i="106" l="1"/>
  <c r="A7570" i="106"/>
  <c r="A7571" i="106" l="1"/>
  <c r="D7570" i="106"/>
  <c r="D7571" i="106" l="1"/>
  <c r="A7572" i="106"/>
  <c r="A7573" i="106" l="1"/>
  <c r="D7572" i="106"/>
  <c r="D7573" i="106" l="1"/>
  <c r="A7574" i="106"/>
  <c r="A7575" i="106" l="1"/>
  <c r="D7574" i="106"/>
  <c r="D7575" i="106" l="1"/>
  <c r="A7576" i="106"/>
  <c r="A7577" i="106" l="1"/>
  <c r="D7576" i="106"/>
  <c r="D7577" i="106" l="1"/>
  <c r="A7578" i="106"/>
  <c r="A7579" i="106" l="1"/>
  <c r="D7578" i="106"/>
  <c r="D7579" i="106" l="1"/>
  <c r="A7580" i="106"/>
  <c r="A7581" i="106" l="1"/>
  <c r="D7580" i="106"/>
  <c r="D7581" i="106" l="1"/>
  <c r="A7582" i="106"/>
  <c r="A7583" i="106" l="1"/>
  <c r="D7582" i="106"/>
  <c r="D7583" i="106" l="1"/>
  <c r="A7584" i="106"/>
  <c r="A7585" i="106" l="1"/>
  <c r="D7584" i="106"/>
  <c r="D7585" i="106" l="1"/>
  <c r="A7586" i="106"/>
  <c r="A7587" i="106" l="1"/>
  <c r="D7586" i="106"/>
  <c r="D7587" i="106" l="1"/>
  <c r="A7588" i="106"/>
  <c r="A7589" i="106" l="1"/>
  <c r="D7588" i="106"/>
  <c r="D7589" i="106" l="1"/>
  <c r="A7590" i="106"/>
  <c r="A7591" i="106" l="1"/>
  <c r="D7590" i="106"/>
  <c r="D7591" i="106" l="1"/>
  <c r="A7592" i="106"/>
  <c r="A7593" i="106" l="1"/>
  <c r="D7592" i="106"/>
  <c r="D7593" i="106" l="1"/>
  <c r="A7594" i="106"/>
  <c r="A7595" i="106" l="1"/>
  <c r="D7594" i="106"/>
  <c r="D7595" i="106" l="1"/>
  <c r="A7596" i="106"/>
  <c r="A7597" i="106" l="1"/>
  <c r="D7596" i="106"/>
  <c r="D7597" i="106" l="1"/>
  <c r="A7598" i="106"/>
  <c r="A7599" i="106" l="1"/>
  <c r="D7598" i="106"/>
  <c r="D7599" i="106" l="1"/>
  <c r="A7600" i="106"/>
  <c r="A7601" i="106" l="1"/>
  <c r="D7600" i="106"/>
  <c r="D7601" i="106" l="1"/>
  <c r="A7602" i="106"/>
  <c r="A7603" i="106" l="1"/>
  <c r="D7602" i="106"/>
  <c r="D7603" i="106" l="1"/>
  <c r="A7604" i="106"/>
  <c r="A7605" i="106" l="1"/>
  <c r="D7604" i="106"/>
  <c r="D7605" i="106" l="1"/>
  <c r="A7606" i="106"/>
  <c r="A7607" i="106" l="1"/>
  <c r="D7606" i="106"/>
  <c r="D7607" i="106" l="1"/>
  <c r="A7608" i="106"/>
  <c r="A7609" i="106" l="1"/>
  <c r="D7608" i="106"/>
  <c r="D7609" i="106" l="1"/>
  <c r="A7610" i="106"/>
  <c r="A7611" i="106" l="1"/>
  <c r="D7610" i="106"/>
  <c r="D7611" i="106" l="1"/>
  <c r="A7612" i="106"/>
  <c r="A7613" i="106" l="1"/>
  <c r="D7612" i="106"/>
  <c r="A7614" i="106" l="1"/>
  <c r="D7613" i="106"/>
  <c r="A7615" i="106" l="1"/>
  <c r="D7614" i="106"/>
  <c r="D7615" i="106" l="1"/>
  <c r="A7616" i="106"/>
  <c r="A7617" i="106" l="1"/>
  <c r="D7616" i="106"/>
  <c r="D7617" i="106" l="1"/>
  <c r="A7618" i="106"/>
  <c r="A7619" i="106" l="1"/>
  <c r="D7618" i="106"/>
  <c r="D7619" i="106" l="1"/>
  <c r="A7620" i="106"/>
  <c r="A7621" i="106" l="1"/>
  <c r="D7620" i="106"/>
  <c r="D7621" i="106" l="1"/>
  <c r="A7622" i="106"/>
  <c r="A7623" i="106" l="1"/>
  <c r="D7622" i="106"/>
  <c r="D7623" i="106" l="1"/>
  <c r="A7624"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D7637" i="106" l="1"/>
  <c r="A7638" i="106"/>
  <c r="A7639" i="106" l="1"/>
  <c r="D7638" i="106"/>
  <c r="D7639" i="106" l="1"/>
  <c r="A7640" i="106"/>
  <c r="A7641" i="106" l="1"/>
  <c r="D7640" i="106"/>
  <c r="D7641" i="106" l="1"/>
  <c r="A7642" i="106"/>
  <c r="A7643" i="106" l="1"/>
  <c r="D7642" i="106"/>
  <c r="D7643" i="106" l="1"/>
  <c r="A7644" i="106"/>
  <c r="A7645" i="106" l="1"/>
  <c r="D7644" i="106"/>
  <c r="D7645" i="106" l="1"/>
  <c r="A7646" i="106"/>
  <c r="A7647" i="106" l="1"/>
  <c r="D7646" i="106"/>
  <c r="D7647" i="106" l="1"/>
  <c r="A7648" i="106"/>
  <c r="A7649" i="106" l="1"/>
  <c r="D7648" i="106"/>
  <c r="D7649" i="106" l="1"/>
  <c r="A7650" i="106"/>
  <c r="D7650" i="10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<sst xmlns="http://schemas.openxmlformats.org/spreadsheetml/2006/main" count="5374" uniqueCount="2211">
  <si>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</si>
  <si>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</si>
  <si>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</si>
  <si>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</si>
  <si>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</si>
  <si>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</si>
  <si>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</si>
  <si>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</si>
  <si>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</si>
  <si>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</si>
  <si>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</si>
  <si>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</si>
  <si>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</si>
  <si>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</si>
  <si>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</si>
  <si>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</si>
  <si>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</si>
  <si>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</si>
  <si>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</si>
  <si>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</si>
  <si>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</si>
  <si>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</si>
  <si>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</si>
  <si>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</si>
  <si>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</si>
  <si>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</si>
  <si>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</si>
  <si>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</si>
  <si>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</si>
  <si>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</si>
  <si>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</si>
  <si>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</si>
  <si>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</si>
  <si>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</si>
  <si>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</si>
  <si>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</si>
  <si>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</si>
  <si>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</si>
  <si>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</si>
  <si>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</si>
  <si>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</si>
  <si>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</si>
  <si>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</si>
  <si>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</si>
  <si>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</si>
  <si>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</si>
  <si>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</si>
  <si>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</si>
  <si>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</si>
  <si>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</si>
  <si>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</si>
  <si>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</si>
  <si>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</si>
  <si>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</si>
  <si>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</si>
  <si>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</si>
  <si>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</si>
  <si>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</si>
  <si>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</si>
  <si>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</si>
  <si>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</si>
  <si>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</si>
  <si>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</si>
  <si>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</si>
  <si>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</si>
  <si>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</si>
  <si>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</si>
  <si>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</si>
  <si>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</si>
  <si>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</si>
  <si>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</si>
  <si>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</si>
  <si>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</si>
  <si>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</si>
  <si>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</si>
  <si>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</si>
  <si>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</si>
  <si>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</si>
  <si>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</si>
  <si>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</si>
  <si>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</si>
  <si>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</si>
  <si>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</si>
  <si>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</si>
  <si>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</si>
  <si>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</si>
  <si>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</si>
  <si>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</si>
  <si>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</si>
  <si>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</si>
  <si>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</si>
  <si>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</si>
  <si>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</si>
  <si>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</si>
  <si>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</si>
  <si>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</si>
  <si>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</si>
  <si>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</si>
  <si>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</si>
  <si>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</si>
  <si>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</si>
  <si>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</si>
  <si>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</si>
  <si>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</si>
  <si>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</si>
  <si>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</si>
  <si>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</si>
  <si>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</si>
  <si>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</si>
  <si>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</si>
  <si>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</si>
  <si>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</si>
  <si>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</si>
  <si>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</si>
  <si>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</si>
  <si>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</si>
  <si>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</si>
  <si>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</si>
  <si>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</si>
  <si>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</si>
  <si>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</si>
  <si>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</si>
  <si>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</si>
  <si>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</si>
  <si>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</si>
  <si>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</si>
  <si>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</si>
  <si>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</si>
  <si>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</si>
  <si>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</si>
  <si>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</si>
  <si>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</si>
  <si>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</si>
  <si>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</si>
  <si>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</si>
  <si>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</si>
  <si>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</si>
  <si>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</si>
  <si>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</si>
  <si>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</si>
  <si>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</si>
  <si>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</si>
  <si>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</si>
  <si>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</si>
  <si>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</si>
  <si>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</si>
  <si>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</si>
  <si>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</si>
  <si>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</si>
  <si>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</si>
  <si>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</si>
  <si>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</si>
  <si>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</si>
  <si>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</si>
  <si>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</si>
  <si>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</si>
  <si>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</si>
  <si>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</si>
  <si>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</si>
  <si>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</si>
  <si>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</si>
  <si>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</si>
  <si>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</si>
  <si>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</si>
  <si>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</si>
  <si>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</si>
  <si>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</si>
  <si>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</si>
  <si>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</si>
  <si>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</si>
  <si>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</si>
  <si>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</si>
  <si>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</si>
  <si>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</si>
  <si>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</si>
  <si>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</si>
  <si>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</si>
  <si>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</si>
  <si>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</si>
  <si>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</si>
  <si>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</si>
  <si>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</si>
  <si>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</si>
  <si>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</si>
  <si>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</si>
  <si>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</si>
  <si>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</si>
  <si>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</si>
  <si>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</si>
  <si>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</si>
  <si>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</si>
  <si>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</si>
  <si>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</si>
  <si>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</si>
  <si>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</si>
  <si>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</si>
  <si>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</si>
  <si>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</si>
  <si>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</si>
  <si>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</si>
  <si>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</si>
  <si>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</si>
  <si>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</si>
  <si>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</si>
  <si>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</si>
  <si>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</si>
  <si>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</si>
  <si>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</si>
  <si>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</si>
  <si>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</si>
  <si>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</si>
  <si>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</si>
  <si>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</si>
  <si>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</si>
  <si>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</si>
  <si>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</si>
  <si>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</si>
  <si>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</si>
  <si>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</si>
  <si>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</si>
  <si>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</si>
  <si>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</si>
  <si>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</si>
  <si>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</si>
  <si>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</si>
  <si>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</si>
  <si>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</si>
  <si>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</si>
  <si>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</si>
  <si>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</si>
  <si>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</si>
  <si>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</si>
  <si>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</si>
  <si>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</si>
  <si>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</si>
  <si>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</si>
  <si>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</si>
  <si>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</si>
  <si>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</si>
  <si>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</si>
  <si>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</si>
  <si>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</si>
  <si>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</si>
  <si>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</si>
  <si>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</si>
  <si>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</si>
  <si>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</si>
  <si>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</si>
  <si>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</si>
  <si>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</si>
  <si>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</si>
  <si>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</si>
  <si>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</si>
  <si>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</si>
  <si>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</si>
  <si>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</si>
  <si>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</si>
  <si>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</si>
  <si>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</si>
  <si>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</si>
  <si>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</si>
  <si>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</si>
  <si>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</si>
  <si>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</si>
  <si>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</si>
  <si>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</si>
  <si>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</si>
  <si>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</si>
  <si>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</si>
  <si>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</si>
  <si>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</si>
  <si>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</si>
  <si>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</si>
  <si>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</si>
  <si>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</si>
  <si>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</si>
  <si>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</si>
  <si>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</si>
  <si>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</si>
  <si>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</si>
  <si>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</si>
  <si>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</si>
  <si>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</si>
  <si>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</si>
  <si>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</si>
  <si>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</si>
  <si>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</si>
  <si>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</si>
  <si>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</si>
  <si>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</si>
  <si>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</si>
  <si>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</si>
  <si>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</si>
  <si>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</si>
  <si>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</si>
  <si>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</si>
  <si>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</si>
  <si>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</si>
  <si>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</si>
  <si>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</si>
  <si>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</si>
  <si>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</si>
  <si>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</si>
  <si>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</si>
  <si>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</si>
  <si>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</si>
  <si>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</si>
  <si>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</si>
  <si>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</si>
  <si>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</si>
  <si>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</si>
  <si>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</si>
  <si>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</si>
  <si>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</si>
  <si>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</si>
  <si>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</si>
  <si>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</si>
  <si>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</si>
  <si>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</si>
  <si>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</si>
  <si>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</si>
  <si>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</si>
  <si>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</si>
  <si>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</si>
  <si>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</si>
  <si>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</si>
  <si>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</si>
  <si>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</si>
  <si>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</si>
  <si>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</si>
  <si>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</si>
  <si>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</si>
  <si>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</si>
  <si>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</si>
  <si>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</si>
  <si>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</si>
  <si>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</si>
  <si>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</si>
  <si>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</si>
  <si>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</si>
  <si>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</si>
  <si>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</si>
  <si>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</si>
  <si>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</si>
  <si>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</si>
  <si>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</si>
  <si>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</si>
  <si>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</si>
  <si>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</si>
  <si>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</si>
  <si>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</si>
  <si>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</si>
  <si>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</si>
  <si>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</si>
  <si>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</si>
  <si>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</si>
  <si>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</si>
  <si>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</si>
  <si>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</si>
  <si>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</si>
  <si>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</si>
  <si>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</si>
  <si>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</si>
  <si>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</si>
  <si>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</si>
  <si>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</si>
  <si>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</si>
  <si>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</si>
  <si>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</si>
  <si>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</si>
  <si>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</si>
  <si>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</si>
  <si>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</si>
  <si>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</si>
  <si>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</si>
  <si>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</si>
  <si>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</si>
  <si>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</si>
  <si>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</si>
  <si>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</si>
  <si>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</si>
  <si>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</si>
  <si>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</si>
  <si>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</si>
  <si>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</si>
  <si>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</si>
  <si>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</si>
  <si>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</si>
  <si>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</si>
  <si>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</si>
  <si>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</si>
  <si>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</si>
  <si>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</si>
  <si>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</si>
  <si>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</si>
  <si>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</si>
  <si>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</si>
  <si>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</si>
  <si>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</si>
  <si>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</si>
  <si>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</si>
  <si>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</si>
  <si>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</si>
  <si>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</si>
  <si>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</si>
  <si>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</si>
  <si>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</si>
  <si>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</si>
  <si>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</si>
  <si>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</si>
  <si>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</si>
  <si>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</si>
  <si>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</si>
  <si>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</si>
  <si>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</si>
  <si>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</si>
  <si>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</si>
  <si>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</si>
  <si>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</si>
  <si>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</si>
  <si>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</si>
  <si>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</si>
  <si>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</si>
  <si>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</si>
  <si>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</si>
  <si>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</si>
  <si>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</si>
  <si>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</si>
  <si>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</si>
  <si>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</si>
  <si>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</si>
  <si>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</si>
  <si>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</si>
  <si>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</si>
  <si>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</si>
  <si>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</si>
  <si>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</si>
  <si>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</si>
  <si>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</si>
  <si>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</si>
  <si>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</si>
  <si>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</si>
  <si>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</si>
  <si>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</si>
  <si>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</si>
  <si>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</si>
  <si>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</si>
  <si>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</si>
  <si>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</si>
  <si>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</si>
  <si>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</si>
  <si>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</si>
  <si>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</si>
  <si>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</si>
  <si>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</si>
  <si>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</si>
  <si>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</si>
  <si>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</si>
  <si>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</si>
  <si>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</si>
  <si>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</si>
  <si>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</si>
  <si>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</si>
  <si>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</si>
  <si>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</si>
  <si>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</si>
  <si>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</si>
  <si>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</si>
  <si>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</si>
  <si>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</si>
  <si>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</si>
  <si>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</si>
  <si>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</si>
  <si>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</si>
  <si>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</si>
  <si>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</si>
  <si>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</si>
  <si>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</si>
  <si>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</si>
  <si>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</si>
  <si>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</si>
  <si>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</si>
  <si>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</si>
  <si>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</si>
  <si>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</si>
  <si>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</si>
  <si>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</si>
  <si>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</si>
  <si>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</si>
  <si>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</si>
  <si>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</si>
  <si>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</si>
  <si>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</si>
  <si>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</si>
  <si>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</si>
  <si>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</si>
  <si>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</si>
  <si>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</si>
  <si>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</si>
  <si>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</si>
  <si>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</si>
  <si>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</si>
  <si>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</si>
  <si>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</si>
  <si>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</si>
  <si>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</si>
  <si>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</si>
  <si>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</si>
  <si>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</si>
  <si>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</si>
  <si>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</si>
  <si>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</si>
  <si>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</si>
  <si>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</si>
  <si>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</si>
  <si>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</si>
  <si>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</si>
  <si>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</si>
  <si>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</si>
  <si>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</si>
  <si>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</si>
  <si>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</si>
  <si>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</si>
  <si>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</si>
  <si>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</si>
  <si>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</si>
  <si>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</si>
  <si>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</si>
  <si>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</si>
  <si>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</si>
  <si>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</si>
  <si>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</si>
  <si>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</si>
  <si>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</si>
  <si>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</si>
  <si>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</si>
  <si>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</si>
  <si>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</si>
  <si>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</si>
  <si>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</si>
  <si>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</si>
  <si>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</si>
  <si>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</si>
  <si>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</si>
  <si>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</si>
  <si>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</si>
  <si>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</si>
  <si>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</si>
  <si>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</si>
  <si>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</si>
  <si>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</si>
  <si>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</si>
  <si>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</si>
  <si>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</si>
  <si>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</si>
  <si>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</si>
  <si>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</si>
  <si>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</si>
  <si>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</si>
  <si>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</si>
  <si>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</si>
  <si>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</si>
  <si>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</si>
  <si>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</si>
  <si>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</si>
  <si>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</si>
  <si>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</si>
  <si>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</si>
  <si>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</si>
  <si>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</si>
  <si>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</si>
  <si>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</si>
  <si>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</si>
  <si>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</si>
  <si>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</si>
  <si>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</si>
  <si>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</si>
  <si>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</si>
  <si>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</si>
  <si>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</si>
  <si>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</si>
  <si>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</si>
  <si>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</si>
  <si>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</si>
  <si>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</si>
  <si>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</si>
  <si>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</si>
  <si>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</si>
  <si>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</si>
  <si>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</si>
  <si>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</si>
  <si>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</si>
  <si>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</si>
  <si>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</si>
  <si>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</si>
  <si>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</si>
  <si>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</si>
  <si>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</si>
  <si>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</si>
  <si>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</si>
  <si>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</si>
  <si>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</si>
  <si>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</si>
  <si>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</si>
  <si>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</si>
  <si>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</si>
  <si>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</si>
  <si>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</si>
  <si>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</si>
  <si>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</si>
  <si>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</si>
  <si>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</si>
  <si>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</si>
  <si>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</si>
  <si>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</si>
  <si>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</si>
  <si>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</si>
  <si>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</si>
  <si>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</si>
  <si>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</si>
  <si>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</si>
  <si>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</si>
  <si>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</si>
  <si>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</si>
  <si>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</si>
  <si>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</si>
  <si>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</si>
  <si>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</si>
  <si>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</si>
  <si>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</si>
  <si>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</si>
  <si>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</si>
  <si>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</si>
  <si>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</si>
  <si>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</si>
  <si>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</si>
  <si>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</si>
  <si>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</si>
  <si>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</si>
  <si>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</si>
  <si>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</si>
  <si>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</si>
  <si>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</si>
  <si>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</si>
  <si>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</si>
  <si>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</si>
  <si>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</si>
  <si>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</si>
  <si>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</si>
  <si>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</si>
  <si>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</si>
  <si>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</si>
  <si>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</si>
  <si>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</si>
  <si>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</si>
  <si>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</si>
  <si>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</si>
  <si>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</si>
  <si>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</si>
  <si>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</si>
  <si>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</si>
  <si>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</si>
  <si>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</si>
  <si>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</si>
  <si>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</si>
  <si>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</si>
  <si>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</si>
  <si>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</si>
  <si>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</si>
  <si>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</si>
  <si>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</si>
  <si>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</si>
  <si>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</si>
  <si>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</si>
  <si>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</si>
  <si>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</si>
  <si>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</si>
  <si>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</si>
  <si>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</si>
  <si>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</si>
  <si>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</si>
  <si>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</si>
  <si>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</si>
  <si>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</si>
  <si>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</si>
  <si>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</si>
  <si>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</si>
  <si>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</si>
  <si>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</si>
  <si>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</si>
  <si>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</si>
  <si>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</si>
  <si>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</si>
  <si>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</si>
  <si>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</si>
  <si>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</si>
  <si>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</si>
  <si>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</si>
  <si>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</si>
  <si>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</si>
  <si>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</si>
  <si>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</si>
  <si>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</si>
  <si>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</si>
  <si>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</si>
  <si>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</si>
  <si>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</si>
  <si>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</si>
  <si>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</si>
  <si>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</si>
  <si>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</si>
  <si>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</si>
  <si>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</si>
  <si>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</si>
  <si>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</si>
  <si>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</si>
  <si>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</si>
  <si>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</si>
  <si>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</si>
  <si>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</si>
  <si>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</si>
  <si>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</si>
  <si>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</si>
  <si>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</si>
  <si>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</si>
  <si>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</si>
  <si>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</si>
  <si>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</si>
  <si>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</si>
  <si>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</si>
  <si>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</si>
  <si>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</si>
  <si>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</si>
  <si>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</si>
  <si>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</si>
  <si>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</si>
  <si>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</si>
  <si>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</si>
  <si>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</si>
  <si>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</si>
  <si>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</si>
  <si>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</si>
  <si>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</si>
  <si>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</si>
  <si>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</si>
  <si>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</si>
  <si>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</si>
  <si>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</si>
  <si>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</si>
  <si>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</si>
  <si>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</si>
  <si>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</si>
  <si>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</si>
  <si>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</si>
  <si>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</si>
  <si>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</si>
  <si>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</si>
  <si>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</si>
  <si>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</si>
  <si>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</si>
  <si>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</si>
  <si>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</si>
  <si>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</si>
  <si>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</si>
  <si>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</si>
  <si>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</si>
  <si>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</si>
  <si>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</si>
  <si>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</si>
  <si>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</si>
  <si>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</si>
  <si>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</si>
  <si>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</si>
  <si>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</si>
  <si>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</si>
  <si>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</si>
  <si>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</si>
  <si>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</si>
  <si>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</si>
  <si>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</si>
  <si>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</si>
  <si>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</si>
  <si>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</si>
  <si>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</si>
  <si>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</si>
  <si>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</si>
  <si>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</si>
  <si>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</si>
  <si>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</si>
  <si>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</si>
  <si>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</si>
  <si>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</si>
  <si>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</si>
  <si>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</si>
  <si>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</si>
  <si>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</si>
  <si>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</si>
  <si>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</si>
  <si>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</si>
  <si>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</si>
  <si>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</si>
  <si>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</si>
  <si>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</si>
  <si>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</si>
  <si>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</si>
  <si>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</si>
  <si>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</si>
  <si>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</si>
  <si>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</si>
  <si>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</si>
  <si>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</si>
  <si>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</si>
  <si>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</si>
  <si>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</si>
  <si>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</si>
  <si>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</si>
  <si>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</si>
  <si>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</si>
  <si>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</si>
  <si>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</si>
  <si>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</si>
  <si>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</si>
  <si>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</si>
  <si>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</si>
  <si>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</si>
  <si>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</si>
  <si>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</si>
  <si>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</si>
  <si>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</si>
  <si>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</si>
  <si>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</si>
  <si>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</si>
  <si>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</si>
  <si>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</si>
  <si>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</si>
  <si>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</si>
  <si>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</si>
  <si>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</si>
  <si>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</si>
  <si>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</si>
  <si>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</si>
  <si>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</si>
  <si>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</si>
  <si>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</si>
  <si>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</si>
  <si>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</si>
  <si>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</si>
  <si>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</si>
  <si>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</si>
  <si>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</si>
  <si>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</si>
  <si>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</si>
  <si>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</si>
  <si>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</si>
  <si>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</si>
  <si>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</si>
  <si>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</si>
  <si>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</si>
  <si>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</si>
  <si>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</si>
  <si>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</si>
  <si>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</si>
  <si>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</si>
  <si>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</si>
  <si>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</si>
  <si>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</si>
  <si>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</si>
  <si>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</si>
  <si>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</si>
  <si>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</si>
  <si>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</si>
  <si>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</si>
  <si>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</si>
  <si>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</si>
  <si>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</si>
  <si>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</si>
  <si>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</si>
  <si>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</si>
  <si>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</si>
  <si>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</si>
  <si>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</si>
  <si>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</si>
  <si>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</si>
  <si>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</si>
  <si>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</si>
  <si>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</si>
  <si>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</si>
  <si>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</si>
  <si>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</si>
  <si>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</si>
  <si>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</si>
  <si>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</si>
  <si>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</si>
  <si>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</si>
  <si>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</si>
  <si>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</si>
  <si>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</si>
  <si>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</si>
  <si>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</si>
  <si>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</si>
  <si>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</si>
  <si>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</si>
  <si>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</si>
  <si>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</si>
  <si>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</si>
  <si>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</si>
  <si>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</si>
  <si>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</si>
  <si>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</si>
  <si>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</si>
  <si>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</si>
  <si>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</si>
  <si>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</si>
  <si>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</si>
  <si>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</si>
  <si>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</si>
  <si>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</si>
  <si>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</si>
  <si>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</si>
  <si>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</si>
  <si>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</si>
  <si>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</si>
  <si>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</si>
  <si>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</si>
  <si>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</si>
  <si>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</si>
  <si>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</si>
  <si>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</si>
  <si>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</si>
  <si>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</si>
  <si>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</si>
  <si>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</si>
  <si>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</si>
  <si>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</si>
  <si>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</si>
  <si>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</si>
  <si>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</si>
  <si>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</si>
  <si>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</si>
  <si>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</si>
  <si>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</si>
  <si>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</si>
  <si>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</si>
  <si>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</si>
  <si>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</si>
  <si>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</si>
  <si>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</si>
  <si>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</si>
  <si>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</si>
  <si>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</si>
  <si>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</si>
  <si>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</si>
  <si>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</si>
  <si>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</si>
  <si>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</si>
  <si>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</si>
  <si>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</si>
  <si>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</si>
  <si>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</si>
  <si>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</si>
  <si>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</si>
  <si>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</si>
  <si>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</si>
  <si>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</si>
  <si>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</si>
  <si>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</si>
  <si>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</si>
  <si>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</si>
  <si>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</si>
  <si>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</si>
  <si>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</si>
  <si>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</si>
  <si>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</si>
  <si>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</si>
  <si>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</si>
  <si>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</si>
  <si>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</si>
  <si>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</si>
  <si>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</si>
  <si>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</si>
  <si>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</si>
  <si>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</si>
  <si>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</si>
  <si>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</si>
  <si>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</si>
  <si>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</si>
  <si>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</si>
  <si>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</si>
  <si>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</si>
  <si>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</si>
  <si>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</si>
  <si>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</si>
  <si>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</si>
  <si>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</si>
  <si>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</si>
  <si>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</si>
  <si>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</si>
  <si>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</si>
  <si>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</si>
  <si>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</si>
  <si>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</si>
  <si>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</si>
  <si>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</si>
  <si>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</si>
  <si>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</si>
  <si>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</si>
  <si>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</si>
  <si>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</si>
  <si>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</si>
  <si>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</si>
  <si>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</si>
  <si>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</si>
  <si>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</si>
  <si>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</si>
  <si>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</si>
  <si>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</si>
  <si>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</si>
  <si>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</si>
  <si>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</si>
  <si>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</si>
  <si>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</si>
  <si>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</si>
  <si>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</si>
  <si>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</si>
  <si>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</si>
  <si>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</si>
  <si>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</si>
  <si>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</si>
  <si>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</si>
  <si>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</si>
  <si>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</si>
  <si>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</si>
  <si>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</si>
  <si>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</si>
  <si>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</si>
  <si>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</si>
  <si>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</si>
  <si>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</si>
  <si>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</si>
  <si>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</si>
  <si>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</si>
  <si>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</si>
  <si>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</si>
  <si>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</si>
  <si>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</si>
  <si>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</si>
  <si>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</si>
  <si>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</si>
  <si>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</si>
  <si>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</si>
  <si>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</si>
  <si>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</si>
  <si>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</si>
  <si>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</si>
  <si>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</si>
  <si>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</si>
  <si>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</si>
  <si>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</si>
  <si>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</si>
  <si>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</si>
  <si>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</si>
  <si>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</si>
  <si>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</si>
  <si>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</si>
  <si>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</si>
  <si>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</si>
  <si>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</si>
  <si>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</si>
  <si>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</si>
  <si>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</si>
  <si>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</si>
  <si>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</si>
  <si>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</si>
  <si>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</si>
  <si>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</si>
  <si>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</si>
  <si>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</si>
  <si>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</si>
  <si>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</si>
  <si>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</si>
  <si>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</si>
  <si>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</si>
  <si>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</si>
  <si>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</si>
  <si>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</si>
  <si>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</si>
  <si>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</si>
  <si>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</si>
  <si>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</si>
  <si>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</si>
  <si>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</si>
  <si>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</si>
  <si>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</si>
  <si>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</si>
  <si>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</si>
  <si>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</si>
  <si>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</si>
  <si>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</si>
  <si>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</si>
  <si>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</si>
  <si>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</si>
  <si>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</si>
  <si>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</si>
  <si>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</si>
  <si>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</si>
  <si>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</si>
  <si>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</si>
  <si>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</si>
  <si>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</si>
  <si>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</si>
  <si>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</si>
  <si>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</si>
  <si>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</si>
  <si>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</si>
  <si>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</si>
  <si>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</si>
  <si>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</si>
  <si>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</si>
  <si>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</si>
  <si>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</si>
  <si>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</si>
  <si>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</si>
  <si>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</si>
  <si>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</si>
  <si>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</si>
  <si>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</si>
  <si>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</si>
  <si>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</si>
  <si>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</si>
  <si>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</si>
  <si>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</si>
  <si>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</si>
  <si>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</si>
  <si>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</si>
  <si>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</si>
  <si>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</si>
  <si>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</si>
  <si>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</si>
  <si>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</si>
  <si>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</si>
  <si>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</si>
  <si>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</si>
  <si>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</si>
  <si>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</si>
  <si>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</si>
  <si>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</si>
  <si>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</si>
  <si>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</si>
  <si>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</si>
  <si>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</si>
  <si>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</si>
  <si>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</si>
  <si>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</si>
  <si>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</si>
  <si>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</si>
  <si>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</si>
  <si>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</si>
  <si>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</si>
  <si>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</si>
  <si>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</si>
  <si>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</si>
  <si>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</si>
  <si>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</si>
  <si>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</si>
  <si>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</si>
  <si>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</si>
  <si>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</si>
  <si>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</si>
  <si>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</si>
  <si>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</si>
  <si>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</si>
  <si>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</si>
  <si>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</si>
  <si>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</si>
  <si>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</si>
  <si>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</si>
  <si>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</si>
  <si>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</si>
  <si>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</si>
  <si>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</si>
  <si>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</si>
  <si>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</si>
  <si>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</si>
  <si>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</si>
  <si>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</si>
  <si>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</si>
  <si>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</si>
  <si>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</si>
  <si>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</si>
  <si>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</si>
  <si>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</si>
  <si>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</si>
  <si>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</si>
  <si>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</si>
  <si>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</si>
  <si>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</si>
  <si>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</si>
  <si>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</si>
  <si>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</si>
  <si>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</si>
  <si>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</si>
  <si>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</si>
  <si>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</si>
  <si>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</si>
  <si>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</si>
  <si>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</si>
  <si>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</si>
  <si>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</si>
  <si>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</si>
  <si>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</si>
  <si>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</si>
  <si>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</si>
  <si>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</si>
  <si>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</si>
  <si>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</si>
  <si>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</si>
  <si>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</si>
  <si>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</si>
  <si>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</si>
  <si>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</si>
  <si>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</si>
  <si>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</si>
  <si>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</si>
  <si>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</si>
  <si>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</si>
  <si>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</si>
  <si>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</si>
  <si>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</si>
  <si>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</si>
  <si>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</si>
  <si>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</si>
  <si>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</si>
  <si>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</si>
  <si>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</si>
  <si>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</si>
  <si>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</si>
  <si>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</si>
  <si>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</si>
  <si>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</si>
  <si>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</si>
  <si>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</si>
  <si>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</si>
  <si>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</si>
  <si>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</si>
  <si>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</si>
  <si>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</si>
  <si>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</si>
  <si>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</si>
  <si>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</si>
  <si>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</si>
  <si>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</si>
  <si>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</si>
  <si>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</si>
  <si>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</si>
  <si>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</si>
  <si>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</si>
  <si>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</si>
  <si>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</si>
  <si>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</si>
  <si>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</si>
  <si>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</si>
  <si>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</si>
  <si>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</si>
  <si>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</si>
  <si>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</si>
  <si>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</si>
  <si>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</si>
  <si>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</si>
  <si>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</si>
  <si>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</si>
  <si>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</si>
  <si>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</si>
  <si>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</si>
  <si>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</si>
  <si>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</si>
  <si>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</si>
  <si>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</si>
  <si>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</si>
  <si>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</si>
  <si>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</si>
  <si>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</si>
  <si>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</si>
  <si>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</si>
  <si>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</si>
  <si>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</si>
  <si>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</si>
  <si>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</si>
  <si>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</si>
  <si>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</si>
  <si>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</si>
  <si>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</si>
  <si>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</si>
  <si>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</si>
  <si>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</si>
  <si>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</si>
  <si>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</si>
  <si>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</si>
  <si>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</si>
  <si>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</si>
  <si>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</si>
  <si>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</si>
  <si>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</si>
  <si>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</si>
  <si>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</si>
  <si>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</si>
  <si>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</si>
  <si>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</si>
  <si>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</si>
  <si>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</si>
  <si>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</si>
  <si>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</si>
  <si>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</si>
  <si>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</si>
  <si>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</si>
  <si>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</si>
  <si>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</si>
  <si>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</si>
  <si>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</si>
  <si>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</si>
  <si>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</si>
  <si>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</si>
  <si>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</si>
  <si>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</si>
  <si>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</si>
  <si>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</si>
  <si>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</si>
  <si>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</si>
  <si>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</si>
  <si>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</si>
  <si>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</si>
  <si>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</si>
  <si>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</si>
  <si>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</si>
  <si>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</si>
  <si>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</si>
  <si>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</si>
  <si>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</si>
  <si>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</si>
  <si>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</si>
  <si>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</si>
  <si>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</si>
  <si>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</si>
  <si>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</si>
  <si>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</si>
  <si>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</si>
  <si>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</si>
  <si>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</si>
  <si>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</si>
  <si>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</si>
  <si>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</si>
  <si>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</si>
  <si>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</si>
  <si>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</si>
  <si>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</si>
  <si>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</si>
  <si>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</si>
  <si>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</si>
  <si>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</si>
  <si>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</si>
  <si>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</si>
  <si>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</si>
  <si>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</si>
  <si>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</si>
  <si>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</si>
  <si>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</si>
  <si>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</si>
  <si>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</si>
  <si>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</si>
  <si>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</si>
  <si>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</si>
  <si>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</si>
  <si>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</si>
  <si>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</si>
  <si>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</si>
  <si>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</si>
  <si>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</si>
  <si>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</si>
  <si>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</si>
  <si>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</si>
  <si>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</si>
  <si>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</si>
  <si>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</si>
  <si>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</si>
  <si>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</si>
  <si>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</si>
  <si>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</si>
  <si>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</si>
  <si>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</si>
  <si>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</si>
  <si>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</si>
  <si>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</si>
  <si>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</si>
  <si>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</si>
  <si>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</si>
  <si>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</si>
  <si>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</si>
  <si>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</si>
  <si>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</si>
  <si>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</si>
  <si>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</si>
  <si>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</si>
  <si>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</si>
  <si>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</si>
  <si>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</si>
  <si>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</si>
  <si>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</si>
  <si>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</si>
  <si>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</si>
  <si>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</si>
  <si>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</si>
  <si>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</si>
  <si>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</si>
  <si>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</si>
  <si>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</si>
  <si>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</si>
  <si>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</si>
  <si>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</si>
  <si>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</si>
  <si>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</si>
  <si>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</si>
  <si>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</si>
  <si>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</si>
  <si>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</si>
  <si>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</si>
  <si>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</si>
  <si>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</si>
  <si>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</si>
  <si>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</si>
  <si>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</si>
  <si>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</si>
  <si>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</si>
  <si>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</si>
  <si>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</si>
  <si>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</si>
  <si>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</si>
  <si>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</si>
  <si>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</si>
  <si>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</si>
  <si>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</si>
  <si>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</si>
  <si>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</si>
  <si>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</si>
  <si>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</si>
  <si>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</si>
  <si>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</si>
  <si>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</si>
  <si>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</si>
  <si>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</si>
  <si>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</si>
  <si>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</si>
  <si>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</si>
  <si>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</si>
  <si>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</si>
  <si>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</si>
  <si>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</si>
  <si>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</si>
  <si>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</si>
  <si>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</si>
  <si>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</si>
  <si>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</si>
  <si>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</si>
  <si>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</si>
  <si>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</si>
  <si>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</si>
  <si>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</si>
  <si>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</si>
  <si>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</si>
  <si>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</si>
  <si>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</si>
  <si>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</si>
  <si>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</si>
  <si>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</si>
  <si>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</si>
  <si>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</si>
  <si>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</si>
  <si>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</si>
  <si>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</si>
  <si>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</si>
  <si>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</si>
  <si>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</si>
  <si>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</si>
  <si>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</si>
  <si>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</si>
  <si>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</si>
  <si>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</si>
  <si>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</si>
  <si>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</si>
  <si>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</si>
  <si>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</si>
  <si>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</si>
  <si>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</si>
  <si>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</si>
  <si>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</si>
  <si>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</si>
  <si>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</si>
  <si>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</si>
  <si>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</si>
  <si>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</si>
  <si>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</si>
  <si>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</si>
  <si>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</si>
  <si>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</si>
  <si>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</si>
  <si>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</si>
  <si>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</si>
  <si>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</si>
  <si>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</si>
  <si>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</si>
  <si>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</si>
  <si>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</si>
  <si>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</si>
  <si>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</si>
  <si>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</si>
  <si>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</si>
  <si>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</si>
  <si>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</si>
  <si>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</si>
  <si>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</si>
  <si>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</si>
  <si>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</si>
  <si>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</si>
  <si>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</si>
  <si>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</si>
  <si>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</si>
  <si>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</si>
  <si>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</si>
  <si>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</si>
  <si>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</si>
  <si>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</si>
  <si>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</si>
  <si>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</si>
  <si>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</si>
  <si>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</si>
  <si>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</si>
  <si>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</si>
  <si>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</si>
  <si>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</si>
  <si>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</si>
  <si>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</si>
  <si>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</si>
  <si>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</si>
  <si>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</si>
  <si>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</si>
  <si>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</si>
  <si>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</si>
  <si>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</si>
  <si>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</si>
  <si>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</si>
  <si>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</si>
  <si>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</si>
  <si>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</si>
  <si>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</si>
  <si>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</si>
  <si>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</si>
  <si>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</si>
  <si>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</si>
  <si>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</si>
  <si>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</si>
  <si>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</si>
  <si>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</si>
  <si>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</si>
  <si>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</si>
  <si>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</si>
  <si>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</si>
  <si>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</si>
  <si>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</si>
  <si>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</si>
  <si>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</si>
  <si>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</si>
  <si>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</si>
  <si>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</si>
  <si>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</si>
  <si>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</si>
  <si>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</si>
  <si>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</si>
  <si>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</si>
  <si>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</si>
  <si>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</si>
  <si>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</si>
  <si>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</si>
  <si>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</si>
  <si>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</si>
  <si>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</si>
  <si>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</si>
  <si>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</si>
  <si>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</si>
  <si>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</si>
  <si>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</si>
  <si>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</si>
  <si>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</si>
  <si>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</si>
  <si>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</si>
  <si>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</si>
  <si>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</si>
  <si>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</si>
  <si>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</si>
  <si>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</si>
  <si>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</si>
  <si>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</si>
  <si>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</si>
  <si>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</si>
  <si>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</si>
  <si>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</si>
  <si>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</si>
  <si>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</si>
  <si>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</si>
  <si>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</si>
  <si>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</si>
  <si>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</si>
  <si>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</si>
  <si>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</si>
  <si>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</si>
  <si>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</si>
  <si>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</si>
  <si>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</si>
  <si>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</si>
  <si>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</si>
  <si>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</si>
  <si>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</si>
  <si>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</si>
  <si>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</si>
  <si>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</si>
  <si>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</si>
  <si>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</si>
  <si>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</si>
  <si>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</si>
  <si>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</si>
  <si>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</si>
  <si>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</si>
  <si>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</si>
  <si>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</si>
  <si>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</si>
  <si>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</si>
  <si>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</si>
  <si>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</si>
  <si>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</si>
  <si>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</si>
  <si>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</si>
  <si>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</si>
  <si>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</si>
  <si>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</si>
  <si>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</si>
  <si>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</si>
  <si>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</si>
  <si>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</si>
  <si>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</si>
  <si>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</si>
  <si>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</si>
  <si>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</si>
  <si>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</si>
  <si>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</si>
  <si>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</si>
  <si>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</si>
  <si>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</si>
  <si>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</si>
  <si>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</si>
  <si>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</si>
  <si>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</si>
  <si>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</si>
  <si>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</si>
  <si>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</si>
  <si>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</si>
  <si>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</si>
  <si>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</si>
  <si>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</si>
  <si>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</si>
  <si>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</si>
  <si>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</si>
  <si>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</si>
  <si>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</si>
  <si>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</si>
  <si>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</si>
  <si>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</si>
  <si>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</si>
  <si>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</si>
  <si>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</si>
  <si>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</si>
  <si>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</si>
  <si>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</si>
  <si>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</si>
  <si>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</si>
  <si>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</si>
  <si>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</si>
  <si>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</si>
  <si>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</si>
  <si>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</si>
  <si>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</si>
  <si>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</si>
  <si>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</si>
  <si>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</si>
  <si>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</si>
  <si>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</si>
  <si>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</si>
  <si>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</si>
  <si>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</si>
  <si>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</si>
  <si>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</si>
  <si>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</si>
  <si>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</si>
  <si>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</si>
  <si>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</si>
  <si>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</si>
  <si>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</si>
  <si>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</si>
  <si>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</si>
  <si>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</si>
  <si>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</si>
  <si>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</si>
  <si>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</si>
  <si>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</si>
  <si>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</si>
  <si>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</si>
  <si>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</si>
  <si>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</si>
  <si>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</si>
  <si>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</si>
  <si>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</si>
  <si>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</si>
  <si>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</si>
  <si>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</si>
  <si>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</si>
  <si>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</si>
  <si>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</si>
  <si>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</si>
  <si>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</si>
  <si>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</si>
  <si>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</si>
  <si>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</si>
  <si>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</si>
  <si>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</si>
  <si>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</si>
  <si>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</si>
  <si>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</si>
  <si>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</si>
  <si>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</si>
  <si>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</si>
  <si>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</si>
  <si>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</si>
  <si>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</si>
  <si>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</si>
  <si>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</si>
  <si>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</si>
  <si>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</si>
  <si>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</si>
  <si>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</si>
  <si>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</si>
  <si>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</si>
  <si>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</si>
  <si>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</si>
  <si>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</si>
  <si>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</si>
  <si>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</si>
  <si>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</si>
  <si>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</si>
  <si>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</si>
  <si>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</si>
  <si>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</si>
  <si>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</si>
  <si>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</si>
  <si>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</si>
  <si>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</si>
  <si>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</si>
  <si>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</si>
  <si>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</si>
  <si>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</si>
  <si>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</si>
  <si>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</si>
  <si>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</si>
  <si>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</si>
  <si>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</si>
  <si>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</si>
  <si>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</si>
  <si>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</si>
  <si>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</si>
  <si>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</si>
  <si>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</si>
  <si>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</si>
  <si>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</si>
  <si>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</si>
  <si>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</si>
  <si>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</si>
  <si>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</si>
  <si>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</si>
  <si>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</si>
  <si>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</si>
  <si>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</si>
  <si>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</si>
  <si>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</si>
  <si>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</si>
  <si>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</si>
  <si>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</si>
  <si>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</si>
  <si>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</si>
  <si>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</si>
  <si>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</si>
  <si>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</si>
  <si>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</si>
  <si>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</si>
  <si>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</si>
  <si>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</si>
  <si>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</si>
  <si>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</si>
  <si>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</si>
  <si>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</si>
  <si>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</si>
  <si>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</si>
  <si>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</si>
  <si>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</si>
  <si>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</si>
  <si>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</si>
  <si>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</si>
  <si>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</si>
  <si>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</si>
  <si>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</si>
  <si>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</si>
  <si>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</si>
  <si>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</si>
  <si>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</si>
  <si>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</si>
  <si>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</si>
  <si>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</si>
  <si>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</si>
  <si>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</si>
  <si>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</si>
  <si>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</si>
  <si>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</si>
  <si>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</si>
  <si>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</si>
  <si>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</si>
  <si>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</si>
  <si>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</si>
  <si>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</si>
  <si>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</si>
  <si>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</si>
  <si>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</si>
  <si>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</si>
  <si>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</si>
  <si>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</si>
  <si>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</si>
  <si>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</si>
  <si>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</si>
  <si>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</si>
  <si>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</si>
  <si>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</si>
  <si>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</si>
  <si>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</si>
  <si>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</si>
  <si>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</si>
  <si>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</si>
  <si>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</si>
  <si>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</si>
  <si>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</si>
  <si>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</si>
  <si>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</si>
  <si>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</si>
  <si>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</si>
  <si>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</si>
  <si>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</si>
  <si>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</si>
  <si>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</si>
  <si>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</si>
  <si>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</si>
  <si>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</si>
  <si>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</si>
  <si>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</si>
  <si>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</si>
  <si>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</si>
  <si>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</si>
  <si>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</si>
  <si>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</si>
  <si>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</si>
  <si>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</si>
  <si>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</si>
  <si>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</si>
  <si>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</si>
  <si>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</si>
  <si>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</si>
  <si>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</si>
  <si>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</si>
  <si>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</si>
  <si>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</si>
  <si>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</si>
  <si>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</si>
  <si>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</si>
  <si>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</si>
  <si>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</si>
  <si>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</si>
  <si>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</si>
  <si>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</si>
  <si>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</si>
  <si>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</si>
  <si>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</si>
  <si>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</si>
  <si>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</si>
  <si>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</si>
  <si>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</si>
  <si>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</si>
  <si>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</si>
  <si>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</si>
  <si>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</si>
  <si>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</si>
  <si>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</si>
  <si>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</si>
  <si>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</si>
  <si>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</si>
  <si>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</si>
  <si>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</si>
  <si>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</si>
  <si>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</si>
  <si>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</si>
  <si>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</si>
  <si>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</si>
  <si>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</si>
  <si>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</si>
  <si>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</si>
  <si>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</si>
  <si>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</si>
  <si>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</si>
  <si>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</si>
  <si>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</si>
  <si>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</si>
  <si>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</si>
  <si>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</si>
  <si>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</si>
  <si>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</si>
  <si>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</si>
  <si>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</si>
  <si>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</si>
  <si>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</si>
  <si>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</si>
  <si>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</si>
  <si>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</si>
  <si>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</si>
  <si>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</si>
  <si>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</si>
  <si>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</si>
  <si>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</si>
  <si>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</si>
  <si>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</si>
  <si>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</si>
  <si>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</si>
  <si>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</si>
  <si>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</si>
  <si>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</si>
  <si>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</si>
  <si>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</si>
  <si>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</si>
  <si>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</si>
  <si>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</si>
  <si>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</si>
  <si>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</si>
  <si>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</si>
  <si>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</si>
  <si>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</si>
  <si>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</si>
  <si>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</si>
  <si>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</si>
  <si>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</si>
  <si>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</si>
  <si>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</si>
  <si>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</si>
  <si>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</si>
  <si>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</si>
  <si>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</si>
  <si>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</si>
  <si>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</si>
  <si>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</si>
  <si>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</si>
  <si>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</si>
  <si>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</si>
  <si>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</si>
  <si>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</si>
  <si>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</si>
  <si>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</si>
  <si>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</si>
  <si>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</si>
  <si>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</si>
  <si>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</si>
  <si>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</si>
  <si>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</si>
  <si>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</si>
  <si>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</si>
  <si>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</si>
  <si>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</si>
  <si>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</si>
  <si>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</si>
  <si>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</si>
  <si>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</si>
  <si>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</si>
  <si>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</si>
  <si>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</si>
  <si>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</si>
  <si>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</si>
  <si>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</si>
  <si>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</si>
  <si>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</si>
  <si>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</si>
  <si>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</si>
  <si>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</si>
  <si>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</si>
  <si>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</si>
  <si>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</si>
  <si>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</si>
  <si>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</si>
  <si>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</si>
  <si>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</si>
  <si>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</si>
  <si>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</si>
  <si>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</si>
  <si>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</si>
  <si>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</si>
  <si>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</si>
  <si>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</si>
  <si>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</si>
  <si>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</si>
  <si>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</si>
  <si>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</si>
  <si>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</si>
  <si>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</si>
  <si>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</si>
  <si>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</si>
  <si>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</si>
  <si>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</si>
  <si>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</si>
  <si>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</si>
  <si>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</si>
  <si>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</si>
  <si>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</si>
  <si>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</si>
  <si>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</si>
  <si>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</si>
  <si>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</si>
  <si>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</si>
  <si>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</si>
  <si>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</si>
  <si>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</si>
  <si>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</si>
  <si>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</si>
  <si>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</si>
  <si>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</si>
  <si>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</si>
  <si>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</si>
  <si>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</si>
  <si>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</si>
  <si>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</si>
  <si>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</si>
  <si>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</si>
  <si>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</si>
  <si>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</si>
  <si>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</si>
  <si>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</si>
  <si>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</si>
  <si>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</si>
  <si>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</si>
  <si>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</si>
  <si>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</si>
  <si>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</si>
  <si>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</si>
  <si>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</si>
  <si>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</si>
  <si>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Salmi &amp; Associates, LLC</t>
  </si>
  <si>
    <t>112 S Main Street</t>
  </si>
  <si>
    <t>Washington</t>
  </si>
  <si>
    <t>IL</t>
  </si>
  <si>
    <t>(309) 444-4909</t>
  </si>
  <si>
    <t>(309) 444-8580</t>
  </si>
  <si>
    <t>066-004355</t>
  </si>
  <si>
    <t>Lori Salmi</t>
  </si>
  <si>
    <t>lsalmi@psa-cpa.com</t>
  </si>
  <si>
    <t>X</t>
  </si>
  <si>
    <t xml:space="preserve">There is a general lack of controls surrounding cash disbursements because the check registers provided to the Superintendent and Board of Education do not include all checks that require approval. </t>
  </si>
  <si>
    <t>Because of the lack of approval, errors or fraud may occur.</t>
  </si>
  <si>
    <t>We recommend  the district numerically account for all checks written, including payroll and voided checks.</t>
  </si>
  <si>
    <t>Woodford</t>
  </si>
  <si>
    <t>1 Dornbush</t>
  </si>
  <si>
    <t>Minonk</t>
  </si>
  <si>
    <t>doakley@fieldcrest.k12.il.us</t>
  </si>
  <si>
    <t>Dr. Daniel L Oakley</t>
  </si>
  <si>
    <t>309 432-2177</t>
  </si>
  <si>
    <t>309 432-3377</t>
  </si>
  <si>
    <t>General Obligation School Bond, Series 2017</t>
  </si>
  <si>
    <t>General Obligation School Bond, Series 2018</t>
  </si>
  <si>
    <t>School Technology Loan</t>
  </si>
  <si>
    <t>Computer Equipment Installment Loan</t>
  </si>
  <si>
    <t>Regional Office of Education (Food Co-op)</t>
  </si>
  <si>
    <t>Woodford County Special Education Association</t>
  </si>
  <si>
    <t>Regional Office of Education (Copy Paper)</t>
  </si>
  <si>
    <t>BACC Transportation &amp; El Paso-Gridley District</t>
  </si>
  <si>
    <t>Bloomington Area Career Center</t>
  </si>
  <si>
    <t>Advocate Eureka Hospital - Nurse</t>
  </si>
  <si>
    <t>Page 10</t>
  </si>
  <si>
    <t>Educational - 1614 Sales to Pupils - Other</t>
  </si>
  <si>
    <t>Milk</t>
  </si>
  <si>
    <t>Educational - 1790 Other District/School Activity Revenue</t>
  </si>
  <si>
    <t>Gate Receipts</t>
  </si>
  <si>
    <t>Educational - 1890 Other</t>
  </si>
  <si>
    <t>Textbook Income - Dual Credit</t>
  </si>
  <si>
    <t>Page 11</t>
  </si>
  <si>
    <t>Educational  - 1999 Other Local Revenues</t>
  </si>
  <si>
    <t>Refunds and reimbursements</t>
  </si>
  <si>
    <t>Operations &amp; Maintenance - 1999 Other Local Revenues</t>
  </si>
  <si>
    <t>Transportation - 1999 Other Local Revenues</t>
  </si>
  <si>
    <t>Tort - 1999 Other Local Revenues</t>
  </si>
  <si>
    <t>Page 12</t>
  </si>
  <si>
    <t>Educational - 3999 Other Restricted Revenue from State Sources</t>
  </si>
  <si>
    <t>Library Grant</t>
  </si>
  <si>
    <t>Page 13</t>
  </si>
  <si>
    <t>Educational - 4799 CTE - Other</t>
  </si>
  <si>
    <t>Tutor Perkins -  TITLE IIC</t>
  </si>
  <si>
    <t>Educational - 2190 Other Support Services - Pupils</t>
  </si>
  <si>
    <t>Page 15</t>
  </si>
  <si>
    <t>Page 19</t>
  </si>
  <si>
    <t>Municipal Retirement/Social Security - 2190 Other Support Services - Pupils</t>
  </si>
  <si>
    <t>2018-001</t>
  </si>
  <si>
    <t>General lack of controls surrounding activity fund support</t>
  </si>
  <si>
    <t>Issue remains - new policy as of May 2019</t>
  </si>
  <si>
    <t>Total Federal Expenditures for 7/1/18-6/30/19</t>
  </si>
  <si>
    <t>Watt's Copy Systems</t>
  </si>
  <si>
    <t>Nextera Energy</t>
  </si>
  <si>
    <t>Lumen Touch</t>
  </si>
  <si>
    <t>Specialized Data Systems</t>
  </si>
  <si>
    <t>10-2540-300</t>
  </si>
  <si>
    <t>ED - O&amp;M Plant Services - Purchased Services</t>
  </si>
  <si>
    <t>20-2540-400</t>
  </si>
  <si>
    <t>10-2660-400</t>
  </si>
  <si>
    <t>O&amp;M - O&amp;M Plant Services - Supplies &amp; Materials</t>
  </si>
  <si>
    <t>ED - Data Processing Services - Supplies &amp; Materials</t>
  </si>
  <si>
    <t>Page 18</t>
  </si>
  <si>
    <t>Total Long Term Debt Retired</t>
  </si>
  <si>
    <t>School Technology Loan Repayment</t>
  </si>
  <si>
    <t>Page 24</t>
  </si>
  <si>
    <t>Retired Long Term Debt</t>
  </si>
  <si>
    <t>Salaries (100) - Tutor Perkins</t>
  </si>
  <si>
    <t>Purchased Services (300) - DO</t>
  </si>
  <si>
    <t>Employee Benefits (200) - Tutor Perkins</t>
  </si>
  <si>
    <t>Tech Fee</t>
  </si>
  <si>
    <t>U.S. DEPARTMENT OF AGRICULTURE</t>
  </si>
  <si>
    <t>Passed through the Illinois State Board of Education</t>
  </si>
  <si>
    <t>Value of Commodities</t>
  </si>
  <si>
    <t>Value of Fruits and Vegetables</t>
  </si>
  <si>
    <t>TOTAL NATIONAL SCHOOL LUNCH CLUSTER/TOTAL U.S. DEPARTMENT OF AGRICULTURE (M)</t>
  </si>
  <si>
    <t>2018-4210-00</t>
  </si>
  <si>
    <t>2019-4210-00</t>
  </si>
  <si>
    <t>2018-4220-00</t>
  </si>
  <si>
    <t>2019-4220-00</t>
  </si>
  <si>
    <t>N/A</t>
  </si>
  <si>
    <t>SEFA PAGE 40.1 TOTAL</t>
  </si>
  <si>
    <t>SEFA PAGE 40.2 TOTAL</t>
  </si>
  <si>
    <t xml:space="preserve">U.S. DEPARTMENT OF EDUCATION </t>
  </si>
  <si>
    <t>TITLE I - LOW INCOME TOTAL</t>
  </si>
  <si>
    <t>2018-4300-00</t>
  </si>
  <si>
    <t>2019-4300-00</t>
  </si>
  <si>
    <t>2018-4932-00</t>
  </si>
  <si>
    <t>2019-4932-00</t>
  </si>
  <si>
    <t>Title II -  Teacher Quality</t>
  </si>
  <si>
    <t>2019-4400-00</t>
  </si>
  <si>
    <t>Passed through Central Illinois Vocational Education Co-Op</t>
  </si>
  <si>
    <t>Perkins Title IIC</t>
  </si>
  <si>
    <t>2019-4620-00</t>
  </si>
  <si>
    <t>2018-4620-00</t>
  </si>
  <si>
    <t>TOTAL PERKINS TITLE IIC</t>
  </si>
  <si>
    <t>TOTAL U.S. DEPARTMENT OF EDUCATION</t>
  </si>
  <si>
    <t>U.S. DEPARTMENT OF HEALTH AND FAMILY SERVICES</t>
  </si>
  <si>
    <t>Pass through Illinois Department of Health and Family Services</t>
  </si>
  <si>
    <t>Medicaid Matching Grant</t>
  </si>
  <si>
    <t>2018-4900-00</t>
  </si>
  <si>
    <t>2019-4900-00</t>
  </si>
  <si>
    <t>IDEA Part B - Flow through Funds</t>
  </si>
  <si>
    <t>Passed through Woodford County Special Education Association</t>
  </si>
  <si>
    <t>TOTAL IDEA PART B - FLOW THROUGH FUNDS</t>
  </si>
  <si>
    <t>6422-18</t>
  </si>
  <si>
    <t>6422-19</t>
  </si>
  <si>
    <t>TOTAL MEDICAID MATCHING GRANT</t>
  </si>
  <si>
    <t>Unmodified</t>
  </si>
  <si>
    <t>TITLE II - TEACHER QUALITY TOTAL (M)</t>
  </si>
  <si>
    <t>Title IVA - Student Support &amp; Academic Enrich (M)</t>
  </si>
  <si>
    <t>Nutrition Cluster</t>
  </si>
  <si>
    <t>Title IV - Student Support &amp; Academic Enrichment</t>
  </si>
  <si>
    <t>National School Breakfast Program</t>
  </si>
  <si>
    <t>10-2560-400</t>
  </si>
  <si>
    <t>Aunt Millie's (Perfection Bakers)</t>
  </si>
  <si>
    <t>20-2540-300</t>
  </si>
  <si>
    <t>PDC/Area Companies</t>
  </si>
  <si>
    <t>80-2300-300</t>
  </si>
  <si>
    <t>Country Mutual Insurance</t>
  </si>
  <si>
    <t>ED - Food Services - Supplies &amp; Materials</t>
  </si>
  <si>
    <t>O&amp;M - O&amp;M Plant Services - Purchased Services</t>
  </si>
  <si>
    <t>Tort - Support Services General Admin - Purchased Services</t>
  </si>
  <si>
    <t>E-Rate</t>
  </si>
  <si>
    <t>Refunds and Reimbursements</t>
  </si>
  <si>
    <r>
      <t xml:space="preserve">The accompanying Schedule of Expenditures of Federal Awards includes the federal grant activity of </t>
    </r>
    <r>
      <rPr>
        <b/>
        <sz val="9"/>
        <rFont val="Calibri"/>
        <family val="2"/>
        <scheme val="minor"/>
      </rPr>
      <t>Fieldcrest CUSD #6</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</si>
  <si>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Fieldcrest CUSD #6</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</si>
  <si>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Fieldcrest CUSD #6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</si>
  <si>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10.555 &amp; 10.553</t>
  </si>
  <si>
    <t>Proof of support is a basic, key internal control used to ensure that disbursements are properly recorded.</t>
  </si>
  <si>
    <t>There is a general lack of controls surrounding activity funds because there are few rules in place to provide sufficient support.  Sufficient support meaning an invoice, receipt, or P.O. and not a hand-written note.</t>
  </si>
  <si>
    <t>Disbursements from activity funds are made with little or no proof of support.</t>
  </si>
  <si>
    <t>Because of the lack of support, errors or fraud may occur.</t>
  </si>
  <si>
    <t>The separate school offices have few to no set rules to provide proper support for all disbursements from activity funds.</t>
  </si>
  <si>
    <t xml:space="preserve">We recommend  the district create a pay request form to be initiated by the activity group sponsor which must have sufficient support of the disbursement attached to it. </t>
  </si>
  <si>
    <t>Prairie Farms</t>
  </si>
  <si>
    <t>Title I - School Improvement &amp; Accountability</t>
  </si>
  <si>
    <t>2019-4331-19</t>
  </si>
  <si>
    <t>Approval of disbursements by the Board of Education is a basic, key internal control used to ensure that disbursements are properly approved and recorded.</t>
  </si>
  <si>
    <t>All operating disbursements do not show evidence of approval by management.</t>
  </si>
  <si>
    <t>The check registers provided to the Board of Education for approval do not include all checks issued.</t>
  </si>
  <si>
    <t>PSAT Grant</t>
  </si>
  <si>
    <t>The District will take steps to ensure checks which had not been on the approval list (these checks were for legitimate expenses) which was presented to the Board each month will now be on the list. This may require drawing more than one report to represent all codes under which such checks are drawn.</t>
  </si>
  <si>
    <t>A new activity fund policy manual was adopted in May of 2019 and the corrections have been implemented.</t>
  </si>
  <si>
    <t>See Opinion &amp; Notes -35</t>
  </si>
  <si>
    <t>Fieldcrest CUSD 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</si>
</sst>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s>
  <cellStyleXfs count="20">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44" fontId="140" fillId="0" borderId="0" applyFont="0" applyFill="0" applyBorder="0" applyAlignment="0" applyProtection="0"/>
  </cellStyleXfs>
  <cellXfs count="2508">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3" xfId="0" applyNumberFormat="1" applyFont="1" applyBorder="1" applyAlignment="1" applyProtection="1">
      <alignment horizontal="right"/>
      <protection locked="0"/>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0" borderId="3" xfId="0" applyNumberFormat="1" applyFont="1" applyFill="1" applyBorder="1" applyAlignment="1" applyProtection="1">
      <alignment horizontal="right"/>
      <protection locked="0"/>
    </xf>
    <xf numFmtId="38" fontId="57" fillId="6" borderId="3" xfId="0" applyNumberFormat="1" applyFont="1" applyFill="1" applyBorder="1" applyAlignment="1" applyProtection="1">
      <alignment horizontal="right"/>
    </xf>
    <xf numFmtId="38" fontId="57" fillId="0" borderId="14" xfId="0" applyNumberFormat="1" applyFont="1" applyFill="1" applyBorder="1" applyAlignment="1" applyProtection="1">
      <alignment horizontal="right"/>
      <protection locked="0"/>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38" fontId="57" fillId="0" borderId="26" xfId="0" applyNumberFormat="1" applyFont="1" applyBorder="1" applyAlignment="1" applyProtection="1">
      <alignment horizontal="right"/>
      <protection locked="0"/>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38" fontId="57" fillId="0" borderId="29" xfId="0" applyNumberFormat="1" applyFont="1" applyFill="1" applyBorder="1" applyAlignment="1" applyProtection="1">
      <alignment horizontal="right"/>
      <protection locked="0"/>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38" fontId="57" fillId="0" borderId="0" xfId="0" applyNumberFormat="1" applyFont="1" applyAlignment="1" applyProtection="1">
      <alignment horizontal="right"/>
      <protection locked="0"/>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7" fillId="0" borderId="13" xfId="0" applyNumberFormat="1" applyFont="1" applyBorder="1" applyAlignment="1" applyProtection="1">
      <alignment horizontal="right"/>
      <protection locked="0"/>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0" borderId="127" xfId="0" applyNumberFormat="1" applyFont="1" applyBorder="1" applyAlignment="1" applyProtection="1">
      <alignment horizontal="right"/>
      <protection locked="0"/>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38" fontId="57" fillId="0" borderId="32" xfId="0" applyNumberFormat="1" applyFont="1" applyBorder="1" applyAlignment="1" applyProtection="1">
      <alignment horizontal="right"/>
      <protection locked="0"/>
    </xf>
    <xf numFmtId="1" fontId="64" fillId="0" borderId="33" xfId="0" applyNumberFormat="1" applyFont="1" applyBorder="1" applyAlignment="1" applyProtection="1">
      <alignment horizontal="center" vertical="center"/>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38" fontId="57" fillId="0" borderId="124" xfId="0" applyNumberFormat="1" applyFont="1" applyFill="1" applyBorder="1" applyAlignment="1" applyProtection="1">
      <alignment horizontal="right"/>
      <protection locked="0"/>
    </xf>
    <xf numFmtId="0" fontId="64" fillId="0" borderId="100" xfId="0" applyFont="1" applyFill="1" applyBorder="1" applyAlignment="1" applyProtection="1">
      <alignment horizontal="center" vertical="center"/>
    </xf>
    <xf numFmtId="38" fontId="57" fillId="0" borderId="123"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0" borderId="127" xfId="0" applyNumberFormat="1" applyFont="1" applyFill="1" applyBorder="1" applyAlignment="1" applyProtection="1">
      <alignment horizontal="right"/>
      <protection locked="0"/>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38" fontId="57" fillId="0" borderId="29" xfId="0" applyNumberFormat="1" applyFont="1" applyBorder="1" applyAlignment="1" applyProtection="1">
      <alignment horizontal="right"/>
      <protection locked="0"/>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38" fontId="57" fillId="0" borderId="2" xfId="8" applyNumberFormat="1" applyFont="1" applyFill="1" applyBorder="1" applyAlignment="1" applyProtection="1">
      <alignment horizontal="right"/>
      <protection locked="0"/>
    </xf>
    <xf numFmtId="38" fontId="57" fillId="0" borderId="2" xfId="6" applyNumberFormat="1" applyFont="1" applyBorder="1" applyProtection="1">
      <protection locked="0"/>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0" fontId="59" fillId="0" borderId="77" xfId="3" applyNumberFormat="1" applyFont="1" applyBorder="1" applyAlignment="1" applyProtection="1">
      <alignment horizontal="center"/>
      <protection locked="0"/>
    </xf>
    <xf numFmtId="0" fontId="56" fillId="0" borderId="0" xfId="3" applyFont="1" applyAlignment="1" applyProtection="1">
      <alignment horizontal="center" vertical="center"/>
    </xf>
    <xf numFmtId="181" fontId="59" fillId="0" borderId="0" xfId="19" applyNumberFormat="1" applyFont="1"/>
    <xf numFmtId="182" fontId="59" fillId="0" borderId="0" xfId="1" applyNumberFormat="1" applyFont="1"/>
    <xf numFmtId="0" fontId="59" fillId="0" borderId="0" xfId="0" applyFont="1" applyAlignment="1">
      <alignment horizontal="left" indent="1"/>
    </xf>
    <xf numFmtId="181" fontId="59" fillId="0" borderId="165" xfId="19" applyNumberFormat="1" applyFont="1" applyBorder="1"/>
    <xf numFmtId="0" fontId="4" fillId="0" borderId="157" xfId="17" applyFont="1" applyBorder="1" applyAlignment="1" applyProtection="1">
      <alignment vertical="top"/>
      <protection locked="0"/>
    </xf>
    <xf numFmtId="49" fontId="4"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horizontal="left" vertical="top" wrapText="1"/>
      <protection locked="0"/>
    </xf>
    <xf numFmtId="181" fontId="59" fillId="0" borderId="0" xfId="19" applyNumberFormat="1" applyFont="1" applyAlignment="1">
      <alignment horizontal="left" indent="1"/>
    </xf>
    <xf numFmtId="0" fontId="56" fillId="0" borderId="0" xfId="3" applyFont="1" applyAlignment="1" applyProtection="1">
      <alignment horizontal="center" vertical="center"/>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center"/>
      <protection locked="0"/>
    </xf>
    <xf numFmtId="0" fontId="2" fillId="0" borderId="157" xfId="17" applyFont="1" applyBorder="1" applyAlignment="1" applyProtection="1">
      <alignment horizontal="left" vertical="top" wrapText="1"/>
      <protection locked="0"/>
    </xf>
    <xf numFmtId="181" fontId="59" fillId="0" borderId="0" xfId="0" applyNumberFormat="1" applyFont="1"/>
    <xf numFmtId="3" fontId="64" fillId="0" borderId="45" xfId="3" applyNumberFormat="1" applyFont="1" applyBorder="1" applyAlignment="1" applyProtection="1">
      <alignment horizontal="center"/>
      <protection locked="0"/>
    </xf>
    <xf numFmtId="3" fontId="64" fillId="0" borderId="44" xfId="3" applyNumberFormat="1" applyFont="1" applyBorder="1" applyAlignment="1" applyProtection="1">
      <alignment horizontal="center"/>
      <protection locked="0"/>
    </xf>
    <xf numFmtId="44" fontId="64" fillId="0" borderId="22" xfId="19" applyFont="1" applyBorder="1" applyAlignment="1" applyProtection="1">
      <alignment horizontal="center"/>
      <protection locked="0"/>
    </xf>
    <xf numFmtId="181" fontId="64" fillId="0" borderId="22" xfId="19" applyNumberFormat="1" applyFont="1" applyBorder="1" applyAlignment="1" applyProtection="1">
      <alignment horizontal="center"/>
      <protection locked="0"/>
    </xf>
    <xf numFmtId="181" fontId="64" fillId="0" borderId="8" xfId="19" applyNumberFormat="1" applyFont="1" applyBorder="1" applyAlignment="1" applyProtection="1">
      <alignment horizontal="center"/>
      <protection locked="0"/>
    </xf>
    <xf numFmtId="181" fontId="64" fillId="0" borderId="167" xfId="19" applyNumberFormat="1" applyFont="1" applyBorder="1" applyAlignment="1" applyProtection="1">
      <alignment horizontal="center"/>
      <protection locked="0"/>
    </xf>
    <xf numFmtId="181" fontId="64" fillId="0" borderId="166" xfId="19" applyNumberFormat="1" applyFont="1" applyBorder="1" applyAlignment="1" applyProtection="1">
      <alignment horizontal="center"/>
      <protection locked="0"/>
    </xf>
    <xf numFmtId="182" fontId="64" fillId="0" borderId="22" xfId="1" applyNumberFormat="1" applyFont="1" applyBorder="1" applyAlignment="1" applyProtection="1">
      <alignment horizontal="center"/>
      <protection locked="0"/>
    </xf>
    <xf numFmtId="182" fontId="64" fillId="0" borderId="8" xfId="1" applyNumberFormat="1" applyFont="1" applyBorder="1" applyAlignment="1" applyProtection="1">
      <alignment horizontal="center"/>
      <protection locked="0"/>
    </xf>
    <xf numFmtId="182" fontId="64" fillId="0" borderId="45" xfId="1" applyNumberFormat="1" applyFont="1" applyBorder="1" applyAlignment="1" applyProtection="1">
      <alignment horizontal="center"/>
      <protection locked="0"/>
    </xf>
    <xf numFmtId="182" fontId="64" fillId="0" borderId="44" xfId="1" applyNumberFormat="1" applyFont="1" applyBorder="1" applyAlignment="1" applyProtection="1">
      <alignment horizontal="center"/>
      <protection locked="0"/>
    </xf>
    <xf numFmtId="182" fontId="64" fillId="0" borderId="166" xfId="1" applyNumberFormat="1" applyFont="1" applyBorder="1" applyAlignment="1" applyProtection="1">
      <alignment horizontal="center"/>
      <protection locked="0"/>
    </xf>
    <xf numFmtId="0" fontId="1" fillId="0" borderId="157" xfId="17" applyFont="1" applyBorder="1" applyAlignment="1" applyProtection="1">
      <alignment vertical="top"/>
      <protection locked="0"/>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1638300</xdr:colOff>
          <xdr:row>0</xdr:row>
          <xdr:rowOff>28575</xdr:rowOff>
        </xdr:from>
        <xdr:to>
          <xdr:col>1</xdr:col>
          <xdr:colOff>2552700</xdr:colOff>
          <xdr:row>4</xdr:row>
          <xdr:rowOff>66675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1400-000001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1400-000002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37" t="s">
        <v>405</v>
      </c>
      <c r="J1" s="2038"/>
      <c r="K1" s="2038"/>
      <c r="L1" s="2038"/>
      <c r="M1" s="2038"/>
      <c r="N1" s="2038"/>
      <c r="O1" s="2038"/>
      <c r="P1" s="2038"/>
      <c r="Q1" s="2038"/>
      <c r="R1" s="2038"/>
      <c r="S1" s="2038"/>
    </row>
    <row r="2" spans="1:28" ht="12" customHeight="1" x14ac:dyDescent="0.2">
      <c r="A2" s="47" t="s">
        <v>1989</v>
      </c>
      <c r="D2" s="48"/>
      <c r="I2" s="2039" t="s">
        <v>979</v>
      </c>
      <c r="J2" s="2038"/>
      <c r="K2" s="2038"/>
      <c r="L2" s="2038"/>
      <c r="M2" s="2038"/>
      <c r="N2" s="2038"/>
      <c r="O2" s="2038"/>
      <c r="P2" s="2038"/>
      <c r="Q2" s="2038"/>
      <c r="R2" s="2038"/>
      <c r="S2" s="2038"/>
    </row>
    <row r="3" spans="1:28" ht="12" customHeight="1" x14ac:dyDescent="0.2">
      <c r="A3" s="155" t="s">
        <v>1941</v>
      </c>
      <c r="B3" s="156"/>
      <c r="C3" s="156"/>
      <c r="D3" s="157"/>
      <c r="I3" s="2039" t="s">
        <v>52</v>
      </c>
      <c r="J3" s="2038"/>
      <c r="K3" s="2038"/>
      <c r="L3" s="2038"/>
      <c r="M3" s="2038"/>
      <c r="N3" s="2038"/>
      <c r="O3" s="2038"/>
      <c r="P3" s="2038"/>
      <c r="Q3" s="2038"/>
      <c r="R3" s="2038"/>
      <c r="S3" s="2038"/>
    </row>
    <row r="4" spans="1:28" ht="12" customHeight="1" x14ac:dyDescent="0.2">
      <c r="A4" s="37"/>
      <c r="I4" s="2039" t="s">
        <v>524</v>
      </c>
      <c r="J4" s="2038"/>
      <c r="K4" s="2038"/>
      <c r="L4" s="2038"/>
      <c r="M4" s="2038"/>
      <c r="N4" s="2038"/>
      <c r="O4" s="2038"/>
      <c r="P4" s="2038"/>
      <c r="Q4" s="2038"/>
      <c r="R4" s="2038"/>
      <c r="S4" s="2038"/>
    </row>
    <row r="5" spans="1:28" ht="14.1" customHeight="1" x14ac:dyDescent="0.2">
      <c r="B5" s="104" t="s">
        <v>2069</v>
      </c>
      <c r="C5" s="26" t="s">
        <v>910</v>
      </c>
      <c r="D5" s="84"/>
      <c r="E5" s="84"/>
      <c r="H5" s="38"/>
      <c r="I5" s="2046" t="s">
        <v>680</v>
      </c>
      <c r="J5" s="1991"/>
      <c r="K5" s="1991"/>
      <c r="L5" s="1991"/>
      <c r="M5" s="1991"/>
      <c r="N5" s="1991"/>
      <c r="O5" s="1991"/>
      <c r="P5" s="1991"/>
      <c r="Q5" s="1991"/>
      <c r="R5" s="1991"/>
      <c r="S5" s="1991"/>
    </row>
    <row r="6" spans="1:28" ht="14.1" customHeight="1" x14ac:dyDescent="0.2">
      <c r="B6" s="104"/>
      <c r="C6" s="26" t="s">
        <v>911</v>
      </c>
      <c r="D6" s="84"/>
      <c r="E6" s="84"/>
      <c r="I6" s="2045" t="s">
        <v>883</v>
      </c>
      <c r="J6" s="1991"/>
      <c r="K6" s="1991"/>
      <c r="L6" s="1991"/>
      <c r="M6" s="1991"/>
      <c r="N6" s="1991"/>
      <c r="O6" s="1991"/>
      <c r="P6" s="1991"/>
      <c r="Q6" s="1991"/>
      <c r="R6" s="1991"/>
      <c r="S6" s="1991"/>
    </row>
    <row r="7" spans="1:28" ht="12.2" customHeight="1" x14ac:dyDescent="0.2">
      <c r="I7" s="2040">
        <v>43646</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674</v>
      </c>
      <c r="J9" s="2043"/>
      <c r="K9" s="2043"/>
      <c r="L9" s="2043"/>
      <c r="M9" s="2043"/>
      <c r="N9" s="2043"/>
      <c r="O9" s="2043"/>
      <c r="P9" s="2043"/>
      <c r="Q9" s="2043"/>
      <c r="R9" s="2043"/>
      <c r="S9" s="2044"/>
      <c r="T9" s="1987" t="s">
        <v>533</v>
      </c>
      <c r="U9" s="1988"/>
      <c r="V9" s="1988"/>
      <c r="W9" s="1988"/>
      <c r="X9" s="1988"/>
      <c r="Y9" s="1988"/>
      <c r="Z9" s="1988"/>
      <c r="AA9" s="1989"/>
    </row>
    <row r="10" spans="1:28" ht="13.5" customHeight="1" x14ac:dyDescent="0.2">
      <c r="A10" s="1996" t="s">
        <v>675</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955</v>
      </c>
      <c r="B11" s="2000"/>
      <c r="C11" s="2000"/>
      <c r="D11" s="2000"/>
      <c r="E11" s="2000"/>
      <c r="F11" s="2000"/>
      <c r="G11" s="2000"/>
      <c r="H11" s="2001"/>
      <c r="I11" s="27"/>
      <c r="J11" s="74"/>
      <c r="K11" s="27"/>
      <c r="O11" s="148" t="s">
        <v>2069</v>
      </c>
      <c r="P11" s="100" t="s">
        <v>201</v>
      </c>
      <c r="Q11" s="30"/>
      <c r="R11" s="28"/>
      <c r="S11" s="27"/>
      <c r="T11" s="1993"/>
      <c r="U11" s="1994"/>
      <c r="V11" s="1994"/>
      <c r="W11" s="1994"/>
      <c r="X11" s="1994"/>
      <c r="Y11" s="1994"/>
      <c r="Z11" s="1994"/>
      <c r="AA11" s="199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7">
        <v>53102006026</v>
      </c>
      <c r="B13" s="2008"/>
      <c r="C13" s="2008"/>
      <c r="D13" s="2008"/>
      <c r="E13" s="2008"/>
      <c r="F13" s="2008"/>
      <c r="G13" s="2008"/>
      <c r="H13" s="2009"/>
      <c r="I13" s="31"/>
      <c r="J13" s="30"/>
      <c r="K13" s="28"/>
      <c r="L13" s="30"/>
      <c r="M13" s="30"/>
      <c r="N13" s="30"/>
      <c r="O13" s="30"/>
      <c r="P13" s="30"/>
      <c r="Q13" s="30"/>
      <c r="R13" s="30"/>
      <c r="S13" s="30"/>
      <c r="T13" s="2012" t="s">
        <v>2060</v>
      </c>
      <c r="U13" s="2013"/>
      <c r="V13" s="2013"/>
      <c r="W13" s="2013"/>
      <c r="X13" s="2013"/>
      <c r="Y13" s="2014"/>
      <c r="Z13" s="2014"/>
      <c r="AA13" s="201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5" t="s">
        <v>2073</v>
      </c>
      <c r="B15" s="2010"/>
      <c r="C15" s="2010"/>
      <c r="D15" s="2010"/>
      <c r="E15" s="2010"/>
      <c r="F15" s="2010"/>
      <c r="G15" s="2010"/>
      <c r="H15" s="2011"/>
      <c r="T15" s="1973" t="s">
        <v>2067</v>
      </c>
      <c r="U15" s="1974"/>
      <c r="V15" s="1974"/>
      <c r="W15" s="1974"/>
      <c r="X15" s="1974"/>
      <c r="Y15" s="2016"/>
      <c r="Z15" s="2016"/>
      <c r="AA15" s="201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5" t="s">
        <v>2210</v>
      </c>
      <c r="B17" s="2035"/>
      <c r="C17" s="2035"/>
      <c r="D17" s="2035"/>
      <c r="E17" s="2035"/>
      <c r="F17" s="2035"/>
      <c r="G17" s="2035"/>
      <c r="H17" s="2036"/>
      <c r="T17" s="2022" t="s">
        <v>2061</v>
      </c>
      <c r="U17" s="2023"/>
      <c r="V17" s="2023"/>
      <c r="W17" s="2023"/>
      <c r="X17" s="2023"/>
      <c r="Y17" s="2023"/>
      <c r="Z17" s="2023"/>
      <c r="AA17" s="2024"/>
    </row>
    <row r="18" spans="1:27" ht="13.5" customHeight="1" x14ac:dyDescent="0.2">
      <c r="A18" s="85" t="s">
        <v>530</v>
      </c>
      <c r="B18" s="76"/>
      <c r="C18" s="72"/>
      <c r="D18" s="76"/>
      <c r="E18" s="76"/>
      <c r="F18" s="76"/>
      <c r="G18" s="76"/>
      <c r="H18" s="56"/>
      <c r="I18" s="2032" t="s">
        <v>676</v>
      </c>
      <c r="J18" s="2033"/>
      <c r="K18" s="2033"/>
      <c r="L18" s="2033"/>
      <c r="M18" s="2033"/>
      <c r="N18" s="2033"/>
      <c r="O18" s="2033"/>
      <c r="P18" s="2033"/>
      <c r="Q18" s="2033"/>
      <c r="R18" s="2033"/>
      <c r="S18" s="2034"/>
      <c r="T18" s="85" t="s">
        <v>711</v>
      </c>
      <c r="U18" s="51"/>
      <c r="V18" s="72"/>
      <c r="W18" s="50"/>
      <c r="X18" s="85" t="s">
        <v>266</v>
      </c>
      <c r="Y18" s="81"/>
      <c r="Z18" s="159" t="s">
        <v>677</v>
      </c>
      <c r="AA18" s="46"/>
    </row>
    <row r="19" spans="1:27" ht="13.5" customHeight="1" x14ac:dyDescent="0.2">
      <c r="A19" s="2005" t="s">
        <v>2074</v>
      </c>
      <c r="B19" s="2006"/>
      <c r="C19" s="2006"/>
      <c r="D19" s="2006"/>
      <c r="E19" s="2006"/>
      <c r="F19" s="2006"/>
      <c r="G19" s="2006"/>
      <c r="H19" s="2004"/>
      <c r="I19" s="30"/>
      <c r="J19" s="99"/>
      <c r="K19" s="40"/>
      <c r="L19" s="38"/>
      <c r="M19" s="112" t="s">
        <v>315</v>
      </c>
      <c r="P19" s="27"/>
      <c r="Q19" s="27"/>
      <c r="R19" s="27"/>
      <c r="S19" s="31"/>
      <c r="T19" s="2005" t="s">
        <v>2062</v>
      </c>
      <c r="U19" s="2003"/>
      <c r="V19" s="2003"/>
      <c r="W19" s="2004"/>
      <c r="X19" s="2020" t="s">
        <v>2063</v>
      </c>
      <c r="Y19" s="2021"/>
      <c r="Z19" s="2018">
        <v>61571</v>
      </c>
      <c r="AA19" s="201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2" t="s">
        <v>2075</v>
      </c>
      <c r="B21" s="2003"/>
      <c r="C21" s="2003"/>
      <c r="D21" s="2003"/>
      <c r="E21" s="2003"/>
      <c r="F21" s="2003"/>
      <c r="G21" s="2003"/>
      <c r="H21" s="2004"/>
      <c r="I21" s="2028" t="s">
        <v>678</v>
      </c>
      <c r="J21" s="1991"/>
      <c r="K21" s="1991"/>
      <c r="L21" s="1991"/>
      <c r="M21" s="1991"/>
      <c r="N21" s="1991"/>
      <c r="O21" s="1991"/>
      <c r="P21" s="1991"/>
      <c r="Q21" s="1991"/>
      <c r="R21" s="1991"/>
      <c r="S21" s="1992"/>
      <c r="T21" s="1970" t="s">
        <v>2064</v>
      </c>
      <c r="U21" s="1971"/>
      <c r="V21" s="1971"/>
      <c r="W21" s="1971"/>
      <c r="X21" s="1984" t="s">
        <v>2065</v>
      </c>
      <c r="Y21" s="1985"/>
      <c r="Z21" s="1985"/>
      <c r="AA21" s="1986"/>
    </row>
    <row r="22" spans="1:27" ht="13.5" customHeight="1" x14ac:dyDescent="0.2">
      <c r="A22" s="87" t="s">
        <v>531</v>
      </c>
      <c r="B22" s="59"/>
      <c r="C22" s="59"/>
      <c r="D22" s="59"/>
      <c r="E22" s="59"/>
      <c r="F22" s="59"/>
      <c r="G22" s="59"/>
      <c r="H22" s="60"/>
      <c r="I22" s="2029" t="s">
        <v>1429</v>
      </c>
      <c r="J22" s="2030"/>
      <c r="K22" s="2030"/>
      <c r="L22" s="2030"/>
      <c r="M22" s="2030"/>
      <c r="N22" s="2030"/>
      <c r="O22" s="2030"/>
      <c r="P22" s="2030"/>
      <c r="Q22" s="2030"/>
      <c r="R22" s="2030"/>
      <c r="S22" s="2031"/>
      <c r="T22" s="85" t="s">
        <v>1516</v>
      </c>
      <c r="U22" s="51"/>
      <c r="V22" s="72"/>
      <c r="W22" s="51"/>
      <c r="X22" s="160" t="s">
        <v>1318</v>
      </c>
      <c r="Z22" s="45"/>
      <c r="AA22" s="46"/>
    </row>
    <row r="23" spans="1:27" ht="13.5" customHeight="1" x14ac:dyDescent="0.2">
      <c r="A23" s="2025" t="s">
        <v>2076</v>
      </c>
      <c r="B23" s="2026"/>
      <c r="C23" s="2026"/>
      <c r="D23" s="2026"/>
      <c r="E23" s="2026"/>
      <c r="F23" s="2026"/>
      <c r="G23" s="2026"/>
      <c r="H23" s="2027"/>
      <c r="T23" s="1965" t="s">
        <v>2066</v>
      </c>
      <c r="U23" s="1966"/>
      <c r="V23" s="1966"/>
      <c r="W23" s="1966"/>
      <c r="X23" s="1981">
        <v>44530</v>
      </c>
      <c r="Y23" s="1982"/>
      <c r="Z23" s="1982"/>
      <c r="AA23" s="1983"/>
    </row>
    <row r="24" spans="1:27" ht="14.1" customHeight="1" x14ac:dyDescent="0.2">
      <c r="A24" s="88" t="s">
        <v>677</v>
      </c>
      <c r="B24" s="49"/>
      <c r="C24" s="49"/>
      <c r="D24" s="49"/>
      <c r="E24" s="49"/>
      <c r="F24" s="49"/>
      <c r="G24" s="49"/>
      <c r="H24" s="61"/>
      <c r="J24" s="2067">
        <f>IF(B5="x",IF(AUDITCHECK!D29="AFR form Incomplete.","",IF(AUDITCHECK!D29="Deficit reduction plan is required.","School District must complete a deficit reduction plan in the 2019-2020 Budget",)),"")</f>
        <v>0</v>
      </c>
      <c r="K24" s="2067"/>
      <c r="L24" s="2067"/>
      <c r="M24" s="2067"/>
      <c r="N24" s="2067"/>
      <c r="O24" s="2067"/>
      <c r="P24" s="2067"/>
      <c r="Q24" s="2067"/>
      <c r="R24" s="2067"/>
      <c r="S24" s="2068"/>
      <c r="T24" s="105" t="s">
        <v>531</v>
      </c>
      <c r="U24" s="106"/>
      <c r="V24" s="106"/>
      <c r="W24" s="106"/>
      <c r="X24" s="107"/>
      <c r="Y24" s="107"/>
      <c r="Z24" s="107"/>
      <c r="AA24" s="108"/>
    </row>
    <row r="25" spans="1:27" ht="14.1" customHeight="1" x14ac:dyDescent="0.2">
      <c r="A25" s="2002">
        <v>61761</v>
      </c>
      <c r="B25" s="2003"/>
      <c r="C25" s="2003"/>
      <c r="D25" s="2003"/>
      <c r="E25" s="2003"/>
      <c r="F25" s="2003"/>
      <c r="G25" s="2003"/>
      <c r="H25" s="2004"/>
      <c r="I25" s="113"/>
      <c r="J25" s="2069"/>
      <c r="K25" s="2069"/>
      <c r="L25" s="2069"/>
      <c r="M25" s="2069"/>
      <c r="N25" s="2069"/>
      <c r="O25" s="2069"/>
      <c r="P25" s="2069"/>
      <c r="Q25" s="2069"/>
      <c r="R25" s="2069"/>
      <c r="S25" s="2070"/>
      <c r="T25" s="1962" t="s">
        <v>2068</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0" t="s">
        <v>1511</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2069</v>
      </c>
      <c r="F29" s="141" t="s">
        <v>1316</v>
      </c>
      <c r="G29" s="114"/>
      <c r="I29" s="54"/>
      <c r="J29" s="148" t="s">
        <v>2069</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2069</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2069</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5" t="s">
        <v>2077</v>
      </c>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531</v>
      </c>
      <c r="B39" s="2059"/>
      <c r="C39" s="72"/>
      <c r="D39" s="69"/>
      <c r="E39" s="69"/>
      <c r="F39" s="79"/>
      <c r="G39" s="69"/>
      <c r="H39" s="56"/>
      <c r="I39" s="2058" t="s">
        <v>531</v>
      </c>
      <c r="J39" s="2059"/>
      <c r="K39" s="2059"/>
      <c r="L39" s="2059"/>
      <c r="M39" s="2059"/>
      <c r="N39" s="67"/>
      <c r="O39" s="72"/>
      <c r="P39" s="72"/>
      <c r="Q39" s="78"/>
      <c r="R39" s="72"/>
      <c r="S39" s="56"/>
      <c r="T39" s="72" t="s">
        <v>531</v>
      </c>
      <c r="U39" s="51"/>
      <c r="V39" s="72"/>
      <c r="W39" s="50"/>
      <c r="X39" s="78"/>
      <c r="Y39" s="45"/>
      <c r="Z39" s="45"/>
      <c r="AA39" s="46"/>
    </row>
    <row r="40" spans="1:27" ht="13.5" customHeight="1" x14ac:dyDescent="0.2">
      <c r="A40" s="2061" t="s">
        <v>2076</v>
      </c>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1" t="s">
        <v>2078</v>
      </c>
      <c r="B42" s="2052"/>
      <c r="C42" s="2053"/>
      <c r="D42" s="2066" t="s">
        <v>2079</v>
      </c>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204" t="s">
        <v>1799</v>
      </c>
      <c r="B2" s="1528" t="s">
        <v>1947</v>
      </c>
      <c r="C2" s="714" t="s">
        <v>1948</v>
      </c>
      <c r="D2" s="714" t="s">
        <v>1949</v>
      </c>
      <c r="E2" s="714" t="s">
        <v>1950</v>
      </c>
      <c r="F2" s="714" t="s">
        <v>1951</v>
      </c>
    </row>
    <row r="3" spans="1:6" ht="12" customHeight="1" x14ac:dyDescent="0.2">
      <c r="A3" s="2205"/>
      <c r="B3" s="1525"/>
      <c r="C3" s="1526"/>
      <c r="D3" s="1527" t="s">
        <v>256</v>
      </c>
      <c r="E3" s="1526"/>
      <c r="F3" s="1527" t="s">
        <v>257</v>
      </c>
    </row>
    <row r="4" spans="1:6" ht="13.7" customHeight="1" x14ac:dyDescent="0.2">
      <c r="A4" s="715" t="s">
        <v>1155</v>
      </c>
      <c r="B4" s="1747">
        <f>'Revenues 9-14'!C5</f>
        <v>5841966</v>
      </c>
      <c r="C4" s="1524"/>
      <c r="D4" s="1750">
        <f>B4-C4</f>
        <v>5841966</v>
      </c>
      <c r="E4" s="1524">
        <v>6138050</v>
      </c>
      <c r="F4" s="1750">
        <f>E4-C4</f>
        <v>6138050</v>
      </c>
    </row>
    <row r="5" spans="1:6" ht="13.7" customHeight="1" x14ac:dyDescent="0.2">
      <c r="A5" s="715" t="s">
        <v>870</v>
      </c>
      <c r="B5" s="1748">
        <f>'Revenues 9-14'!D5</f>
        <v>797731</v>
      </c>
      <c r="C5" s="585"/>
      <c r="D5" s="1751">
        <f t="shared" ref="D5:D18" si="0">B5-C5</f>
        <v>797731</v>
      </c>
      <c r="E5" s="585">
        <v>838161</v>
      </c>
      <c r="F5" s="1751">
        <f>E5-C5</f>
        <v>838161</v>
      </c>
    </row>
    <row r="6" spans="1:6" ht="13.7" customHeight="1" x14ac:dyDescent="0.2">
      <c r="A6" s="715" t="s">
        <v>411</v>
      </c>
      <c r="B6" s="1748">
        <f>'Revenues 9-14'!E5</f>
        <v>154716</v>
      </c>
      <c r="C6" s="585"/>
      <c r="D6" s="1751">
        <f t="shared" si="0"/>
        <v>154716</v>
      </c>
      <c r="E6" s="585">
        <v>129167</v>
      </c>
      <c r="F6" s="1751">
        <f t="shared" ref="F6:F18" si="1">E6-C6</f>
        <v>129167</v>
      </c>
    </row>
    <row r="7" spans="1:6" ht="13.7" customHeight="1" x14ac:dyDescent="0.2">
      <c r="A7" s="715" t="s">
        <v>155</v>
      </c>
      <c r="B7" s="1748">
        <f>'Revenues 9-14'!F5</f>
        <v>322316</v>
      </c>
      <c r="C7" s="585"/>
      <c r="D7" s="1751">
        <f t="shared" si="0"/>
        <v>322316</v>
      </c>
      <c r="E7" s="585">
        <v>338651</v>
      </c>
      <c r="F7" s="1751">
        <f t="shared" si="1"/>
        <v>338651</v>
      </c>
    </row>
    <row r="8" spans="1:6" ht="13.7" customHeight="1" x14ac:dyDescent="0.2">
      <c r="A8" s="715" t="s">
        <v>1179</v>
      </c>
      <c r="B8" s="1748">
        <f>'Revenues 9-14'!G5</f>
        <v>174534</v>
      </c>
      <c r="C8" s="585"/>
      <c r="D8" s="1751">
        <f t="shared" si="0"/>
        <v>174534</v>
      </c>
      <c r="E8" s="585">
        <v>150013</v>
      </c>
      <c r="F8" s="1751">
        <f t="shared" si="1"/>
        <v>150013</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80577</v>
      </c>
      <c r="C10" s="585"/>
      <c r="D10" s="1751">
        <f t="shared" si="0"/>
        <v>80577</v>
      </c>
      <c r="E10" s="585">
        <v>84663</v>
      </c>
      <c r="F10" s="1751">
        <f t="shared" si="1"/>
        <v>84663</v>
      </c>
    </row>
    <row r="11" spans="1:6" x14ac:dyDescent="0.2">
      <c r="A11" s="715" t="s">
        <v>409</v>
      </c>
      <c r="B11" s="1748">
        <f>'Revenues 9-14'!J5</f>
        <v>299235</v>
      </c>
      <c r="C11" s="585"/>
      <c r="D11" s="1751">
        <f t="shared" si="0"/>
        <v>299235</v>
      </c>
      <c r="E11" s="585">
        <v>300026</v>
      </c>
      <c r="F11" s="1751">
        <f t="shared" si="1"/>
        <v>300026</v>
      </c>
    </row>
    <row r="12" spans="1:6" ht="13.7" customHeight="1" x14ac:dyDescent="0.2">
      <c r="A12" s="715" t="s">
        <v>157</v>
      </c>
      <c r="B12" s="1748">
        <f>'Revenues 9-14'!K5</f>
        <v>80577</v>
      </c>
      <c r="C12" s="585"/>
      <c r="D12" s="1751">
        <f t="shared" si="0"/>
        <v>80577</v>
      </c>
      <c r="E12" s="585">
        <v>84663</v>
      </c>
      <c r="F12" s="1751">
        <f t="shared" si="1"/>
        <v>84663</v>
      </c>
    </row>
    <row r="13" spans="1:6" ht="13.7" customHeight="1" x14ac:dyDescent="0.2">
      <c r="A13" s="715" t="s">
        <v>936</v>
      </c>
      <c r="B13" s="1748">
        <f>SUM('Revenues 9-14'!C6:D6)</f>
        <v>80577</v>
      </c>
      <c r="C13" s="585"/>
      <c r="D13" s="1751">
        <f t="shared" si="0"/>
        <v>80577</v>
      </c>
      <c r="E13" s="585">
        <v>84663</v>
      </c>
      <c r="F13" s="1751">
        <f t="shared" si="1"/>
        <v>84663</v>
      </c>
    </row>
    <row r="14" spans="1:6" ht="13.7" customHeight="1" x14ac:dyDescent="0.2">
      <c r="A14" s="715" t="s">
        <v>410</v>
      </c>
      <c r="B14" s="1748">
        <f>SUM('Revenues 9-14'!C7:D7,'Revenues 9-14'!F7:H7)</f>
        <v>64461</v>
      </c>
      <c r="C14" s="585"/>
      <c r="D14" s="1751">
        <f t="shared" si="0"/>
        <v>64461</v>
      </c>
      <c r="E14" s="585">
        <v>67730</v>
      </c>
      <c r="F14" s="1751">
        <f t="shared" si="1"/>
        <v>67730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124701</v>
      </c>
      <c r="C16" s="585"/>
      <c r="D16" s="1751">
        <f t="shared" si="0"/>
        <v>124701</v>
      </c>
      <c r="E16" s="585">
        <v>175044</v>
      </c>
      <c r="F16" s="1751">
        <f t="shared" si="1"/>
        <v>175044</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8021391</v>
      </c>
      <c r="C19" s="1749">
        <f>SUM(C4:C18)</f>
        <v>0</v>
      </c>
      <c r="D19" s="1749">
        <f>SUM(D4:D18)</f>
        <v>8021391</v>
      </c>
      <c r="E19" s="1749">
        <f>SUM(E4:E18)</f>
        <v>8390831</v>
      </c>
      <c r="F19" s="1749">
        <f>SUM(F4:F18)</f>
        <v>8390831</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B7" sqref="B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11"/>
      <c r="C1" s="721"/>
    </row>
    <row r="2" spans="1:7" ht="33.75" x14ac:dyDescent="0.2">
      <c r="A2" s="2219" t="s">
        <v>1799</v>
      </c>
      <c r="B2" s="2220"/>
      <c r="C2" s="1882" t="s">
        <v>1952</v>
      </c>
      <c r="D2" s="723" t="s">
        <v>1953</v>
      </c>
      <c r="E2" s="723" t="s">
        <v>1954</v>
      </c>
      <c r="F2" s="1882" t="s">
        <v>1955</v>
      </c>
    </row>
    <row r="3" spans="1:7" ht="15.75" customHeight="1" x14ac:dyDescent="0.2">
      <c r="A3" s="2223" t="s">
        <v>1114</v>
      </c>
      <c r="B3" s="2224"/>
      <c r="C3" s="2212"/>
      <c r="D3" s="2213"/>
      <c r="E3" s="2213"/>
      <c r="F3" s="2214"/>
    </row>
    <row r="4" spans="1:7" ht="12.75" customHeight="1" thickBot="1" x14ac:dyDescent="0.25">
      <c r="A4" s="2221" t="s">
        <v>630</v>
      </c>
      <c r="B4" s="2222"/>
      <c r="C4" s="581"/>
      <c r="D4" s="581"/>
      <c r="E4" s="581"/>
      <c r="F4" s="1753">
        <f>SUM(C4+D4)-E4</f>
        <v>0</v>
      </c>
    </row>
    <row r="5" spans="1:7" ht="15.75" customHeight="1" thickTop="1" x14ac:dyDescent="0.2">
      <c r="A5" s="2206" t="s">
        <v>1110</v>
      </c>
      <c r="B5" s="2207"/>
      <c r="C5" s="2215"/>
      <c r="D5" s="2216"/>
      <c r="E5" s="2216"/>
      <c r="F5" s="2217"/>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208" t="s">
        <v>631</v>
      </c>
      <c r="B15" s="2209"/>
      <c r="C15" s="1753">
        <f>SUM(C6:C14)</f>
        <v>0</v>
      </c>
      <c r="D15" s="1753">
        <f>SUM(D6:D14)</f>
        <v>0</v>
      </c>
      <c r="E15" s="1753">
        <f>SUM(E6:E14)</f>
        <v>0</v>
      </c>
      <c r="F15" s="1753">
        <f>SUM(F6:F14)</f>
        <v>0</v>
      </c>
      <c r="G15" s="552"/>
    </row>
    <row r="16" spans="1:7" s="202" customFormat="1" ht="15.75" customHeight="1" thickTop="1" x14ac:dyDescent="0.2">
      <c r="A16" s="2218" t="s">
        <v>1111</v>
      </c>
      <c r="B16" s="2207"/>
      <c r="C16" s="2215"/>
      <c r="D16" s="2216"/>
      <c r="E16" s="2216"/>
      <c r="F16" s="2217"/>
    </row>
    <row r="17" spans="1:11" ht="12.75" customHeight="1" thickBot="1" x14ac:dyDescent="0.25">
      <c r="A17" s="2231" t="s">
        <v>64</v>
      </c>
      <c r="B17" s="2232"/>
      <c r="C17" s="726"/>
      <c r="D17" s="585"/>
      <c r="E17" s="726"/>
      <c r="F17" s="1753">
        <f>SUM(C17+D17)-E17</f>
        <v>0</v>
      </c>
    </row>
    <row r="18" spans="1:11" ht="12.75" customHeight="1" thickTop="1" thickBot="1" x14ac:dyDescent="0.25">
      <c r="A18" s="2231" t="s">
        <v>6</v>
      </c>
      <c r="B18" s="2232"/>
      <c r="C18" s="726"/>
      <c r="D18" s="585"/>
      <c r="E18" s="726"/>
      <c r="F18" s="1753">
        <f>SUM(C18+D18)-E18</f>
        <v>0</v>
      </c>
    </row>
    <row r="19" spans="1:11" ht="12.75" customHeight="1" thickTop="1" thickBot="1" x14ac:dyDescent="0.25">
      <c r="A19" s="2231" t="s">
        <v>388</v>
      </c>
      <c r="B19" s="2232"/>
      <c r="C19" s="726"/>
      <c r="D19" s="585"/>
      <c r="E19" s="726"/>
      <c r="F19" s="1753">
        <f>SUM(C19+D19)-E19</f>
        <v>0</v>
      </c>
    </row>
    <row r="20" spans="1:11" ht="12.75" customHeight="1" thickTop="1" thickBot="1" x14ac:dyDescent="0.25">
      <c r="A20" s="2231" t="s">
        <v>448</v>
      </c>
      <c r="B20" s="2232"/>
      <c r="C20" s="726"/>
      <c r="D20" s="585"/>
      <c r="E20" s="726"/>
      <c r="F20" s="1753">
        <f>SUM(C20+D20)-E20</f>
        <v>0</v>
      </c>
    </row>
    <row r="21" spans="1:11" ht="14.25" thickTop="1" thickBot="1" x14ac:dyDescent="0.25">
      <c r="A21" s="2208" t="s">
        <v>632</v>
      </c>
      <c r="B21" s="2209"/>
      <c r="C21" s="1753">
        <f>SUM(C17:C20)</f>
        <v>0</v>
      </c>
      <c r="D21" s="1753">
        <f>SUM(D17:D20)</f>
        <v>0</v>
      </c>
      <c r="E21" s="1753">
        <f>SUM(E17:E20)</f>
        <v>0</v>
      </c>
      <c r="F21" s="1753">
        <f>SUM(F17:F20)</f>
        <v>0</v>
      </c>
      <c r="G21" s="552"/>
    </row>
    <row r="22" spans="1:11" ht="15.75" customHeight="1" thickTop="1" x14ac:dyDescent="0.2">
      <c r="A22" s="2233" t="s">
        <v>1112</v>
      </c>
      <c r="B22" s="2207"/>
      <c r="C22" s="2215"/>
      <c r="D22" s="2216"/>
      <c r="E22" s="2216"/>
      <c r="F22" s="2217"/>
    </row>
    <row r="23" spans="1:11" ht="13.5" thickBot="1" x14ac:dyDescent="0.25">
      <c r="A23" s="2221" t="s">
        <v>633</v>
      </c>
      <c r="B23" s="2222"/>
      <c r="C23" s="581"/>
      <c r="D23" s="581"/>
      <c r="E23" s="581"/>
      <c r="F23" s="1753">
        <f>SUM(C23+D23)-E23</f>
        <v>0</v>
      </c>
      <c r="G23" s="552"/>
    </row>
    <row r="24" spans="1:11" ht="15.75" customHeight="1" thickTop="1" x14ac:dyDescent="0.2">
      <c r="A24" s="2233" t="s">
        <v>1113</v>
      </c>
      <c r="B24" s="2207"/>
      <c r="C24" s="2215"/>
      <c r="D24" s="2216"/>
      <c r="E24" s="2216"/>
      <c r="F24" s="2217"/>
    </row>
    <row r="25" spans="1:11" ht="13.5" thickBot="1" x14ac:dyDescent="0.25">
      <c r="A25" s="2221" t="s">
        <v>634</v>
      </c>
      <c r="B25" s="2222"/>
      <c r="C25" s="581"/>
      <c r="D25" s="581"/>
      <c r="E25" s="581"/>
      <c r="F25" s="1753">
        <f>SUM(C25+D25)-E25</f>
        <v>0</v>
      </c>
      <c r="G25" s="552"/>
    </row>
    <row r="26" spans="1:11" ht="15.75" customHeight="1" thickTop="1" x14ac:dyDescent="0.2">
      <c r="A26" s="2206" t="s">
        <v>657</v>
      </c>
      <c r="B26" s="2207"/>
      <c r="C26" s="727"/>
      <c r="D26" s="727"/>
      <c r="E26" s="727"/>
      <c r="F26" s="728"/>
    </row>
    <row r="27" spans="1:11" ht="13.5" thickBot="1" x14ac:dyDescent="0.25">
      <c r="A27" s="2208" t="s">
        <v>1070</v>
      </c>
      <c r="B27" s="2209"/>
      <c r="C27" s="585"/>
      <c r="D27" s="585"/>
      <c r="E27" s="585"/>
      <c r="F27" s="1753">
        <f>SUM(C27+D27)-E27</f>
        <v>0</v>
      </c>
      <c r="G27" s="552"/>
    </row>
    <row r="28" spans="1:11" ht="7.5" customHeight="1" thickTop="1" x14ac:dyDescent="0.2">
      <c r="A28" s="593"/>
    </row>
    <row r="29" spans="1:11" ht="23.25" customHeight="1" x14ac:dyDescent="0.2">
      <c r="A29" s="2234" t="s">
        <v>582</v>
      </c>
      <c r="B29" s="2211"/>
      <c r="C29" s="729"/>
      <c r="D29" s="729"/>
      <c r="E29" s="729"/>
      <c r="F29" s="729"/>
      <c r="G29" s="729"/>
      <c r="H29" s="729"/>
      <c r="I29" s="729"/>
      <c r="J29" s="729"/>
    </row>
    <row r="30" spans="1:11" ht="33.75" x14ac:dyDescent="0.2">
      <c r="A30" s="1529" t="s">
        <v>1071</v>
      </c>
      <c r="B30" s="730" t="s">
        <v>1124</v>
      </c>
      <c r="C30" s="1883" t="s">
        <v>583</v>
      </c>
      <c r="D30" s="1883" t="s">
        <v>1673</v>
      </c>
      <c r="E30" s="1883" t="s">
        <v>1956</v>
      </c>
      <c r="F30" s="1883" t="s">
        <v>1957</v>
      </c>
      <c r="G30" s="1883" t="s">
        <v>1907</v>
      </c>
      <c r="H30" s="1883" t="s">
        <v>1958</v>
      </c>
      <c r="I30" s="1883" t="s">
        <v>1959</v>
      </c>
      <c r="J30" s="1884" t="s">
        <v>2</v>
      </c>
      <c r="K30" s="731"/>
    </row>
    <row r="31" spans="1:11" ht="12" customHeight="1" x14ac:dyDescent="0.2">
      <c r="A31" s="732" t="s">
        <v>2080</v>
      </c>
      <c r="B31" s="733">
        <v>42788</v>
      </c>
      <c r="C31" s="734">
        <v>1200000</v>
      </c>
      <c r="D31" s="735">
        <v>1</v>
      </c>
      <c r="E31" s="734">
        <v>925000</v>
      </c>
      <c r="F31" s="734"/>
      <c r="G31" s="734"/>
      <c r="H31" s="734">
        <v>295000</v>
      </c>
      <c r="I31" s="1754">
        <f>((E31+F31)-H31)+G31</f>
        <v>630000</v>
      </c>
      <c r="J31" s="734">
        <v>338756</v>
      </c>
      <c r="K31" s="736"/>
    </row>
    <row r="32" spans="1:11" ht="12" customHeight="1" x14ac:dyDescent="0.2">
      <c r="A32" s="732" t="s">
        <v>2081</v>
      </c>
      <c r="B32" s="733">
        <v>43271</v>
      </c>
      <c r="C32" s="734">
        <v>2760000</v>
      </c>
      <c r="D32" s="735">
        <v>4</v>
      </c>
      <c r="E32" s="734">
        <v>2760000</v>
      </c>
      <c r="F32" s="734"/>
      <c r="G32" s="734"/>
      <c r="H32" s="734"/>
      <c r="I32" s="1754">
        <f>((E32+F32)-H32)+G32</f>
        <v>2760000</v>
      </c>
      <c r="J32" s="734">
        <v>2760000</v>
      </c>
      <c r="K32" s="736"/>
    </row>
    <row r="33" spans="1:11" ht="12" customHeight="1" x14ac:dyDescent="0.2">
      <c r="A33" s="732" t="s">
        <v>2082</v>
      </c>
      <c r="B33" s="733">
        <v>42507</v>
      </c>
      <c r="C33" s="734">
        <v>139150</v>
      </c>
      <c r="D33" s="735">
        <v>7</v>
      </c>
      <c r="E33" s="734">
        <v>39242</v>
      </c>
      <c r="F33" s="734"/>
      <c r="G33" s="734"/>
      <c r="H33" s="734">
        <v>26031</v>
      </c>
      <c r="I33" s="1754">
        <f t="shared" ref="I33:I48" si="1">((E33+F33)-H33)+G33</f>
        <v>13211</v>
      </c>
      <c r="J33" s="734"/>
      <c r="K33" s="736"/>
    </row>
    <row r="34" spans="1:11" ht="12" customHeight="1" x14ac:dyDescent="0.2">
      <c r="A34" s="732" t="s">
        <v>2082</v>
      </c>
      <c r="B34" s="733">
        <v>42816</v>
      </c>
      <c r="C34" s="734">
        <v>77800</v>
      </c>
      <c r="D34" s="735">
        <v>7</v>
      </c>
      <c r="E34" s="734">
        <v>47054</v>
      </c>
      <c r="F34" s="734"/>
      <c r="G34" s="734"/>
      <c r="H34" s="734">
        <v>47054</v>
      </c>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4176950</v>
      </c>
      <c r="D49" s="745"/>
      <c r="E49" s="1754">
        <f t="shared" ref="E49:J49" si="2">SUM(E31:E48)</f>
        <v>3771296</v>
      </c>
      <c r="F49" s="1754">
        <f t="shared" si="2"/>
        <v>0</v>
      </c>
      <c r="G49" s="1754">
        <f t="shared" si="2"/>
        <v>0</v>
      </c>
      <c r="H49" s="1754">
        <f t="shared" si="2"/>
        <v>368085</v>
      </c>
      <c r="I49" s="1754">
        <f t="shared" si="2"/>
        <v>3403211</v>
      </c>
      <c r="J49" s="1754">
        <f t="shared" si="2"/>
        <v>3098756</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25" t="s">
        <v>584</v>
      </c>
      <c r="C52" s="2226"/>
      <c r="D52" s="2226"/>
      <c r="E52" s="749" t="s">
        <v>845</v>
      </c>
      <c r="F52" s="2227" t="s">
        <v>2083</v>
      </c>
      <c r="G52" s="2228"/>
      <c r="H52" s="736"/>
      <c r="I52" s="736"/>
      <c r="J52" s="746"/>
    </row>
    <row r="53" spans="1:11" ht="11.25" customHeight="1" x14ac:dyDescent="0.2">
      <c r="A53" s="750" t="s">
        <v>913</v>
      </c>
      <c r="B53" s="751" t="s">
        <v>951</v>
      </c>
      <c r="C53" s="746"/>
      <c r="D53" s="737"/>
      <c r="E53" s="749" t="s">
        <v>497</v>
      </c>
      <c r="F53" s="2229"/>
      <c r="G53" s="2230"/>
      <c r="H53" s="736"/>
      <c r="I53" s="736"/>
      <c r="J53" s="746"/>
    </row>
    <row r="54" spans="1:11" ht="11.25" customHeight="1" x14ac:dyDescent="0.2">
      <c r="A54" s="752" t="s">
        <v>914</v>
      </c>
      <c r="B54" s="747" t="s">
        <v>952</v>
      </c>
      <c r="C54" s="746"/>
      <c r="D54" s="737"/>
      <c r="E54" s="749" t="s">
        <v>498</v>
      </c>
      <c r="F54" s="2229"/>
      <c r="G54" s="223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B7" sqref="B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856</v>
      </c>
      <c r="B1" s="2260"/>
      <c r="C1" s="2260"/>
      <c r="D1" s="2260"/>
      <c r="E1" s="2260"/>
      <c r="F1" s="2260"/>
      <c r="G1" s="2261"/>
      <c r="H1" s="1530"/>
      <c r="I1" s="760"/>
      <c r="J1" s="433"/>
    </row>
    <row r="2" spans="1:11" ht="26.25" x14ac:dyDescent="0.2">
      <c r="A2" s="2238" t="s">
        <v>1677</v>
      </c>
      <c r="B2" s="2239"/>
      <c r="C2" s="2239"/>
      <c r="D2" s="2239"/>
      <c r="E2" s="2240"/>
      <c r="F2" s="761" t="s">
        <v>904</v>
      </c>
      <c r="G2" s="762" t="s">
        <v>1674</v>
      </c>
      <c r="H2" s="762" t="s">
        <v>410</v>
      </c>
      <c r="I2" s="762" t="s">
        <v>1158</v>
      </c>
      <c r="J2" s="762" t="s">
        <v>1809</v>
      </c>
      <c r="K2" s="762" t="s">
        <v>138</v>
      </c>
    </row>
    <row r="3" spans="1:11" x14ac:dyDescent="0.2">
      <c r="A3" s="2241" t="s">
        <v>1960</v>
      </c>
      <c r="B3" s="2242"/>
      <c r="C3" s="2242"/>
      <c r="D3" s="2242"/>
      <c r="E3" s="2243"/>
      <c r="F3" s="763"/>
      <c r="G3" s="764"/>
      <c r="H3" s="764"/>
      <c r="I3" s="764"/>
      <c r="J3" s="765"/>
      <c r="K3" s="765"/>
    </row>
    <row r="4" spans="1:11" x14ac:dyDescent="0.2">
      <c r="A4" s="2244" t="s">
        <v>369</v>
      </c>
      <c r="B4" s="2245"/>
      <c r="C4" s="2245"/>
      <c r="D4" s="2245"/>
      <c r="E4" s="2226"/>
      <c r="F4" s="766"/>
      <c r="G4" s="767"/>
      <c r="H4" s="768"/>
      <c r="I4" s="767"/>
      <c r="J4" s="769"/>
      <c r="K4" s="769"/>
    </row>
    <row r="5" spans="1:11" x14ac:dyDescent="0.2">
      <c r="A5" s="2262" t="s">
        <v>1069</v>
      </c>
      <c r="B5" s="2235"/>
      <c r="C5" s="2235"/>
      <c r="D5" s="2235"/>
      <c r="E5" s="2263"/>
      <c r="F5" s="770" t="s">
        <v>848</v>
      </c>
      <c r="G5" s="771"/>
      <c r="H5" s="764">
        <v>64461</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2476</v>
      </c>
    </row>
    <row r="8" spans="1:11" x14ac:dyDescent="0.2">
      <c r="A8" s="778" t="s">
        <v>345</v>
      </c>
      <c r="B8" s="779"/>
      <c r="C8" s="779"/>
      <c r="D8" s="779"/>
      <c r="E8" s="780"/>
      <c r="F8" s="770" t="s">
        <v>851</v>
      </c>
      <c r="G8" s="782"/>
      <c r="H8" s="782"/>
      <c r="I8" s="782"/>
      <c r="J8" s="765">
        <v>80941</v>
      </c>
      <c r="K8" s="769"/>
    </row>
    <row r="9" spans="1:11" x14ac:dyDescent="0.2">
      <c r="A9" s="778" t="s">
        <v>138</v>
      </c>
      <c r="B9" s="779"/>
      <c r="C9" s="779"/>
      <c r="D9" s="779"/>
      <c r="E9" s="780"/>
      <c r="F9" s="777" t="s">
        <v>853</v>
      </c>
      <c r="G9" s="782"/>
      <c r="H9" s="771"/>
      <c r="I9" s="771"/>
      <c r="J9" s="781"/>
      <c r="K9" s="765">
        <v>15112</v>
      </c>
    </row>
    <row r="10" spans="1:11" x14ac:dyDescent="0.2">
      <c r="A10" s="2262" t="s">
        <v>1810</v>
      </c>
      <c r="B10" s="2235"/>
      <c r="C10" s="2235"/>
      <c r="D10" s="2235"/>
      <c r="E10" s="2264"/>
      <c r="F10" s="783" t="s">
        <v>862</v>
      </c>
      <c r="G10" s="782"/>
      <c r="H10" s="784"/>
      <c r="I10" s="764"/>
      <c r="J10" s="765"/>
      <c r="K10" s="765"/>
    </row>
    <row r="11" spans="1:11" x14ac:dyDescent="0.2">
      <c r="A11" s="2262" t="s">
        <v>160</v>
      </c>
      <c r="B11" s="2235"/>
      <c r="C11" s="2235"/>
      <c r="D11" s="2235"/>
      <c r="E11" s="2263"/>
      <c r="F11" s="770" t="s">
        <v>852</v>
      </c>
      <c r="G11" s="771"/>
      <c r="H11" s="764"/>
      <c r="I11" s="764"/>
      <c r="J11" s="765"/>
      <c r="K11" s="773"/>
    </row>
    <row r="12" spans="1:11" ht="13.5" thickBot="1" x14ac:dyDescent="0.25">
      <c r="A12" s="2252" t="s">
        <v>905</v>
      </c>
      <c r="B12" s="2253"/>
      <c r="C12" s="2253"/>
      <c r="D12" s="2253"/>
      <c r="E12" s="2254"/>
      <c r="F12" s="1755"/>
      <c r="G12" s="1756">
        <f>SUM(G5:G11)</f>
        <v>0</v>
      </c>
      <c r="H12" s="1756">
        <f>SUM(H5:H11)</f>
        <v>64461</v>
      </c>
      <c r="I12" s="1756">
        <f>SUM(I5:I11)</f>
        <v>0</v>
      </c>
      <c r="J12" s="1756">
        <f>SUM(J5:J11)</f>
        <v>80941</v>
      </c>
      <c r="K12" s="1756">
        <f>SUM(K5:K11)</f>
        <v>17588</v>
      </c>
    </row>
    <row r="13" spans="1:11" ht="13.5" thickTop="1" x14ac:dyDescent="0.2">
      <c r="A13" s="2246" t="s">
        <v>370</v>
      </c>
      <c r="B13" s="2247"/>
      <c r="C13" s="2247"/>
      <c r="D13" s="2247"/>
      <c r="E13" s="2248"/>
      <c r="F13" s="785"/>
      <c r="G13" s="786"/>
      <c r="H13" s="787"/>
      <c r="I13" s="788"/>
      <c r="J13" s="788"/>
      <c r="K13" s="788"/>
    </row>
    <row r="14" spans="1:11" x14ac:dyDescent="0.2">
      <c r="A14" s="2268" t="s">
        <v>456</v>
      </c>
      <c r="B14" s="2268"/>
      <c r="C14" s="2268"/>
      <c r="D14" s="2268"/>
      <c r="E14" s="2269"/>
      <c r="F14" s="789" t="s">
        <v>854</v>
      </c>
      <c r="G14" s="782"/>
      <c r="H14" s="764">
        <v>64461</v>
      </c>
      <c r="I14" s="771"/>
      <c r="J14" s="773"/>
      <c r="K14" s="765">
        <v>17588</v>
      </c>
    </row>
    <row r="15" spans="1:11" x14ac:dyDescent="0.2">
      <c r="A15" s="2235" t="s">
        <v>4</v>
      </c>
      <c r="B15" s="2235"/>
      <c r="C15" s="2235"/>
      <c r="D15" s="2235"/>
      <c r="E15" s="2263"/>
      <c r="F15" s="789" t="s">
        <v>855</v>
      </c>
      <c r="G15" s="771"/>
      <c r="H15" s="764"/>
      <c r="I15" s="764"/>
      <c r="J15" s="765">
        <v>0</v>
      </c>
      <c r="K15" s="765"/>
    </row>
    <row r="16" spans="1:11" x14ac:dyDescent="0.2">
      <c r="A16" s="2235" t="s">
        <v>298</v>
      </c>
      <c r="B16" s="2235"/>
      <c r="C16" s="2235"/>
      <c r="D16" s="2235"/>
      <c r="E16" s="2263"/>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49" t="s">
        <v>368</v>
      </c>
      <c r="B18" s="2250"/>
      <c r="C18" s="2250"/>
      <c r="D18" s="2250"/>
      <c r="E18" s="2251"/>
      <c r="F18" s="789" t="s">
        <v>932</v>
      </c>
      <c r="G18" s="782"/>
      <c r="H18" s="782"/>
      <c r="I18" s="782"/>
      <c r="J18" s="765"/>
      <c r="K18" s="795"/>
    </row>
    <row r="19" spans="1:11" ht="21.75" customHeight="1" x14ac:dyDescent="0.2">
      <c r="A19" s="2270" t="s">
        <v>1806</v>
      </c>
      <c r="B19" s="2270"/>
      <c r="C19" s="2270"/>
      <c r="D19" s="2270"/>
      <c r="E19" s="2271"/>
      <c r="F19" s="789" t="s">
        <v>933</v>
      </c>
      <c r="G19" s="782"/>
      <c r="H19" s="782"/>
      <c r="I19" s="782"/>
      <c r="J19" s="765"/>
      <c r="K19" s="795"/>
    </row>
    <row r="20" spans="1:11" x14ac:dyDescent="0.2">
      <c r="A20" s="2249" t="s">
        <v>1811</v>
      </c>
      <c r="B20" s="2250"/>
      <c r="C20" s="2250"/>
      <c r="D20" s="2250"/>
      <c r="E20" s="2251"/>
      <c r="F20" s="789" t="s">
        <v>934</v>
      </c>
      <c r="G20" s="782"/>
      <c r="H20" s="782"/>
      <c r="I20" s="782"/>
      <c r="J20" s="765"/>
      <c r="K20" s="795"/>
    </row>
    <row r="21" spans="1:11" ht="13.5" thickBot="1" x14ac:dyDescent="0.25">
      <c r="A21" s="2255" t="s">
        <v>638</v>
      </c>
      <c r="B21" s="2255"/>
      <c r="C21" s="2255"/>
      <c r="D21" s="2255"/>
      <c r="E21" s="2255"/>
      <c r="F21" s="1757"/>
      <c r="G21" s="792"/>
      <c r="H21" s="796"/>
      <c r="I21" s="796"/>
      <c r="J21" s="1758">
        <f>SUM(J18:J20)</f>
        <v>0</v>
      </c>
      <c r="K21" s="793"/>
    </row>
    <row r="22" spans="1:11" ht="13.5" thickTop="1" x14ac:dyDescent="0.2">
      <c r="A22" s="2235" t="s">
        <v>1812</v>
      </c>
      <c r="B22" s="2235"/>
      <c r="C22" s="2235"/>
      <c r="D22" s="2235"/>
      <c r="E22" s="2263"/>
      <c r="F22" s="789" t="s">
        <v>862</v>
      </c>
      <c r="G22" s="782"/>
      <c r="H22" s="764"/>
      <c r="I22" s="764"/>
      <c r="J22" s="797"/>
      <c r="K22" s="765"/>
    </row>
    <row r="23" spans="1:11" ht="13.5" thickBot="1" x14ac:dyDescent="0.25">
      <c r="A23" s="2256" t="s">
        <v>906</v>
      </c>
      <c r="B23" s="2255"/>
      <c r="C23" s="2255"/>
      <c r="D23" s="2255"/>
      <c r="E23" s="2255"/>
      <c r="F23" s="1759"/>
      <c r="G23" s="1756">
        <f>SUM(G14:G16,G21,G22)</f>
        <v>0</v>
      </c>
      <c r="H23" s="1756">
        <f>SUM(H14:H16,H21,H22)</f>
        <v>64461</v>
      </c>
      <c r="I23" s="1756">
        <f>SUM(I14:I16,I21,I22)</f>
        <v>0</v>
      </c>
      <c r="J23" s="1756">
        <f>SUM(J14:J16,J21,J22)</f>
        <v>0</v>
      </c>
      <c r="K23" s="1756">
        <f>SUM(K14:K16,K21,K22)</f>
        <v>17588</v>
      </c>
    </row>
    <row r="24" spans="1:11" ht="14.25" thickTop="1" thickBot="1" x14ac:dyDescent="0.25">
      <c r="A24" s="2256" t="s">
        <v>1961</v>
      </c>
      <c r="B24" s="2255"/>
      <c r="C24" s="2255"/>
      <c r="D24" s="2255"/>
      <c r="E24" s="2255"/>
      <c r="F24" s="1760"/>
      <c r="G24" s="1761">
        <f>SUM(G3,G12)-G23</f>
        <v>0</v>
      </c>
      <c r="H24" s="1761">
        <f>SUM(H3,H12)-H23</f>
        <v>0</v>
      </c>
      <c r="I24" s="1761">
        <f>SUM(I3,I12)-I23</f>
        <v>0</v>
      </c>
      <c r="J24" s="1761">
        <f>SUM(J3,J12)-J23</f>
        <v>80941</v>
      </c>
      <c r="K24" s="1761">
        <f>SUM(K3,K12)-K23</f>
        <v>0</v>
      </c>
    </row>
    <row r="25" spans="1:11" ht="13.5" thickTop="1" x14ac:dyDescent="0.2">
      <c r="A25" s="798" t="s">
        <v>420</v>
      </c>
      <c r="B25" s="799"/>
      <c r="C25" s="799"/>
      <c r="D25" s="799"/>
      <c r="E25" s="800"/>
      <c r="F25" s="801">
        <v>714</v>
      </c>
      <c r="G25" s="802"/>
      <c r="H25" s="802"/>
      <c r="I25" s="802"/>
      <c r="J25" s="797">
        <v>80941</v>
      </c>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1906</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t="s">
        <v>2069</v>
      </c>
      <c r="E30" s="808" t="s">
        <v>768</v>
      </c>
      <c r="F30" s="202"/>
      <c r="G30" s="805"/>
    </row>
    <row r="31" spans="1:11" x14ac:dyDescent="0.2">
      <c r="A31" s="809"/>
      <c r="D31" s="237"/>
      <c r="E31" s="810" t="s">
        <v>769</v>
      </c>
      <c r="F31" s="811" t="s">
        <v>539</v>
      </c>
      <c r="G31" s="764"/>
      <c r="H31" s="2265"/>
      <c r="I31" s="2266"/>
      <c r="J31" s="2266"/>
      <c r="K31" s="2266"/>
    </row>
    <row r="32" spans="1:11" x14ac:dyDescent="0.2">
      <c r="A32" s="809"/>
      <c r="B32" s="237"/>
      <c r="C32" s="237"/>
      <c r="D32" s="237"/>
      <c r="E32" s="805"/>
      <c r="F32" s="811" t="s">
        <v>540</v>
      </c>
      <c r="G32" s="764"/>
      <c r="H32" s="2267"/>
      <c r="I32" s="2266"/>
      <c r="J32" s="2266"/>
      <c r="K32" s="2266"/>
    </row>
    <row r="33" spans="1:11" ht="1.5" customHeight="1" x14ac:dyDescent="0.2">
      <c r="A33" s="812" t="s">
        <v>1169</v>
      </c>
      <c r="B33" s="364"/>
      <c r="C33" s="364"/>
      <c r="D33" s="364"/>
      <c r="E33" s="364"/>
      <c r="F33" s="364"/>
      <c r="G33" s="813"/>
      <c r="H33" s="2267"/>
      <c r="I33" s="2266"/>
      <c r="J33" s="2266"/>
      <c r="K33" s="2266"/>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5" t="s">
        <v>541</v>
      </c>
      <c r="B41" s="2236"/>
      <c r="C41" s="2236"/>
      <c r="D41" s="2236"/>
      <c r="E41" s="2236"/>
      <c r="F41" s="223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7" sqref="B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1905</v>
      </c>
      <c r="B1" s="2275"/>
      <c r="C1" s="2276"/>
      <c r="D1" s="826"/>
      <c r="E1" s="827"/>
      <c r="F1" s="827"/>
      <c r="G1" s="828"/>
      <c r="H1" s="829"/>
      <c r="I1" s="830"/>
      <c r="J1" s="2272"/>
      <c r="K1" s="2273"/>
      <c r="L1" s="2273"/>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132071</v>
      </c>
      <c r="D5" s="841"/>
      <c r="E5" s="841"/>
      <c r="F5" s="1758">
        <f>(C5+D5)-E5</f>
        <v>132071</v>
      </c>
      <c r="G5" s="837"/>
      <c r="H5" s="842"/>
      <c r="I5" s="842"/>
      <c r="J5" s="842"/>
      <c r="K5" s="793"/>
      <c r="L5" s="1767">
        <f>F5-K5</f>
        <v>132071</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10060776</v>
      </c>
      <c r="D8" s="844">
        <v>2077209</v>
      </c>
      <c r="E8" s="844"/>
      <c r="F8" s="1758">
        <f>(C8+D8)-E8</f>
        <v>12137985</v>
      </c>
      <c r="G8" s="843">
        <v>50</v>
      </c>
      <c r="H8" s="765">
        <v>4249130</v>
      </c>
      <c r="I8" s="765">
        <v>242760</v>
      </c>
      <c r="J8" s="765"/>
      <c r="K8" s="1767">
        <f>(H8+I8)-J8</f>
        <v>4491890</v>
      </c>
      <c r="L8" s="1767">
        <f>F8-K8</f>
        <v>7646095</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112985</v>
      </c>
      <c r="D10" s="846"/>
      <c r="E10" s="846">
        <v>18885</v>
      </c>
      <c r="F10" s="1762">
        <f>(C10+D10)-E10</f>
        <v>94100</v>
      </c>
      <c r="G10" s="843">
        <v>20</v>
      </c>
      <c r="H10" s="847">
        <v>51253</v>
      </c>
      <c r="I10" s="847">
        <v>4705</v>
      </c>
      <c r="J10" s="847">
        <v>18885</v>
      </c>
      <c r="K10" s="1767">
        <f>(H10+I10)-J10</f>
        <v>37073</v>
      </c>
      <c r="L10" s="1767">
        <f>F10-K10</f>
        <v>57027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2255716</v>
      </c>
      <c r="D12" s="844">
        <v>205132</v>
      </c>
      <c r="E12" s="844">
        <v>192330</v>
      </c>
      <c r="F12" s="1758">
        <f>(C12+D12)-E12</f>
        <v>2268518</v>
      </c>
      <c r="G12" s="843">
        <v>10</v>
      </c>
      <c r="H12" s="765">
        <v>1051573</v>
      </c>
      <c r="I12" s="765">
        <v>234283</v>
      </c>
      <c r="J12" s="765">
        <v>192330</v>
      </c>
      <c r="K12" s="1767">
        <f>(H12+I12)-J12</f>
        <v>1093526</v>
      </c>
      <c r="L12" s="1767">
        <f>F12-K12</f>
        <v>1174992</v>
      </c>
    </row>
    <row r="13" spans="1:14" ht="14.25" thickTop="1" thickBot="1" x14ac:dyDescent="0.25">
      <c r="A13" s="848" t="s">
        <v>1122</v>
      </c>
      <c r="B13" s="840">
        <v>252</v>
      </c>
      <c r="C13" s="844">
        <v>593384</v>
      </c>
      <c r="D13" s="844">
        <v>276848</v>
      </c>
      <c r="E13" s="844">
        <v>237945</v>
      </c>
      <c r="F13" s="1758">
        <f>(C13+D13)-E13</f>
        <v>632287</v>
      </c>
      <c r="G13" s="843">
        <v>5</v>
      </c>
      <c r="H13" s="765">
        <v>535015</v>
      </c>
      <c r="I13" s="765">
        <v>289899</v>
      </c>
      <c r="J13" s="765">
        <v>237945</v>
      </c>
      <c r="K13" s="1767">
        <f>(H13+I13)-J13</f>
        <v>586969</v>
      </c>
      <c r="L13" s="1767">
        <f>F13-K13</f>
        <v>45318</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13154932</v>
      </c>
      <c r="D16" s="1758">
        <f>SUM(D3,D5:D6,D8:D10,D12:D15)</f>
        <v>2559189</v>
      </c>
      <c r="E16" s="1758">
        <f>SUM(E3,E5:E6,E8:E10,E12:E15)</f>
        <v>449160</v>
      </c>
      <c r="F16" s="1758">
        <f>SUM(F3,F5:F6,F8:F10,F12:F15)</f>
        <v>15264961</v>
      </c>
      <c r="G16" s="843"/>
      <c r="H16" s="1758">
        <f>SUM(H3,H6,H8:H10,H12:H14,)</f>
        <v>5886971</v>
      </c>
      <c r="I16" s="1758">
        <f>SUM(I3,I6,I8:I10,I12:I14,)</f>
        <v>771647</v>
      </c>
      <c r="J16" s="1758">
        <f>SUM(J3,J6,J8:J10,J12:J14,)</f>
        <v>449160</v>
      </c>
      <c r="K16" s="1758">
        <f>(H16+I16)-J16</f>
        <v>6209458</v>
      </c>
      <c r="L16" s="1758">
        <f>F16-K16</f>
        <v>9055503</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771647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B7" sqref="B7"/>
      <selection pane="bottomLeft" activeCell="B7" sqref="B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1971</v>
      </c>
      <c r="B1" s="2281"/>
      <c r="C1" s="2281"/>
      <c r="D1" s="2281"/>
      <c r="E1" s="2281"/>
      <c r="F1" s="2282"/>
      <c r="G1" s="855"/>
    </row>
    <row r="2" spans="1:7" ht="15" customHeight="1" thickBot="1" x14ac:dyDescent="0.25">
      <c r="A2" s="2283" t="s">
        <v>477</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6"/>
      <c r="B5" s="2287"/>
      <c r="C5" s="2287"/>
      <c r="D5" s="2287"/>
      <c r="E5" s="2287"/>
      <c r="F5" s="2287"/>
    </row>
    <row r="6" spans="1:7" ht="13.5" customHeight="1" thickBot="1" x14ac:dyDescent="0.25">
      <c r="A6" s="2277" t="s">
        <v>1104</v>
      </c>
      <c r="B6" s="2278"/>
      <c r="C6" s="2278"/>
      <c r="D6" s="2278"/>
      <c r="E6" s="2278"/>
      <c r="F6" s="227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9574639</v>
      </c>
      <c r="G8" s="865"/>
    </row>
    <row r="9" spans="1:7" x14ac:dyDescent="0.2">
      <c r="A9" s="869" t="s">
        <v>460</v>
      </c>
      <c r="B9" s="870" t="s">
        <v>1873</v>
      </c>
      <c r="C9" s="871"/>
      <c r="D9" s="869" t="s">
        <v>501</v>
      </c>
      <c r="E9" s="868"/>
      <c r="F9" s="1907">
        <f>'Expenditures 15-22'!K151</f>
        <v>1261088</v>
      </c>
      <c r="G9" s="872"/>
    </row>
    <row r="10" spans="1:7" x14ac:dyDescent="0.2">
      <c r="A10" s="869" t="s">
        <v>499</v>
      </c>
      <c r="B10" s="870" t="s">
        <v>1874</v>
      </c>
      <c r="C10" s="871"/>
      <c r="D10" s="869" t="s">
        <v>501</v>
      </c>
      <c r="E10" s="868"/>
      <c r="F10" s="1907">
        <f>'Expenditures 15-22'!K174</f>
        <v>440455</v>
      </c>
      <c r="G10" s="872"/>
    </row>
    <row r="11" spans="1:7" x14ac:dyDescent="0.2">
      <c r="A11" s="869" t="s">
        <v>461</v>
      </c>
      <c r="B11" s="870" t="s">
        <v>1875</v>
      </c>
      <c r="C11" s="871"/>
      <c r="D11" s="869" t="s">
        <v>501</v>
      </c>
      <c r="E11" s="868"/>
      <c r="F11" s="1907">
        <f>'Expenditures 15-22'!K210</f>
        <v>1025401</v>
      </c>
      <c r="G11" s="872"/>
    </row>
    <row r="12" spans="1:7" x14ac:dyDescent="0.2">
      <c r="A12" s="869" t="s">
        <v>462</v>
      </c>
      <c r="B12" s="870" t="s">
        <v>1876</v>
      </c>
      <c r="C12" s="871"/>
      <c r="D12" s="869" t="s">
        <v>501</v>
      </c>
      <c r="E12" s="868"/>
      <c r="F12" s="1907">
        <f>'Expenditures 15-22'!K295</f>
        <v>432350</v>
      </c>
      <c r="G12" s="872"/>
    </row>
    <row r="13" spans="1:7" x14ac:dyDescent="0.2">
      <c r="A13" s="869" t="s">
        <v>106</v>
      </c>
      <c r="B13" s="870" t="s">
        <v>1877</v>
      </c>
      <c r="C13" s="871"/>
      <c r="D13" s="869" t="s">
        <v>501</v>
      </c>
      <c r="E13" s="868"/>
      <c r="F13" s="1907">
        <f>'Expenditures 15-22'!K342</f>
        <v>310652</v>
      </c>
      <c r="G13" s="873"/>
    </row>
    <row r="14" spans="1:7" ht="12" customHeight="1" thickBot="1" x14ac:dyDescent="0.25">
      <c r="A14" s="1768"/>
      <c r="B14" s="1769"/>
      <c r="C14" s="1770"/>
      <c r="D14" s="1771" t="s">
        <v>501</v>
      </c>
      <c r="E14" s="1772" t="s">
        <v>958</v>
      </c>
      <c r="F14" s="1773">
        <f>SUM(F8:F13)</f>
        <v>13044585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2">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1998</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1052763</v>
      </c>
      <c r="G53" s="865"/>
    </row>
    <row r="54" spans="1:7" x14ac:dyDescent="0.2">
      <c r="A54" s="869" t="s">
        <v>459</v>
      </c>
      <c r="B54" s="869" t="s">
        <v>1476</v>
      </c>
      <c r="C54" s="889" t="s">
        <v>982</v>
      </c>
      <c r="D54" s="885" t="s">
        <v>1095</v>
      </c>
      <c r="E54" s="868"/>
      <c r="F54" s="1911">
        <f>'Expenditures 15-22'!G114</f>
        <v>115739</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1">
        <f>'Expenditures 15-22'!K139</f>
        <v>0</v>
      </c>
      <c r="G57" s="865"/>
    </row>
    <row r="58" spans="1:7" x14ac:dyDescent="0.2">
      <c r="A58" s="869" t="s">
        <v>460</v>
      </c>
      <c r="B58" s="869" t="s">
        <v>1879</v>
      </c>
      <c r="C58" s="886" t="s">
        <v>982</v>
      </c>
      <c r="D58" s="885" t="s">
        <v>1095</v>
      </c>
      <c r="E58" s="868"/>
      <c r="F58" s="1913">
        <f>'Expenditures 15-22'!G151</f>
        <v>89393</v>
      </c>
      <c r="G58" s="865"/>
    </row>
    <row r="59" spans="1:7" x14ac:dyDescent="0.2">
      <c r="A59" s="893" t="s">
        <v>460</v>
      </c>
      <c r="B59" s="856" t="s">
        <v>1880</v>
      </c>
      <c r="C59" s="894" t="s">
        <v>982</v>
      </c>
      <c r="D59" s="856" t="s">
        <v>291</v>
      </c>
      <c r="F59" s="1914">
        <f>'Expenditures 15-22'!I151</f>
        <v>0</v>
      </c>
      <c r="G59" s="865"/>
    </row>
    <row r="60" spans="1:7" x14ac:dyDescent="0.2">
      <c r="A60" s="893" t="s">
        <v>499</v>
      </c>
      <c r="B60" s="856" t="s">
        <v>1881</v>
      </c>
      <c r="C60" s="894">
        <v>4000</v>
      </c>
      <c r="D60" s="856" t="s">
        <v>312</v>
      </c>
      <c r="F60" s="1912">
        <f>'Expenditures 15-22'!K160</f>
        <v>0</v>
      </c>
      <c r="G60" s="865"/>
    </row>
    <row r="61" spans="1:7" x14ac:dyDescent="0.2">
      <c r="A61" s="895" t="s">
        <v>499</v>
      </c>
      <c r="B61" s="895" t="s">
        <v>1882</v>
      </c>
      <c r="C61" s="896" t="str">
        <f>'Expenditures 15-22'!B170</f>
        <v>5300</v>
      </c>
      <c r="D61" s="897" t="s">
        <v>311</v>
      </c>
      <c r="E61" s="879"/>
      <c r="F61" s="1911">
        <f>'Expenditures 15-22'!K170</f>
        <v>295000</v>
      </c>
      <c r="G61" s="865"/>
    </row>
    <row r="62" spans="1:7" x14ac:dyDescent="0.2">
      <c r="A62" s="869" t="s">
        <v>461</v>
      </c>
      <c r="B62" s="869" t="s">
        <v>1883</v>
      </c>
      <c r="C62" s="886">
        <f>'Expenditures 15-22'!B185</f>
        <v>3000</v>
      </c>
      <c r="D62" s="876" t="s">
        <v>449</v>
      </c>
      <c r="E62" s="868"/>
      <c r="F62" s="1911">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1885</v>
      </c>
      <c r="C64" s="896" t="str">
        <f>'Expenditures 15-22'!B206</f>
        <v>5300</v>
      </c>
      <c r="D64" s="892" t="s">
        <v>311</v>
      </c>
      <c r="E64" s="868"/>
      <c r="F64" s="1911">
        <f>'Expenditures 15-22'!K206</f>
        <v>0</v>
      </c>
      <c r="G64" s="865"/>
    </row>
    <row r="65" spans="1:8" x14ac:dyDescent="0.2">
      <c r="A65" s="869" t="s">
        <v>461</v>
      </c>
      <c r="B65" s="869" t="s">
        <v>1886</v>
      </c>
      <c r="C65" s="886" t="s">
        <v>982</v>
      </c>
      <c r="D65" s="885" t="s">
        <v>1095</v>
      </c>
      <c r="E65" s="868"/>
      <c r="F65" s="1911">
        <f>'Expenditures 15-22'!G210</f>
        <v>276848</v>
      </c>
      <c r="G65" s="865"/>
    </row>
    <row r="66" spans="1:8" x14ac:dyDescent="0.2">
      <c r="A66" s="869" t="s">
        <v>461</v>
      </c>
      <c r="B66" s="869" t="s">
        <v>1887</v>
      </c>
      <c r="C66" s="886" t="s">
        <v>982</v>
      </c>
      <c r="D66" s="885" t="s">
        <v>291</v>
      </c>
      <c r="E66" s="868"/>
      <c r="F66" s="1911">
        <f>'Expenditures 15-22'!I210</f>
        <v>0</v>
      </c>
      <c r="G66" s="865"/>
    </row>
    <row r="67" spans="1:8" x14ac:dyDescent="0.2">
      <c r="A67" s="869" t="s">
        <v>462</v>
      </c>
      <c r="B67" s="869" t="s">
        <v>1888</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1890</v>
      </c>
      <c r="C70" s="886">
        <f>'Expenditures 15-22'!B221</f>
        <v>1300</v>
      </c>
      <c r="D70" s="887" t="str">
        <f>'Expenditures 15-22'!A221</f>
        <v>Adult/Continuing Education Programs</v>
      </c>
      <c r="E70" s="868"/>
      <c r="F70" s="1911">
        <f>'Expenditures 15-22'!K221</f>
        <v>0</v>
      </c>
      <c r="G70" s="865"/>
    </row>
    <row r="71" spans="1:8" x14ac:dyDescent="0.2">
      <c r="A71" s="869" t="s">
        <v>462</v>
      </c>
      <c r="B71" s="869" t="s">
        <v>1891</v>
      </c>
      <c r="C71" s="886">
        <f>'Expenditures 15-22'!B224</f>
        <v>1600</v>
      </c>
      <c r="D71" s="887" t="str">
        <f>'Expenditures 15-22'!A224</f>
        <v>Summer School Programs</v>
      </c>
      <c r="E71" s="868"/>
      <c r="F71" s="1911">
        <f>'Expenditures 15-22'!K224</f>
        <v>0</v>
      </c>
      <c r="G71" s="865"/>
    </row>
    <row r="72" spans="1:8" x14ac:dyDescent="0.2">
      <c r="A72" s="869" t="s">
        <v>462</v>
      </c>
      <c r="B72" s="869" t="s">
        <v>1892</v>
      </c>
      <c r="C72" s="886">
        <f>'Expenditures 15-22'!B280</f>
        <v>3000</v>
      </c>
      <c r="D72" s="876" t="s">
        <v>449</v>
      </c>
      <c r="E72" s="868"/>
      <c r="F72" s="1911">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1894</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1895</v>
      </c>
      <c r="E76" s="1772" t="s">
        <v>958</v>
      </c>
      <c r="F76" s="1776">
        <f>SUM(F18:F74)</f>
        <v>1829743</v>
      </c>
      <c r="G76" s="865"/>
    </row>
    <row r="77" spans="1:8" s="893" customFormat="1" ht="12" customHeight="1" thickTop="1" thickBot="1" x14ac:dyDescent="0.25">
      <c r="A77" s="1777"/>
      <c r="B77" s="1774"/>
      <c r="C77" s="1770"/>
      <c r="D77" s="1775" t="s">
        <v>1896</v>
      </c>
      <c r="E77" s="1772"/>
      <c r="F77" s="1778">
        <f>(F14-F76)</f>
        <v>11214842</v>
      </c>
      <c r="G77" s="869"/>
    </row>
    <row r="78" spans="1:8" s="893" customFormat="1" ht="12" customHeight="1" thickTop="1" x14ac:dyDescent="0.2">
      <c r="A78" s="1779"/>
      <c r="B78" s="1774"/>
      <c r="C78" s="1770"/>
      <c r="D78" s="1775" t="s">
        <v>2058</v>
      </c>
      <c r="E78" s="1772"/>
      <c r="F78" s="898">
        <v>853.6</v>
      </c>
      <c r="G78" s="899"/>
      <c r="H78" s="869"/>
    </row>
    <row r="79" spans="1:8" s="893" customFormat="1" ht="12" customHeight="1" thickBot="1" x14ac:dyDescent="0.25">
      <c r="A79" s="1780"/>
      <c r="B79" s="1774"/>
      <c r="C79" s="1770"/>
      <c r="D79" s="1775" t="s">
        <v>1897</v>
      </c>
      <c r="E79" s="1772" t="s">
        <v>958</v>
      </c>
      <c r="F79" s="1781">
        <f>IF(F78&gt;0,F77/F78," Complete Line 78")</f>
        <v>13138.28725398313</v>
      </c>
      <c r="G79" s="869"/>
    </row>
    <row r="80" spans="1:8" s="893" customFormat="1" ht="8.25" customHeight="1" thickTop="1" x14ac:dyDescent="0.2">
      <c r="A80" s="900"/>
      <c r="B80" s="869"/>
      <c r="C80" s="871"/>
      <c r="D80" s="901"/>
      <c r="E80" s="868"/>
      <c r="F80" s="902"/>
      <c r="G80" s="869"/>
    </row>
    <row r="81" spans="1:7" s="893" customFormat="1" ht="12" thickBot="1" x14ac:dyDescent="0.25">
      <c r="A81" s="2277" t="s">
        <v>1105</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146188</v>
      </c>
      <c r="G94" s="912"/>
    </row>
    <row r="95" spans="1:7" x14ac:dyDescent="0.2">
      <c r="A95" s="908" t="s">
        <v>140</v>
      </c>
      <c r="B95" s="908" t="s">
        <v>175</v>
      </c>
      <c r="C95" s="910">
        <v>1700</v>
      </c>
      <c r="D95" s="918" t="str">
        <f>'Revenues 9-14'!A82</f>
        <v>Total District/School Activity Income</v>
      </c>
      <c r="E95" s="906"/>
      <c r="F95" s="1787">
        <f>SUM('Revenues 9-14'!C82,'Revenues 9-14'!D82)</f>
        <v>50271</v>
      </c>
      <c r="G95" s="912"/>
    </row>
    <row r="96" spans="1:7" x14ac:dyDescent="0.2">
      <c r="A96" s="908" t="s">
        <v>459</v>
      </c>
      <c r="B96" s="908" t="s">
        <v>176</v>
      </c>
      <c r="C96" s="910">
        <f>'Revenues 9-14'!B84</f>
        <v>1811</v>
      </c>
      <c r="D96" s="911" t="str">
        <f>'Revenues 9-14'!A84</f>
        <v>Rentals - Regular Textbooks</v>
      </c>
      <c r="E96" s="906"/>
      <c r="F96" s="1787">
        <f>'Revenues 9-14'!C84</f>
        <v>82510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5529</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1999</v>
      </c>
      <c r="C105" s="913">
        <v>3100</v>
      </c>
      <c r="D105" s="919" t="str">
        <f>'Revenues 9-14'!A132</f>
        <v>Total Special Education</v>
      </c>
      <c r="E105" s="906"/>
      <c r="F105" s="1787">
        <f>SUM('Revenues 9-14'!C132:D132,'Revenues 9-14'!F132)</f>
        <v>91163</v>
      </c>
      <c r="G105" s="912"/>
    </row>
    <row r="106" spans="1:7" x14ac:dyDescent="0.2">
      <c r="A106" s="908" t="s">
        <v>673</v>
      </c>
      <c r="B106" s="908" t="s">
        <v>2000</v>
      </c>
      <c r="C106" s="920">
        <v>3200</v>
      </c>
      <c r="D106" s="911" t="str">
        <f>'Revenues 9-14'!A141</f>
        <v>Total Career and Technical Education</v>
      </c>
      <c r="E106" s="906"/>
      <c r="F106" s="1787">
        <f>SUM('Revenues 9-14'!C141,'Revenues 9-14'!D141,'Revenues 9-14'!G141)</f>
        <v>20922</v>
      </c>
      <c r="G106" s="912"/>
    </row>
    <row r="107" spans="1:7" x14ac:dyDescent="0.2">
      <c r="A107" s="921" t="s">
        <v>664</v>
      </c>
      <c r="B107" s="908" t="s">
        <v>2001</v>
      </c>
      <c r="C107" s="920">
        <v>3300</v>
      </c>
      <c r="D107" s="911" t="str">
        <f>'Revenues 9-14'!A145</f>
        <v>Total Bilingual Ed</v>
      </c>
      <c r="E107" s="906"/>
      <c r="F107" s="1787">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7">
        <f>'Revenues 9-14'!C146</f>
        <v>3947</v>
      </c>
      <c r="G108" s="912"/>
    </row>
    <row r="109" spans="1:7" x14ac:dyDescent="0.2">
      <c r="A109" s="908" t="s">
        <v>673</v>
      </c>
      <c r="B109" s="908" t="s">
        <v>2003</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7">
        <f>SUM('Revenues 9-14'!C148,'Revenues 9-14'!D148)</f>
        <v>15112</v>
      </c>
      <c r="G110" s="912"/>
    </row>
    <row r="111" spans="1:7" x14ac:dyDescent="0.2">
      <c r="A111" s="908" t="s">
        <v>668</v>
      </c>
      <c r="B111" s="908" t="s">
        <v>2005</v>
      </c>
      <c r="C111" s="922">
        <v>3500</v>
      </c>
      <c r="D111" s="911" t="str">
        <f>'Revenues 9-14'!A155</f>
        <v>Total Transportation</v>
      </c>
      <c r="E111" s="906"/>
      <c r="F111" s="1787">
        <f>SUM('Revenues 9-14'!C155,'Revenues 9-14'!D155,'Revenues 9-14'!F155,'Revenues 9-14'!G155)</f>
        <v>679466</v>
      </c>
      <c r="G111" s="912"/>
    </row>
    <row r="112" spans="1:7" x14ac:dyDescent="0.2">
      <c r="A112" s="908" t="s">
        <v>459</v>
      </c>
      <c r="B112" s="908" t="s">
        <v>2006</v>
      </c>
      <c r="C112" s="920">
        <f>'Revenues 9-14'!B156</f>
        <v>3610</v>
      </c>
      <c r="D112" s="911" t="str">
        <f>'Revenues 9-14'!A156</f>
        <v>Learning Improvement - Change Grants</v>
      </c>
      <c r="E112" s="906"/>
      <c r="F112" s="1787">
        <f>'Revenues 9-14'!C156</f>
        <v>0</v>
      </c>
      <c r="G112" s="912"/>
    </row>
    <row r="113" spans="1:7" x14ac:dyDescent="0.2">
      <c r="A113" s="908" t="s">
        <v>668</v>
      </c>
      <c r="B113" s="908" t="s">
        <v>2007</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5">
        <f>SUM('Revenues 9-14'!C162,'Revenues 9-14'!D162,'Revenues 9-14'!E162,'Revenues 9-14'!F162,'Revenues 9-14'!G162)</f>
        <v>9005</v>
      </c>
      <c r="G117" s="912"/>
    </row>
    <row r="118" spans="1:7" x14ac:dyDescent="0.2">
      <c r="A118" s="923" t="s">
        <v>1009</v>
      </c>
      <c r="B118" s="923" t="s">
        <v>2012</v>
      </c>
      <c r="C118" s="924">
        <f>'Revenues 9-14'!B163</f>
        <v>3780</v>
      </c>
      <c r="D118" s="925" t="str">
        <f>'Revenues 9-14'!A163</f>
        <v>Technology - Technology for Success</v>
      </c>
      <c r="E118" s="906"/>
      <c r="F118" s="1905">
        <f>SUM('Revenues 9-14'!C163:G163)</f>
        <v>0</v>
      </c>
      <c r="G118" s="912"/>
    </row>
    <row r="119" spans="1:7" x14ac:dyDescent="0.2">
      <c r="A119" s="923" t="s">
        <v>504</v>
      </c>
      <c r="B119" s="923" t="s">
        <v>2013</v>
      </c>
      <c r="C119" s="924">
        <f>'Revenues 9-14'!B164</f>
        <v>3815</v>
      </c>
      <c r="D119" s="925" t="str">
        <f>'Revenues 9-14'!A164</f>
        <v>State Charter Schools</v>
      </c>
      <c r="E119" s="906"/>
      <c r="F119" s="1905">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7">
        <f>'Revenues 9-14'!D167</f>
        <v>0</v>
      </c>
      <c r="G120" s="930"/>
    </row>
    <row r="121" spans="1:7" x14ac:dyDescent="0.2">
      <c r="A121" s="927" t="s">
        <v>500</v>
      </c>
      <c r="B121" s="927" t="s">
        <v>2015</v>
      </c>
      <c r="C121" s="928">
        <f>'Revenues 9-14'!B168</f>
        <v>3999</v>
      </c>
      <c r="D121" s="929" t="s">
        <v>543</v>
      </c>
      <c r="E121" s="931"/>
      <c r="F121" s="1787">
        <f>SUM('Revenues 9-14'!C168:G168,'Revenues 9-14'!J168)</f>
        <v>2647</v>
      </c>
      <c r="G121" s="930"/>
    </row>
    <row r="122" spans="1:7" x14ac:dyDescent="0.2">
      <c r="A122" s="927" t="s">
        <v>459</v>
      </c>
      <c r="B122" s="927" t="s">
        <v>2016</v>
      </c>
      <c r="C122" s="932">
        <f>'Revenues 9-14'!B177</f>
        <v>4045</v>
      </c>
      <c r="D122" s="929" t="str">
        <f>'Revenues 9-14'!A177 &amp; " (Subtract)"</f>
        <v>Head Start (Subtract)</v>
      </c>
      <c r="E122" s="906"/>
      <c r="F122" s="1787">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2018</v>
      </c>
      <c r="C124" s="932">
        <v>4100</v>
      </c>
      <c r="D124" s="933" t="str">
        <f>'Revenues 9-14'!A188</f>
        <v>Total Title V</v>
      </c>
      <c r="E124" s="906"/>
      <c r="F124" s="1787">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7">
        <f>SUM('Revenues 9-14'!C198,'Revenues 9-14'!G198)</f>
        <v>236673</v>
      </c>
      <c r="G125" s="930"/>
    </row>
    <row r="126" spans="1:7" x14ac:dyDescent="0.2">
      <c r="A126" s="927" t="s">
        <v>668</v>
      </c>
      <c r="B126" s="927" t="s">
        <v>2020</v>
      </c>
      <c r="C126" s="932">
        <v>4300</v>
      </c>
      <c r="D126" s="933" t="str">
        <f>'Revenues 9-14'!A204</f>
        <v>Total Title I</v>
      </c>
      <c r="E126" s="906"/>
      <c r="F126" s="1787">
        <f>SUM('Revenues 9-14'!C204,'Revenues 9-14'!D204,'Revenues 9-14'!F204,'Revenues 9-14'!G204)</f>
        <v>110590</v>
      </c>
      <c r="G126" s="930"/>
    </row>
    <row r="127" spans="1:7" x14ac:dyDescent="0.2">
      <c r="A127" s="927" t="s">
        <v>668</v>
      </c>
      <c r="B127" s="927" t="s">
        <v>2021</v>
      </c>
      <c r="C127" s="932">
        <v>4400</v>
      </c>
      <c r="D127" s="933" t="str">
        <f>'Revenues 9-14'!A209</f>
        <v>Total Title IV</v>
      </c>
      <c r="E127" s="906"/>
      <c r="F127" s="1787">
        <f>SUM('Revenues 9-14'!C209,'Revenues 9-14'!D209,'Revenues 9-14'!F209,'Revenues 9-14'!G209)</f>
        <v>4421</v>
      </c>
      <c r="G127" s="930"/>
    </row>
    <row r="128" spans="1:7" x14ac:dyDescent="0.2">
      <c r="A128" s="927" t="s">
        <v>668</v>
      </c>
      <c r="B128" s="927" t="s">
        <v>2022</v>
      </c>
      <c r="C128" s="932">
        <f>'Revenues 9-14'!B213</f>
        <v>4620</v>
      </c>
      <c r="D128" s="933" t="str">
        <f>'Revenues 9-14'!A213</f>
        <v>Fed - Spec Education - IDEA - Flow Through</v>
      </c>
      <c r="E128" s="906"/>
      <c r="F128" s="1787">
        <f>SUM('Revenues 9-14'!C213:D213,'Revenues 9-14'!F213:G213)</f>
        <v>250210</v>
      </c>
      <c r="G128" s="930"/>
    </row>
    <row r="129" spans="1:7" x14ac:dyDescent="0.2">
      <c r="A129" s="927" t="s">
        <v>668</v>
      </c>
      <c r="B129" s="927" t="s">
        <v>2023</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2025</v>
      </c>
      <c r="C132" s="932">
        <v>4700</v>
      </c>
      <c r="D132" s="929" t="str">
        <f>'Revenues 9-14'!A221</f>
        <v>Total CTE - Perkins</v>
      </c>
      <c r="E132" s="906"/>
      <c r="F132" s="1787">
        <f>SUM('Revenues 9-14'!C221,'Revenues 9-14'!D221,'Revenues 9-14'!G221)</f>
        <v>9486</v>
      </c>
      <c r="G132" s="930">
        <v>6303</v>
      </c>
    </row>
    <row r="133" spans="1:7" s="867" customFormat="1" hidden="1" x14ac:dyDescent="0.2">
      <c r="A133" s="934" t="s">
        <v>206</v>
      </c>
      <c r="B133" s="934" t="s">
        <v>2026</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7">
        <v>0</v>
      </c>
      <c r="G138" s="905"/>
    </row>
    <row r="139" spans="1:7" s="867" customFormat="1" hidden="1" x14ac:dyDescent="0.2">
      <c r="A139" s="934" t="s">
        <v>206</v>
      </c>
      <c r="B139" s="934" t="s">
        <v>2032</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2040</v>
      </c>
      <c r="C157" s="940" t="s">
        <v>841</v>
      </c>
      <c r="D157" s="941" t="s">
        <v>777</v>
      </c>
      <c r="E157" s="942"/>
      <c r="F157" s="1787">
        <f>SUM(F133:F156)</f>
        <v>0</v>
      </c>
      <c r="G157" s="905"/>
    </row>
    <row r="158" spans="1:7" s="867" customFormat="1" x14ac:dyDescent="0.2">
      <c r="A158" s="938" t="s">
        <v>459</v>
      </c>
      <c r="B158" s="939" t="s">
        <v>2041</v>
      </c>
      <c r="C158" s="940" t="s">
        <v>1427</v>
      </c>
      <c r="D158" s="941" t="s">
        <v>1428</v>
      </c>
      <c r="E158" s="942"/>
      <c r="F158" s="1787">
        <f>SUM('Revenues 9-14'!C253)</f>
        <v>0</v>
      </c>
      <c r="G158" s="905"/>
    </row>
    <row r="159" spans="1:7" s="867" customFormat="1" x14ac:dyDescent="0.2">
      <c r="A159" s="938" t="s">
        <v>500</v>
      </c>
      <c r="B159" s="939" t="s">
        <v>2042</v>
      </c>
      <c r="C159" s="940" t="s">
        <v>1466</v>
      </c>
      <c r="D159" s="941" t="s">
        <v>1467</v>
      </c>
      <c r="E159" s="942"/>
      <c r="F159" s="1787">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5">
        <f>SUM('Revenues 9-14'!C259,'Revenues 9-14'!D259,'Revenues 9-14'!F259,'Revenues 9-14'!G259)</f>
        <v>16716</v>
      </c>
      <c r="G164" s="930"/>
    </row>
    <row r="165" spans="1:7" x14ac:dyDescent="0.2">
      <c r="A165" s="927" t="s">
        <v>668</v>
      </c>
      <c r="B165" s="927" t="s">
        <v>2048</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7">
        <f>SUM('Revenues 9-14'!C263:D263,'Revenues 9-14'!F263:G263)</f>
        <v>12711</v>
      </c>
      <c r="G168" s="947">
        <v>6320</v>
      </c>
    </row>
    <row r="169" spans="1:7" x14ac:dyDescent="0.2">
      <c r="A169" s="927" t="s">
        <v>668</v>
      </c>
      <c r="B169" s="927" t="s">
        <v>2050</v>
      </c>
      <c r="C169" s="932">
        <f>'Revenues 9-14'!B264</f>
        <v>4992</v>
      </c>
      <c r="D169" s="933" t="str">
        <f>'Revenues 9-14'!A264</f>
        <v>Medicaid Matching Funds - Fee-for-Service Program</v>
      </c>
      <c r="E169" s="906"/>
      <c r="F169" s="1787">
        <f>SUM('Revenues 9-14'!C264:D264,'Revenues 9-14'!F264:G264)</f>
        <v>7463</v>
      </c>
      <c r="G169" s="947"/>
    </row>
    <row r="170" spans="1:7" x14ac:dyDescent="0.2">
      <c r="A170" s="948" t="s">
        <v>668</v>
      </c>
      <c r="B170" s="944" t="s">
        <v>2051</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1916</v>
      </c>
      <c r="C171" s="1918">
        <v>3100</v>
      </c>
      <c r="D171" s="1919" t="s">
        <v>1918</v>
      </c>
      <c r="E171" s="906"/>
      <c r="F171" s="1904">
        <v>310824</v>
      </c>
      <c r="G171" s="927"/>
    </row>
    <row r="172" spans="1:7" x14ac:dyDescent="0.2">
      <c r="A172" s="1916" t="s">
        <v>664</v>
      </c>
      <c r="B172" s="1917" t="s">
        <v>1916</v>
      </c>
      <c r="C172" s="1918">
        <v>3300</v>
      </c>
      <c r="D172" s="1919" t="s">
        <v>1919</v>
      </c>
      <c r="E172" s="906"/>
      <c r="F172" s="1904">
        <v>11</v>
      </c>
      <c r="G172" s="927"/>
    </row>
    <row r="173" spans="1:7" ht="6" customHeight="1" x14ac:dyDescent="0.2">
      <c r="A173" s="927"/>
      <c r="B173" s="927"/>
      <c r="C173" s="949"/>
      <c r="D173" s="927"/>
      <c r="E173" s="906"/>
      <c r="F173" s="950"/>
      <c r="G173" s="947"/>
    </row>
    <row r="174" spans="1:7" x14ac:dyDescent="0.2">
      <c r="A174" s="1768"/>
      <c r="B174" s="1782"/>
      <c r="C174" s="1783"/>
      <c r="D174" s="1784" t="s">
        <v>2052</v>
      </c>
      <c r="E174" s="1785" t="s">
        <v>958</v>
      </c>
      <c r="F174" s="1786">
        <f>SUM(F84:F132,F157:F172)</f>
        <v>2065865</v>
      </c>
    </row>
    <row r="175" spans="1:7" ht="12" customHeight="1" x14ac:dyDescent="0.2">
      <c r="A175" s="1768"/>
      <c r="B175" s="1782"/>
      <c r="C175" s="1783"/>
      <c r="D175" s="1784" t="s">
        <v>2053</v>
      </c>
      <c r="E175" s="1785"/>
      <c r="F175" s="1787">
        <f>'PCTC-OEPP 27-28'!F77-F174</f>
        <v>9148977</v>
      </c>
    </row>
    <row r="176" spans="1:7" ht="12" customHeight="1" x14ac:dyDescent="0.2">
      <c r="A176" s="1768"/>
      <c r="B176" s="1782"/>
      <c r="C176" s="1783"/>
      <c r="D176" s="1784" t="s">
        <v>1814</v>
      </c>
      <c r="E176" s="1785"/>
      <c r="F176" s="1787">
        <f>'Cap Outlay Deprec 26'!I18</f>
        <v>771647</v>
      </c>
    </row>
    <row r="177" spans="1:7" ht="12" customHeight="1" x14ac:dyDescent="0.2">
      <c r="A177" s="1768"/>
      <c r="B177" s="1782"/>
      <c r="C177" s="1783"/>
      <c r="D177" s="1784" t="s">
        <v>2054</v>
      </c>
      <c r="E177" s="1785"/>
      <c r="F177" s="1787">
        <f>F175+F176</f>
        <v>9920624</v>
      </c>
    </row>
    <row r="178" spans="1:7" ht="12" customHeight="1" x14ac:dyDescent="0.2">
      <c r="A178" s="1768"/>
      <c r="B178" s="1788"/>
      <c r="C178" s="1783"/>
      <c r="D178" s="1784" t="str">
        <f>D78</f>
        <v>9 Month ADA from District Average Daily Attendance/Prior General State Aid Inquiry 2018-2019</v>
      </c>
      <c r="E178" s="1785"/>
      <c r="F178" s="1789">
        <f>'PCTC-OEPP 27-28'!F78</f>
        <v>853.6</v>
      </c>
      <c r="G178" s="930"/>
    </row>
    <row r="179" spans="1:7" ht="12" customHeight="1" thickBot="1" x14ac:dyDescent="0.25">
      <c r="A179" s="1768"/>
      <c r="B179" s="1788"/>
      <c r="C179" s="1783"/>
      <c r="D179" s="1784" t="s">
        <v>2055</v>
      </c>
      <c r="E179" s="1785" t="s">
        <v>1545</v>
      </c>
      <c r="F179" s="1790">
        <f>F177/F178</f>
        <v>11622.099343955013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0" customFormat="1" ht="12.2" customHeight="1" x14ac:dyDescent="0.2">
      <c r="A182" s="1920" t="s">
        <v>1990</v>
      </c>
      <c r="B182" s="1921"/>
      <c r="C182" s="1922"/>
      <c r="D182" s="1921"/>
      <c r="E182" s="1922"/>
      <c r="F182" s="1921"/>
      <c r="G182" s="1921"/>
    </row>
    <row r="183" spans="1:7" s="1920" customFormat="1" ht="12.2" customHeight="1" x14ac:dyDescent="0.2">
      <c r="A183" s="1923" t="s">
        <v>1992</v>
      </c>
      <c r="C183" s="1922"/>
      <c r="D183" s="1921"/>
      <c r="E183" s="1922"/>
      <c r="F183" s="1921"/>
      <c r="G183" s="1921"/>
    </row>
    <row r="184" spans="1:7" ht="12" customHeight="1" x14ac:dyDescent="0.2">
      <c r="C184" s="949"/>
      <c r="D184" s="930"/>
      <c r="E184" s="949"/>
      <c r="F184" s="930"/>
      <c r="G184" s="930"/>
    </row>
    <row r="185" spans="1:7" x14ac:dyDescent="0.2">
      <c r="A185" s="1924" t="s">
        <v>1921</v>
      </c>
      <c r="B185" s="1925"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40"/>
  <sheetViews>
    <sheetView showGridLines="0" topLeftCell="A7" zoomScaleNormal="100" workbookViewId="0">
      <selection activeCell="A7" sqref="A7:G7"/>
    </sheetView>
  </sheetViews>
  <sheetFormatPr defaultRowHeight="15" x14ac:dyDescent="0.25"/>
  <cols>
    <col min="1" max="1" width="54.28515625"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91" t="s">
        <v>1815</v>
      </c>
      <c r="B4" s="2292"/>
      <c r="C4" s="2292"/>
      <c r="D4" s="2292"/>
      <c r="E4" s="2292"/>
      <c r="F4" s="2292"/>
      <c r="G4" s="2293"/>
    </row>
    <row r="5" spans="1:7" x14ac:dyDescent="0.25">
      <c r="A5" s="2294"/>
      <c r="B5" s="2295"/>
      <c r="C5" s="2295"/>
      <c r="D5" s="2295"/>
      <c r="E5" s="2295"/>
      <c r="F5" s="2295"/>
      <c r="G5" s="2296"/>
    </row>
    <row r="6" spans="1:7" ht="18.75" x14ac:dyDescent="0.25">
      <c r="A6" s="1534" t="s">
        <v>1816</v>
      </c>
      <c r="B6" s="1535"/>
      <c r="C6" s="1535"/>
      <c r="D6" s="1535"/>
      <c r="E6" s="1535"/>
      <c r="F6" s="1535"/>
      <c r="G6" s="1536"/>
    </row>
    <row r="7" spans="1:7" ht="30.75" customHeight="1" x14ac:dyDescent="0.25">
      <c r="A7" s="2297" t="s">
        <v>1928</v>
      </c>
      <c r="B7" s="2298"/>
      <c r="C7" s="2298"/>
      <c r="D7" s="2298"/>
      <c r="E7" s="2298"/>
      <c r="F7" s="2298"/>
      <c r="G7" s="2299"/>
    </row>
    <row r="8" spans="1:7" ht="15.75" customHeight="1" x14ac:dyDescent="0.25">
      <c r="A8" s="2300" t="s">
        <v>1903</v>
      </c>
      <c r="B8" s="2301"/>
      <c r="C8" s="2301"/>
      <c r="D8" s="2301"/>
      <c r="E8" s="2301"/>
      <c r="F8" s="2301"/>
      <c r="G8" s="2302"/>
    </row>
    <row r="9" spans="1:7" ht="35.25" customHeight="1" x14ac:dyDescent="0.25">
      <c r="A9" s="2297" t="s">
        <v>1931</v>
      </c>
      <c r="B9" s="2298"/>
      <c r="C9" s="2298"/>
      <c r="D9" s="2298"/>
      <c r="E9" s="2298"/>
      <c r="F9" s="2298"/>
      <c r="G9" s="2299"/>
    </row>
    <row r="10" spans="1:7" ht="15" customHeight="1" x14ac:dyDescent="0.25">
      <c r="A10" s="1537" t="s">
        <v>1817</v>
      </c>
      <c r="B10" s="1538"/>
      <c r="C10" s="1538"/>
      <c r="D10" s="1538"/>
      <c r="E10" s="1538"/>
      <c r="F10" s="1538"/>
      <c r="G10" s="1539"/>
    </row>
    <row r="11" spans="1:7" ht="17.25" customHeight="1" x14ac:dyDescent="0.25">
      <c r="A11" s="2297" t="s">
        <v>1930</v>
      </c>
      <c r="B11" s="2298"/>
      <c r="C11" s="2298"/>
      <c r="D11" s="2298"/>
      <c r="E11" s="2298"/>
      <c r="F11" s="2298"/>
      <c r="G11" s="2299"/>
    </row>
    <row r="12" spans="1:7" ht="15" customHeight="1" x14ac:dyDescent="0.25">
      <c r="A12" s="1537" t="s">
        <v>1822</v>
      </c>
      <c r="B12" s="1538"/>
      <c r="C12" s="1538"/>
      <c r="D12" s="1538"/>
      <c r="E12" s="1538"/>
      <c r="F12" s="1538"/>
      <c r="G12" s="1539"/>
    </row>
    <row r="13" spans="1:7" ht="32.25" customHeight="1" x14ac:dyDescent="0.25">
      <c r="A13" s="2288" t="s">
        <v>1972</v>
      </c>
      <c r="B13" s="2289"/>
      <c r="C13" s="2289"/>
      <c r="D13" s="2289"/>
      <c r="E13" s="2289"/>
      <c r="F13" s="2289"/>
      <c r="G13" s="2290"/>
    </row>
    <row r="14" spans="1:7" x14ac:dyDescent="0.25">
      <c r="A14" s="1659" t="s">
        <v>1830</v>
      </c>
      <c r="B14" s="1660"/>
      <c r="C14" s="1660"/>
      <c r="D14" s="1660"/>
      <c r="E14" s="1660"/>
      <c r="F14" s="1660"/>
      <c r="G14" s="1661"/>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 t="shared" ref="E16:E32" si="0">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2122</v>
      </c>
      <c r="B17" s="1939" t="s">
        <v>2121</v>
      </c>
      <c r="C17" s="1938" t="s">
        <v>2117</v>
      </c>
      <c r="D17" s="1842">
        <v>45368</v>
      </c>
      <c r="E17" s="1540">
        <f t="shared" si="0"/>
        <v>25000</v>
      </c>
      <c r="F17" s="1930">
        <f t="shared" ref="F17:F26"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1">
        <f t="shared" ref="G17:G32" si="2">IF(F17=0,0,D17-F17)</f>
        <v>20368</v>
      </c>
      <c r="H17" s="1647"/>
    </row>
    <row r="18" spans="1:8" x14ac:dyDescent="0.25">
      <c r="A18" s="1947" t="s">
        <v>2125</v>
      </c>
      <c r="B18" s="1940" t="s">
        <v>2123</v>
      </c>
      <c r="C18" s="1938" t="s">
        <v>2118</v>
      </c>
      <c r="D18" s="1842">
        <v>104965</v>
      </c>
      <c r="E18" s="1540">
        <f t="shared" si="0"/>
        <v>25000</v>
      </c>
      <c r="F18" s="1930">
        <f t="shared" si="1"/>
        <v>25000</v>
      </c>
      <c r="G18" s="1791">
        <f t="shared" si="2"/>
        <v>79965</v>
      </c>
    </row>
    <row r="19" spans="1:8" x14ac:dyDescent="0.25">
      <c r="A19" s="1941" t="s">
        <v>2126</v>
      </c>
      <c r="B19" s="1940" t="s">
        <v>2124</v>
      </c>
      <c r="C19" s="1938" t="s">
        <v>2119</v>
      </c>
      <c r="D19" s="1842">
        <v>13095</v>
      </c>
      <c r="E19" s="1540">
        <f t="shared" si="0"/>
        <v>13095</v>
      </c>
      <c r="F19" s="1930">
        <f t="shared" si="1"/>
        <v>13095</v>
      </c>
      <c r="G19" s="1791">
        <f t="shared" si="2"/>
        <v>0</v>
      </c>
    </row>
    <row r="20" spans="1:8" x14ac:dyDescent="0.25">
      <c r="A20" s="1947" t="s">
        <v>2126</v>
      </c>
      <c r="B20" s="1940" t="s">
        <v>2124</v>
      </c>
      <c r="C20" s="1938" t="s">
        <v>2120</v>
      </c>
      <c r="D20" s="1842">
        <v>9970</v>
      </c>
      <c r="E20" s="1540">
        <f t="shared" si="0"/>
        <v>9970</v>
      </c>
      <c r="F20" s="1930">
        <f t="shared" si="1"/>
        <v>9970</v>
      </c>
      <c r="G20" s="1791">
        <f t="shared" si="2"/>
        <v>0</v>
      </c>
    </row>
    <row r="21" spans="1:8" x14ac:dyDescent="0.25">
      <c r="A21" s="1947" t="s">
        <v>2185</v>
      </c>
      <c r="B21" s="1944" t="s">
        <v>2179</v>
      </c>
      <c r="C21" s="1961" t="s">
        <v>2200</v>
      </c>
      <c r="D21" s="1842">
        <v>47757</v>
      </c>
      <c r="E21" s="1540">
        <f t="shared" si="0"/>
        <v>25000</v>
      </c>
      <c r="F21" s="1930">
        <f t="shared" si="1"/>
        <v>25000</v>
      </c>
      <c r="G21" s="1791">
        <f t="shared" si="2"/>
        <v>22757</v>
      </c>
    </row>
    <row r="22" spans="1:8" x14ac:dyDescent="0.25">
      <c r="A22" s="1947" t="s">
        <v>2185</v>
      </c>
      <c r="B22" s="1944" t="s">
        <v>2179</v>
      </c>
      <c r="C22" s="1945" t="s">
        <v>2180</v>
      </c>
      <c r="D22" s="1842">
        <v>3667</v>
      </c>
      <c r="E22" s="1540">
        <f t="shared" si="0"/>
        <v>3667</v>
      </c>
      <c r="F22" s="1930">
        <f t="shared" si="1"/>
        <v>3667</v>
      </c>
      <c r="G22" s="1791">
        <f t="shared" si="2"/>
        <v>0</v>
      </c>
    </row>
    <row r="23" spans="1:8" x14ac:dyDescent="0.25">
      <c r="A23" s="1947" t="s">
        <v>2186</v>
      </c>
      <c r="B23" s="1946" t="s">
        <v>2181</v>
      </c>
      <c r="C23" s="1945" t="s">
        <v>2182</v>
      </c>
      <c r="D23" s="1842">
        <v>11660</v>
      </c>
      <c r="E23" s="1540">
        <f t="shared" si="0"/>
        <v>11660</v>
      </c>
      <c r="F23" s="1930">
        <f t="shared" si="1"/>
        <v>11660</v>
      </c>
      <c r="G23" s="1791">
        <f t="shared" si="2"/>
        <v>0</v>
      </c>
    </row>
    <row r="24" spans="1:8" ht="16.5" customHeight="1" x14ac:dyDescent="0.25">
      <c r="A24" s="1947" t="s">
        <v>2187</v>
      </c>
      <c r="B24" s="1946" t="s">
        <v>2183</v>
      </c>
      <c r="C24" s="1945" t="s">
        <v>2184</v>
      </c>
      <c r="D24" s="1842">
        <v>125246</v>
      </c>
      <c r="E24" s="1540">
        <f t="shared" si="0"/>
        <v>25000</v>
      </c>
      <c r="F24" s="1930">
        <f t="shared" si="1"/>
        <v>25000</v>
      </c>
      <c r="G24" s="1791">
        <f t="shared" si="2"/>
        <v>100246</v>
      </c>
    </row>
    <row r="25" spans="1:8" x14ac:dyDescent="0.25">
      <c r="A25" s="1653"/>
      <c r="B25" s="1665"/>
      <c r="C25" s="1654"/>
      <c r="D25" s="1842"/>
      <c r="E25" s="1540">
        <f t="shared" si="0"/>
        <v>0</v>
      </c>
      <c r="F25" s="1930">
        <f t="shared" si="1"/>
        <v>0</v>
      </c>
      <c r="G25" s="1791">
        <f t="shared" si="2"/>
        <v>0</v>
      </c>
    </row>
    <row r="26" spans="1:8" x14ac:dyDescent="0.25">
      <c r="A26" s="1653"/>
      <c r="B26" s="1665"/>
      <c r="C26" s="1654"/>
      <c r="D26" s="1842"/>
      <c r="E26" s="1540">
        <f t="shared" si="0"/>
        <v>0</v>
      </c>
      <c r="F26" s="1930">
        <f t="shared" si="1"/>
        <v>0</v>
      </c>
      <c r="G26" s="1791">
        <f t="shared" si="2"/>
        <v>0</v>
      </c>
    </row>
    <row r="27" spans="1:8" x14ac:dyDescent="0.25">
      <c r="A27" s="1653"/>
      <c r="B27" s="1665"/>
      <c r="C27" s="1654"/>
      <c r="D27" s="1842"/>
      <c r="E27" s="1540">
        <f t="shared" si="0"/>
        <v>0</v>
      </c>
      <c r="F27" s="1930">
        <f t="shared" ref="F27:F39" si="3">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27,0)</f>
        <v>0</v>
      </c>
      <c r="G27" s="1791">
        <f t="shared" si="2"/>
        <v>0</v>
      </c>
    </row>
    <row r="28" spans="1:8" x14ac:dyDescent="0.25">
      <c r="A28" s="1653"/>
      <c r="B28" s="1665"/>
      <c r="C28" s="1654"/>
      <c r="D28" s="1842"/>
      <c r="E28" s="1540">
        <f t="shared" si="0"/>
        <v>0</v>
      </c>
      <c r="F28" s="1930">
        <f t="shared" si="3"/>
        <v>0</v>
      </c>
      <c r="G28" s="1791">
        <f t="shared" si="2"/>
        <v>0</v>
      </c>
    </row>
    <row r="29" spans="1:8" x14ac:dyDescent="0.25">
      <c r="A29" s="1653"/>
      <c r="B29" s="1665"/>
      <c r="C29" s="1654"/>
      <c r="D29" s="1842"/>
      <c r="E29" s="1540">
        <f t="shared" si="0"/>
        <v>0</v>
      </c>
      <c r="F29" s="1930">
        <f t="shared" si="3"/>
        <v>0</v>
      </c>
      <c r="G29" s="1791">
        <f t="shared" si="2"/>
        <v>0</v>
      </c>
    </row>
    <row r="30" spans="1:8" x14ac:dyDescent="0.25">
      <c r="A30" s="1653"/>
      <c r="B30" s="1665"/>
      <c r="C30" s="1654"/>
      <c r="D30" s="1842"/>
      <c r="E30" s="1540">
        <f t="shared" si="0"/>
        <v>0</v>
      </c>
      <c r="F30" s="1930">
        <f t="shared" si="3"/>
        <v>0</v>
      </c>
      <c r="G30" s="1791">
        <f t="shared" si="2"/>
        <v>0</v>
      </c>
    </row>
    <row r="31" spans="1:8" x14ac:dyDescent="0.25">
      <c r="A31" s="1653"/>
      <c r="B31" s="1665"/>
      <c r="C31" s="1654"/>
      <c r="D31" s="1842"/>
      <c r="E31" s="1540">
        <f t="shared" si="0"/>
        <v>0</v>
      </c>
      <c r="F31" s="1930">
        <f t="shared" si="3"/>
        <v>0</v>
      </c>
      <c r="G31" s="1791">
        <f t="shared" si="2"/>
        <v>0</v>
      </c>
    </row>
    <row r="32" spans="1:8" x14ac:dyDescent="0.25">
      <c r="A32" s="1653"/>
      <c r="B32" s="1665"/>
      <c r="C32" s="1654"/>
      <c r="D32" s="1842"/>
      <c r="E32" s="1540">
        <f t="shared" si="0"/>
        <v>0</v>
      </c>
      <c r="F32" s="1930">
        <f t="shared" si="3"/>
        <v>0</v>
      </c>
      <c r="G32" s="1791">
        <f t="shared" si="2"/>
        <v>0</v>
      </c>
    </row>
    <row r="33" spans="1:7" x14ac:dyDescent="0.25">
      <c r="A33" s="1653"/>
      <c r="B33" s="1665"/>
      <c r="C33" s="1654"/>
      <c r="D33" s="1842"/>
      <c r="E33" s="1540">
        <f t="shared" ref="E33:E38" si="4">IF(D33&lt;=25000,D33,IF(D33&gt;25000,25000,0))</f>
        <v>0</v>
      </c>
      <c r="F33" s="1930">
        <f t="shared" si="3"/>
        <v>0</v>
      </c>
      <c r="G33" s="1791">
        <f t="shared" ref="G33:G38" si="5">IF(F33=0,0,D33-F33)</f>
        <v>0</v>
      </c>
    </row>
    <row r="34" spans="1:7" x14ac:dyDescent="0.25">
      <c r="A34" s="1653"/>
      <c r="B34" s="1665"/>
      <c r="C34" s="1654"/>
      <c r="D34" s="1842"/>
      <c r="E34" s="1540">
        <f t="shared" si="4"/>
        <v>0</v>
      </c>
      <c r="F34" s="1930">
        <f t="shared" si="3"/>
        <v>0</v>
      </c>
      <c r="G34" s="1791">
        <f t="shared" si="5"/>
        <v>0</v>
      </c>
    </row>
    <row r="35" spans="1:7" x14ac:dyDescent="0.25">
      <c r="A35" s="1653"/>
      <c r="B35" s="1665"/>
      <c r="C35" s="1654"/>
      <c r="D35" s="1842"/>
      <c r="E35" s="1540">
        <f t="shared" si="4"/>
        <v>0</v>
      </c>
      <c r="F35" s="1930">
        <f t="shared" si="3"/>
        <v>0</v>
      </c>
      <c r="G35" s="1791">
        <f t="shared" si="5"/>
        <v>0</v>
      </c>
    </row>
    <row r="36" spans="1:7" x14ac:dyDescent="0.25">
      <c r="A36" s="1653"/>
      <c r="B36" s="1665"/>
      <c r="C36" s="1654"/>
      <c r="D36" s="1842"/>
      <c r="E36" s="1540">
        <f t="shared" si="4"/>
        <v>0</v>
      </c>
      <c r="F36" s="1930">
        <f t="shared" si="3"/>
        <v>0</v>
      </c>
      <c r="G36" s="1791">
        <f t="shared" si="5"/>
        <v>0</v>
      </c>
    </row>
    <row r="37" spans="1:7" x14ac:dyDescent="0.25">
      <c r="A37" s="1653"/>
      <c r="B37" s="1835"/>
      <c r="C37" s="1654"/>
      <c r="D37" s="1842"/>
      <c r="E37" s="1540">
        <f t="shared" si="4"/>
        <v>0</v>
      </c>
      <c r="F37" s="1930">
        <f t="shared" si="3"/>
        <v>0</v>
      </c>
      <c r="G37" s="1791">
        <f t="shared" si="5"/>
        <v>0</v>
      </c>
    </row>
    <row r="38" spans="1:7" x14ac:dyDescent="0.25">
      <c r="A38" s="1653"/>
      <c r="B38" s="1835"/>
      <c r="C38" s="1654"/>
      <c r="D38" s="1842"/>
      <c r="E38" s="1540">
        <f t="shared" si="4"/>
        <v>0</v>
      </c>
      <c r="F38" s="1930">
        <f t="shared" si="3"/>
        <v>0</v>
      </c>
      <c r="G38" s="1791">
        <f t="shared" si="5"/>
        <v>0</v>
      </c>
    </row>
    <row r="39" spans="1:7" x14ac:dyDescent="0.25">
      <c r="A39" s="1653"/>
      <c r="B39" s="1664"/>
      <c r="C39" s="1654"/>
      <c r="D39" s="1842"/>
      <c r="E39" s="1540">
        <f>IF(D39&lt;=25000,D39,IF(D39&gt;25000,25000,0))</f>
        <v>0</v>
      </c>
      <c r="F39" s="1930">
        <f t="shared" si="3"/>
        <v>0</v>
      </c>
      <c r="G39" s="1791">
        <f>IF(F39=0,0,D39-F39)</f>
        <v>0</v>
      </c>
    </row>
    <row r="40" spans="1:7" x14ac:dyDescent="0.25">
      <c r="A40" s="1794" t="s">
        <v>156</v>
      </c>
      <c r="B40" s="1795"/>
      <c r="C40" s="1796"/>
      <c r="D40" s="1792">
        <f>SUM(D17:D39)</f>
        <v>361728</v>
      </c>
      <c r="E40" s="1541">
        <f>IF(D40&lt;=25000,D40,IF(D40&gt;25000,25000,0))</f>
        <v>25000</v>
      </c>
      <c r="F40" s="1931">
        <f>SUM(F17:F39)</f>
        <v>138392</v>
      </c>
      <c r="G40" s="1793">
        <f>SUM(G17:G39)</f>
        <v>223336</v>
      </c>
    </row>
  </sheetData>
  <sheetProtection selectLockedCells="1"/>
  <mergeCells count="6">
    <mergeCell ref="A13:G13"/>
    <mergeCell ref="A4:G5"/>
    <mergeCell ref="A11:G11"/>
    <mergeCell ref="A7:G7"/>
    <mergeCell ref="A8:G8"/>
    <mergeCell ref="A9:G9"/>
  </mergeCells>
  <pageMargins left="0.2" right="0.2" top="0.5" bottom="0.25" header="0.3" footer="0.3"/>
  <pageSetup scale="80"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I46"/>
  <sheetViews>
    <sheetView showGridLines="0" defaultGridColor="0" colorId="8" zoomScale="110" zoomScaleNormal="110" workbookViewId="0">
      <selection activeCell="B7" sqref="B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3" t="s">
        <v>1679</v>
      </c>
      <c r="B5" s="2304"/>
      <c r="C5" s="2304"/>
      <c r="D5" s="2304"/>
      <c r="E5" s="2304"/>
      <c r="F5" s="2304"/>
      <c r="G5" s="230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213360</v>
      </c>
      <c r="F10" s="974"/>
      <c r="G10" s="975"/>
      <c r="H10" s="162"/>
      <c r="I10" s="162"/>
    </row>
    <row r="11" spans="1:9" s="668" customFormat="1" ht="22.5" customHeight="1" x14ac:dyDescent="0.2">
      <c r="A11" s="2308" t="s">
        <v>1973</v>
      </c>
      <c r="B11" s="2309"/>
      <c r="C11" s="2309"/>
      <c r="D11" s="2310"/>
      <c r="E11" s="977">
        <v>30699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6122632</v>
      </c>
      <c r="F19" s="1797"/>
      <c r="G19" s="1799">
        <f>'Expenditures 15-22'!K33-SUM('Expenditures 15-22'!G33,'Expenditures 15-22'!I33)+'Expenditures 15-22'!D229</f>
        <v>6122632</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341358</v>
      </c>
      <c r="F21" s="1800"/>
      <c r="G21" s="1803">
        <f>'Expenditures 15-22'!K42-SUM('Expenditures 15-22'!G42,'Expenditures 15-22'!I42)+'Expenditures 15-22'!K120-SUM('Expenditures 15-22'!G120,'Expenditures 15-22'!I120)+'Expenditures 15-22'!K180-SUM('Expenditures 15-22'!G180,'Expenditures 15-22'!I180)+'Expenditures 15-22'!D238</f>
        <v>341358</v>
      </c>
      <c r="H21" s="987"/>
      <c r="I21" s="162"/>
    </row>
    <row r="22" spans="1:9" s="668" customFormat="1" ht="12" customHeight="1" x14ac:dyDescent="0.2">
      <c r="A22" s="994" t="s">
        <v>564</v>
      </c>
      <c r="B22" s="995"/>
      <c r="C22" s="993">
        <v>2200</v>
      </c>
      <c r="D22" s="1800"/>
      <c r="E22" s="1802">
        <f>'Expenditures 15-22'!K47-SUM('Expenditures 15-22'!G47,'Expenditures 15-22'!I47)+'Expenditures 15-22'!D243</f>
        <v>193693</v>
      </c>
      <c r="F22" s="1800"/>
      <c r="G22" s="1803">
        <f>'Expenditures 15-22'!K47-SUM('Expenditures 15-22'!G47,'Expenditures 15-22'!I47)+'Expenditures 15-22'!D243</f>
        <v>193693</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575940</v>
      </c>
      <c r="F23" s="1800"/>
      <c r="G23" s="1802">
        <f>'Expenditures 15-22'!K53-SUM('Expenditures 15-22'!G53,'Expenditures 15-22'!I53)+'Expenditures 15-22'!D257+'Expenditures 15-22'!K330-SUM('Expenditures 15-22'!G330,'Expenditures 15-22'!I330)</f>
        <v>575940</v>
      </c>
      <c r="H23" s="987"/>
      <c r="I23" s="162"/>
    </row>
    <row r="24" spans="1:9" s="668" customFormat="1" ht="12" customHeight="1" x14ac:dyDescent="0.2">
      <c r="A24" s="994" t="s">
        <v>566</v>
      </c>
      <c r="B24" s="995"/>
      <c r="C24" s="993">
        <v>2400</v>
      </c>
      <c r="D24" s="1800"/>
      <c r="E24" s="1802">
        <f>'Expenditures 15-22'!K57-SUM('Expenditures 15-22'!G57,'Expenditures 15-22'!I57)+'Expenditures 15-22'!D261</f>
        <v>744259</v>
      </c>
      <c r="F24" s="1800"/>
      <c r="G24" s="1803">
        <f>'Expenditures 15-22'!K57-SUM('Expenditures 15-22'!G57,'Expenditures 15-22'!I57)+'Expenditures 15-22'!D261</f>
        <v>744259</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193081</v>
      </c>
      <c r="E27" s="1802">
        <f>E8</f>
        <v>0</v>
      </c>
      <c r="F27" s="1802">
        <f>'Expenditures 15-22'!K60-SUM('Expenditures 15-22'!G60,'Expenditures 15-22'!I60)+'Expenditures 15-22'!D264-E8</f>
        <v>193081</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1298153</v>
      </c>
      <c r="F28" s="1804">
        <f>'Expenditures 15-22'!K61-SUM('Expenditures 15-22'!G61,'Expenditures 15-22'!I61)+'Expenditures 15-22'!K124-SUM('Expenditures 15-22'!G124,'Expenditures 15-22'!I124)+'Expenditures 15-22'!D266-E9</f>
        <v>1298153</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829213</v>
      </c>
      <c r="F29" s="1800"/>
      <c r="G29" s="1803">
        <f>'Expenditures 15-22'!K62-SUM('Expenditures 15-22'!G62,'Expenditures 15-22'!I62)+'Expenditures 15-22'!K125-SUM('Expenditures 15-22'!G125,'Expenditures 15-22'!I125)+'Expenditures 15-22'!K182-SUM('Expenditures 15-22'!G182,'Expenditures 15-22'!I182)+'Expenditures 15-22'!D267</f>
        <v>829213</v>
      </c>
      <c r="H29" s="985"/>
    </row>
    <row r="30" spans="1:9" ht="12" customHeight="1" x14ac:dyDescent="0.2">
      <c r="A30" s="994" t="s">
        <v>100</v>
      </c>
      <c r="B30" s="997"/>
      <c r="C30" s="993">
        <v>2560</v>
      </c>
      <c r="D30" s="1800"/>
      <c r="E30" s="1802">
        <f>'Expenditures 15-22'!K63-SUM('Expenditures 15-22'!G63,'Expenditures 15-22'!I63)+'Expenditures 15-22'!D268-E10</f>
        <v>320115</v>
      </c>
      <c r="F30" s="1800"/>
      <c r="G30" s="1802">
        <f>'Expenditures 15-22'!K63-SUM('Expenditures 15-22'!G63,'Expenditures 15-22'!I63)+'Expenditures 15-22'!D268-E10</f>
        <v>320115</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237583</v>
      </c>
      <c r="E37" s="1802">
        <f>E14</f>
        <v>0</v>
      </c>
      <c r="F37" s="1802">
        <f>'Expenditures 15-22'!K71-SUM('Expenditures 15-22'!G71,'Expenditures 15-22'!I71)+'Expenditures 15-22'!D276-E14</f>
        <v>237583</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0"/>
      <c r="E40" s="1804">
        <f>-'Contracts Paid in CY 29'!G40</f>
        <v>-223336</v>
      </c>
      <c r="F40" s="1800"/>
      <c r="G40" s="1804">
        <f>-'Contracts Paid in CY 29'!G40</f>
        <v>-223336</v>
      </c>
    </row>
    <row r="41" spans="1:7" ht="12" customHeight="1" x14ac:dyDescent="0.2">
      <c r="A41" s="998" t="s">
        <v>156</v>
      </c>
      <c r="B41" s="999"/>
      <c r="C41" s="1000"/>
      <c r="D41" s="1804">
        <f>SUM(D19:D39)</f>
        <v>430664</v>
      </c>
      <c r="E41" s="1804">
        <f>SUM(E19:E40)</f>
        <v>10202027</v>
      </c>
      <c r="F41" s="1804">
        <f>SUM(F19:F39)</f>
        <v>1728817</v>
      </c>
      <c r="G41" s="1804">
        <f>SUM(G19:G40)</f>
        <v>8903874</v>
      </c>
    </row>
    <row r="42" spans="1:7" x14ac:dyDescent="0.2">
      <c r="A42" s="987"/>
      <c r="B42" s="162"/>
      <c r="C42" s="1001"/>
      <c r="D42" s="2306" t="s">
        <v>522</v>
      </c>
      <c r="E42" s="2307"/>
      <c r="F42" s="1002" t="s">
        <v>523</v>
      </c>
      <c r="G42" s="1003"/>
    </row>
    <row r="43" spans="1:7" ht="12" customHeight="1" x14ac:dyDescent="0.2">
      <c r="A43" s="987"/>
      <c r="B43" s="162"/>
      <c r="C43" s="1001"/>
      <c r="D43" s="1805" t="s">
        <v>473</v>
      </c>
      <c r="E43" s="1806">
        <f>D41</f>
        <v>430664</v>
      </c>
      <c r="F43" s="1805" t="s">
        <v>473</v>
      </c>
      <c r="G43" s="1806">
        <f>F41</f>
        <v>1728817</v>
      </c>
    </row>
    <row r="44" spans="1:7" ht="12" customHeight="1" x14ac:dyDescent="0.2">
      <c r="A44" s="987"/>
      <c r="B44" s="162"/>
      <c r="C44" s="1001"/>
      <c r="D44" s="1805" t="s">
        <v>474</v>
      </c>
      <c r="E44" s="1806">
        <f>E41</f>
        <v>10202027</v>
      </c>
      <c r="F44" s="1805" t="s">
        <v>474</v>
      </c>
      <c r="G44" s="1806">
        <f>G41</f>
        <v>8903874</v>
      </c>
    </row>
    <row r="45" spans="1:7" ht="12" customHeight="1" x14ac:dyDescent="0.2">
      <c r="A45" s="987"/>
      <c r="B45" s="162"/>
      <c r="C45" s="162"/>
      <c r="D45" s="1807" t="s">
        <v>1006</v>
      </c>
      <c r="E45" s="1808">
        <f>(E43/E44)</f>
        <v>4.2213571871550622E-2</v>
      </c>
      <c r="F45" s="1807" t="s">
        <v>1006</v>
      </c>
      <c r="G45" s="1808">
        <f>(G43/G44)</f>
        <v>0.19416458498851175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20" activePane="bottomLeft" state="frozen"/>
      <selection activeCell="B7" sqref="B7"/>
      <selection pane="bottomLeft" activeCell="B7" sqref="B7"/>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14" t="s">
        <v>1379</v>
      </c>
      <c r="B1" s="2314"/>
      <c r="C1" s="2314"/>
      <c r="D1" s="2314"/>
      <c r="E1" s="2314"/>
      <c r="F1" s="2314"/>
    </row>
    <row r="2" spans="1:10" x14ac:dyDescent="0.2">
      <c r="A2" s="1885" t="s">
        <v>1908</v>
      </c>
      <c r="B2" s="1846"/>
      <c r="C2" s="1885"/>
      <c r="D2" s="1846"/>
      <c r="E2" s="1846"/>
      <c r="F2" s="1847"/>
    </row>
    <row r="3" spans="1:10" x14ac:dyDescent="0.2">
      <c r="A3" s="1885" t="s">
        <v>1974</v>
      </c>
      <c r="B3" s="1846"/>
      <c r="C3" s="1885"/>
      <c r="D3" s="1846"/>
      <c r="E3" s="1846"/>
      <c r="F3" s="1847"/>
    </row>
    <row r="4" spans="1:10" ht="3.75" customHeight="1" x14ac:dyDescent="0.2">
      <c r="A4" s="1846"/>
      <c r="B4" s="1846"/>
      <c r="C4" s="1846"/>
      <c r="D4" s="1846"/>
      <c r="E4" s="1846"/>
      <c r="F4" s="1847"/>
    </row>
    <row r="5" spans="1:10" ht="15" x14ac:dyDescent="0.25">
      <c r="A5" s="2315" t="s">
        <v>1546</v>
      </c>
      <c r="B5" s="2316"/>
      <c r="C5" s="2317"/>
      <c r="D5" s="2317"/>
      <c r="E5" s="2317"/>
      <c r="F5" s="2317"/>
    </row>
    <row r="6" spans="1:10" ht="12" customHeight="1" x14ac:dyDescent="0.25">
      <c r="A6" s="1848"/>
      <c r="B6" s="1849"/>
      <c r="C6" s="2318" t="str">
        <f>COVER!A17</f>
        <v>Fieldcrest CUSD 6</v>
      </c>
      <c r="D6" s="2318"/>
      <c r="E6" s="2318"/>
      <c r="F6" s="1850"/>
    </row>
    <row r="7" spans="1:10" ht="11.25" customHeight="1" thickBot="1" x14ac:dyDescent="0.3">
      <c r="A7" s="1848"/>
      <c r="B7" s="1849"/>
      <c r="C7" s="2319">
        <f>COVER!A13</f>
        <v>53102006026</v>
      </c>
      <c r="D7" s="2319"/>
      <c r="E7" s="2319"/>
      <c r="F7" s="1850"/>
    </row>
    <row r="8" spans="1:10" ht="25.5" customHeight="1" thickBot="1" x14ac:dyDescent="0.25">
      <c r="A8" s="1891" t="s">
        <v>1904</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t="s">
        <v>2069</v>
      </c>
      <c r="D16" s="1863" t="s">
        <v>2069</v>
      </c>
      <c r="E16" s="1866"/>
      <c r="F16" s="1865" t="s">
        <v>2084</v>
      </c>
      <c r="H16" s="1876">
        <f t="shared" si="0"/>
        <v>5</v>
      </c>
      <c r="I16" s="1876">
        <f t="shared" si="1"/>
        <v>5</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2069</v>
      </c>
      <c r="D26" s="1863" t="s">
        <v>2069</v>
      </c>
      <c r="E26" s="1866"/>
      <c r="F26" s="1865" t="s">
        <v>2085</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2069</v>
      </c>
      <c r="D28" s="1863" t="s">
        <v>2069</v>
      </c>
      <c r="E28" s="1866"/>
      <c r="F28" s="1865" t="s">
        <v>2086</v>
      </c>
      <c r="H28" s="1876">
        <f t="shared" si="0"/>
        <v>5</v>
      </c>
      <c r="I28" s="1876">
        <f t="shared" si="1"/>
        <v>5</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t="s">
        <v>2069</v>
      </c>
      <c r="D30" s="1863" t="s">
        <v>2069</v>
      </c>
      <c r="E30" s="1866"/>
      <c r="F30" s="1865" t="s">
        <v>2087</v>
      </c>
      <c r="H30" s="1876">
        <f t="shared" si="0"/>
        <v>5</v>
      </c>
      <c r="I30" s="1876">
        <f t="shared" si="1"/>
        <v>5</v>
      </c>
      <c r="J30" s="1876">
        <f t="shared" si="2"/>
        <v>0</v>
      </c>
    </row>
    <row r="31" spans="1:12" ht="12" customHeight="1" x14ac:dyDescent="0.2">
      <c r="A31" s="1861" t="s">
        <v>1539</v>
      </c>
      <c r="B31" s="1862"/>
      <c r="C31" s="1863" t="s">
        <v>2069</v>
      </c>
      <c r="D31" s="1863" t="s">
        <v>2069</v>
      </c>
      <c r="E31" s="1866"/>
      <c r="F31" s="1865" t="s">
        <v>2088</v>
      </c>
      <c r="H31" s="1876">
        <f t="shared" si="0"/>
        <v>5</v>
      </c>
      <c r="I31" s="1876">
        <f t="shared" si="1"/>
        <v>5</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t="s">
        <v>2069</v>
      </c>
      <c r="D33" s="1863" t="s">
        <v>2069</v>
      </c>
      <c r="E33" s="1866"/>
      <c r="F33" s="1865" t="s">
        <v>2089</v>
      </c>
      <c r="H33" s="1876">
        <f t="shared" si="0"/>
        <v>5</v>
      </c>
      <c r="I33" s="1876">
        <f t="shared" si="1"/>
        <v>5</v>
      </c>
      <c r="J33" s="1876">
        <f t="shared" si="2"/>
        <v>0</v>
      </c>
    </row>
    <row r="34" spans="1:11" ht="12" customHeight="1" x14ac:dyDescent="0.25">
      <c r="A34" s="1868"/>
      <c r="B34" s="1868"/>
      <c r="C34" s="1868"/>
      <c r="D34" s="1868"/>
      <c r="E34" s="1868"/>
      <c r="F34" s="1868"/>
      <c r="H34" s="1876">
        <f>SUM(H11:H32)</f>
        <v>25</v>
      </c>
      <c r="I34" s="1876">
        <f>SUM(I11:I32)</f>
        <v>25</v>
      </c>
      <c r="J34" s="1876">
        <f>SUM(J11:J32)</f>
        <v>0</v>
      </c>
      <c r="K34" s="1876">
        <f>SUM(H34:J34)</f>
        <v>50</v>
      </c>
    </row>
    <row r="35" spans="1:11" ht="12" customHeight="1" x14ac:dyDescent="0.2">
      <c r="A35" s="1869" t="s">
        <v>1392</v>
      </c>
      <c r="B35" s="1870"/>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71"/>
      <c r="B39" s="1871"/>
      <c r="C39" s="1871"/>
      <c r="D39" s="1871"/>
      <c r="E39" s="1871"/>
      <c r="F39" s="1871"/>
    </row>
    <row r="40" spans="1:11" s="1868" customFormat="1" ht="12" customHeight="1" x14ac:dyDescent="0.25">
      <c r="A40" s="1872" t="s">
        <v>1391</v>
      </c>
      <c r="B40" s="1873"/>
      <c r="C40" s="2328"/>
      <c r="D40" s="2328"/>
      <c r="E40" s="2328"/>
      <c r="F40" s="2329"/>
      <c r="H40" s="1877"/>
      <c r="I40" s="1877"/>
      <c r="J40" s="1877"/>
      <c r="K40" s="1877"/>
    </row>
    <row r="41" spans="1:11" s="1868" customFormat="1" ht="12" customHeight="1" x14ac:dyDescent="0.25">
      <c r="A41" s="2330"/>
      <c r="B41" s="2331"/>
      <c r="C41" s="2331"/>
      <c r="D41" s="2331"/>
      <c r="E41" s="2331"/>
      <c r="F41" s="2332"/>
      <c r="H41" s="1877"/>
      <c r="I41" s="1877"/>
      <c r="J41" s="1877"/>
      <c r="K41" s="1877"/>
    </row>
    <row r="42" spans="1:11" s="1868" customFormat="1" ht="12" customHeight="1" x14ac:dyDescent="0.25">
      <c r="A42" s="2330"/>
      <c r="B42" s="2331"/>
      <c r="C42" s="2331"/>
      <c r="D42" s="2331"/>
      <c r="E42" s="2331"/>
      <c r="F42" s="2332"/>
      <c r="H42" s="1877"/>
      <c r="I42" s="1877"/>
      <c r="J42" s="1877"/>
      <c r="K42" s="1877"/>
    </row>
    <row r="43" spans="1:11" s="1868" customFormat="1" ht="15" x14ac:dyDescent="0.25">
      <c r="A43" s="2322"/>
      <c r="B43" s="2323"/>
      <c r="C43" s="2323"/>
      <c r="D43" s="2323"/>
      <c r="E43" s="2323"/>
      <c r="F43" s="2324"/>
      <c r="H43" s="1877"/>
      <c r="I43" s="1877"/>
      <c r="J43" s="1877"/>
      <c r="K43" s="1877"/>
    </row>
    <row r="44" spans="1:11" s="1868" customFormat="1" ht="12" hidden="1" customHeight="1" x14ac:dyDescent="0.25">
      <c r="A44" s="2322"/>
      <c r="B44" s="2323"/>
      <c r="C44" s="2323"/>
      <c r="D44" s="2323"/>
      <c r="E44" s="2323"/>
      <c r="F44" s="232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6" colorId="8" zoomScale="110" zoomScaleNormal="110" workbookViewId="0">
      <selection activeCell="A7" sqref="A7:E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38" t="str">
        <f>COVER!A17</f>
        <v>Fieldcrest CUSD 6</v>
      </c>
      <c r="J6" s="2339"/>
      <c r="Q6" s="1662"/>
    </row>
    <row r="7" spans="1:17" x14ac:dyDescent="0.2">
      <c r="A7" s="2340" t="s">
        <v>869</v>
      </c>
      <c r="B7" s="2341"/>
      <c r="C7" s="2341"/>
      <c r="D7" s="2341"/>
      <c r="E7" s="2342"/>
      <c r="F7" s="1017"/>
      <c r="G7" s="1009"/>
      <c r="H7" s="1016" t="s">
        <v>372</v>
      </c>
      <c r="I7" s="2343">
        <f>COVER!A13</f>
        <v>53102006026</v>
      </c>
      <c r="J7" s="234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1975</v>
      </c>
      <c r="F9" s="1023"/>
      <c r="G9" s="1023"/>
      <c r="H9" s="1894"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4" t="s">
        <v>481</v>
      </c>
      <c r="B11" s="2345"/>
      <c r="C11" s="234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165967</v>
      </c>
      <c r="F12" s="1039"/>
      <c r="G12" s="1809">
        <f t="shared" ref="G12:G18" si="0">SUM(E12:F12)</f>
        <v>165967</v>
      </c>
      <c r="H12" s="1040">
        <v>225295</v>
      </c>
      <c r="I12" s="1039"/>
      <c r="J12" s="1809">
        <f t="shared" ref="J12:J18" si="1">SUM(H12:I12)</f>
        <v>225295</v>
      </c>
    </row>
    <row r="13" spans="1:17" ht="15" customHeight="1" x14ac:dyDescent="0.2">
      <c r="A13" s="1035">
        <v>2</v>
      </c>
      <c r="B13" s="1036" t="s">
        <v>42</v>
      </c>
      <c r="C13" s="1037"/>
      <c r="D13" s="1038">
        <v>2330</v>
      </c>
      <c r="E13" s="1809">
        <f>'Expenditures 15-22'!K51</f>
        <v>308</v>
      </c>
      <c r="F13" s="1039"/>
      <c r="G13" s="1809">
        <f t="shared" si="0"/>
        <v>308</v>
      </c>
      <c r="H13" s="1040">
        <v>600</v>
      </c>
      <c r="I13" s="1039"/>
      <c r="J13" s="1809">
        <f t="shared" si="1"/>
        <v>600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47" t="s">
        <v>7</v>
      </c>
      <c r="C18" s="2348"/>
      <c r="D18" s="2349"/>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166275</v>
      </c>
      <c r="F19" s="1811">
        <f t="shared" si="2"/>
        <v>0</v>
      </c>
      <c r="G19" s="1811">
        <f t="shared" si="2"/>
        <v>166275</v>
      </c>
      <c r="H19" s="1811">
        <f t="shared" si="2"/>
        <v>225895</v>
      </c>
      <c r="I19" s="1811">
        <f t="shared" si="2"/>
        <v>0</v>
      </c>
      <c r="J19" s="1811">
        <f t="shared" si="2"/>
        <v>225895</v>
      </c>
    </row>
    <row r="20" spans="1:10" ht="13.5" thickTop="1" x14ac:dyDescent="0.2">
      <c r="A20" s="1035">
        <v>9</v>
      </c>
      <c r="B20" s="2350" t="s">
        <v>1977</v>
      </c>
      <c r="C20" s="2350"/>
      <c r="D20" s="2351"/>
      <c r="E20" s="1046"/>
      <c r="F20" s="1046"/>
      <c r="G20" s="1046"/>
      <c r="H20" s="1046"/>
      <c r="I20" s="1046"/>
      <c r="J20" s="1812">
        <f>IF(AND(G19&gt;0,J19&gt;0),(((J19-G19)/G19)),"Enter Budget Data")</f>
        <v>0.3585626221620809</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1033</v>
      </c>
      <c r="D27" s="1052"/>
      <c r="E27" s="1053"/>
      <c r="F27" s="2352" t="s">
        <v>1509</v>
      </c>
      <c r="G27" s="2352"/>
    </row>
    <row r="28" spans="1:10" ht="28.5" customHeight="1" x14ac:dyDescent="0.2">
      <c r="B28" s="1047"/>
      <c r="C28" s="2354"/>
      <c r="D28" s="2354"/>
      <c r="E28" s="1054"/>
      <c r="F28" s="2354"/>
      <c r="G28" s="2354"/>
    </row>
    <row r="29" spans="1:10" x14ac:dyDescent="0.2">
      <c r="B29" s="1047"/>
      <c r="C29" s="1055" t="s">
        <v>1561</v>
      </c>
      <c r="E29" s="1056"/>
      <c r="F29" s="2353" t="s">
        <v>1510</v>
      </c>
      <c r="G29" s="235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5" t="s">
        <v>132</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t="s">
        <v>2069</v>
      </c>
      <c r="C36" s="2337" t="s">
        <v>1979</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882</v>
      </c>
      <c r="D39" s="2334"/>
      <c r="E39" s="2334"/>
      <c r="F39" s="2334"/>
      <c r="G39" s="2334"/>
      <c r="H39" s="2334"/>
      <c r="I39" s="233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4"/>
  <sheetViews>
    <sheetView showGridLines="0" topLeftCell="A34" zoomScale="110" zoomScaleNormal="110" workbookViewId="0">
      <selection activeCell="B52" sqref="B52"/>
    </sheetView>
  </sheetViews>
  <sheetFormatPr defaultRowHeight="12.75" x14ac:dyDescent="0.2"/>
  <cols>
    <col min="1" max="1" width="7.85546875" style="329" customWidth="1"/>
    <col min="2" max="2" width="72.7109375" style="329" customWidth="1"/>
    <col min="3" max="3" width="10.7109375" style="329" customWidth="1"/>
    <col min="4" max="4" width="12.85546875" style="329" customWidth="1"/>
    <col min="5" max="16384" width="9.140625" style="329"/>
  </cols>
  <sheetData>
    <row r="2" spans="1:4" x14ac:dyDescent="0.2">
      <c r="A2" s="389" t="s">
        <v>258</v>
      </c>
    </row>
    <row r="3" spans="1:4" x14ac:dyDescent="0.2">
      <c r="A3" s="329" t="s">
        <v>259</v>
      </c>
    </row>
    <row r="5" spans="1:4" x14ac:dyDescent="0.2">
      <c r="A5" s="1068"/>
    </row>
    <row r="6" spans="1:4" x14ac:dyDescent="0.2">
      <c r="A6" s="1068"/>
    </row>
    <row r="7" spans="1:4" x14ac:dyDescent="0.2">
      <c r="A7" s="1068"/>
    </row>
    <row r="8" spans="1:4" x14ac:dyDescent="0.2">
      <c r="A8" s="1069" t="s">
        <v>2090</v>
      </c>
      <c r="B8" s="329" t="s">
        <v>2091</v>
      </c>
    </row>
    <row r="9" spans="1:4" x14ac:dyDescent="0.2">
      <c r="A9" s="1069"/>
      <c r="B9" s="1936" t="s">
        <v>2092</v>
      </c>
      <c r="C9" s="1934">
        <v>463</v>
      </c>
    </row>
    <row r="10" spans="1:4" x14ac:dyDescent="0.2">
      <c r="A10" s="1069"/>
      <c r="C10" s="1934"/>
    </row>
    <row r="11" spans="1:4" x14ac:dyDescent="0.2">
      <c r="A11" s="1069"/>
      <c r="B11" s="329" t="s">
        <v>2093</v>
      </c>
      <c r="C11" s="1934"/>
      <c r="D11" s="1934"/>
    </row>
    <row r="12" spans="1:4" x14ac:dyDescent="0.2">
      <c r="A12" s="1069"/>
      <c r="B12" s="1936" t="s">
        <v>2135</v>
      </c>
      <c r="C12" s="1934">
        <v>30</v>
      </c>
      <c r="D12" s="1934"/>
    </row>
    <row r="13" spans="1:4" x14ac:dyDescent="0.2">
      <c r="A13" s="1069"/>
      <c r="B13" s="1936" t="s">
        <v>2094</v>
      </c>
      <c r="C13" s="1935">
        <v>29303</v>
      </c>
    </row>
    <row r="14" spans="1:4" ht="13.5" thickBot="1" x14ac:dyDescent="0.25">
      <c r="A14" s="1069"/>
      <c r="C14" s="1937">
        <f>SUM(C12:C13)</f>
        <v>29333</v>
      </c>
    </row>
    <row r="15" spans="1:4" ht="13.5" thickTop="1" x14ac:dyDescent="0.2">
      <c r="A15" s="1069"/>
      <c r="B15" s="329" t="s">
        <v>2095</v>
      </c>
      <c r="C15" s="1934"/>
    </row>
    <row r="16" spans="1:4" x14ac:dyDescent="0.2">
      <c r="A16" s="1069"/>
      <c r="B16" s="1936" t="s">
        <v>2096</v>
      </c>
      <c r="C16" s="1934">
        <v>5529</v>
      </c>
    </row>
    <row r="17" spans="1:4" x14ac:dyDescent="0.2">
      <c r="A17" s="1069"/>
      <c r="C17" s="1934"/>
    </row>
    <row r="18" spans="1:4" x14ac:dyDescent="0.2">
      <c r="A18" s="1069" t="s">
        <v>2097</v>
      </c>
      <c r="B18" s="329" t="s">
        <v>2098</v>
      </c>
      <c r="C18" s="1934"/>
    </row>
    <row r="19" spans="1:4" x14ac:dyDescent="0.2">
      <c r="A19" s="1069"/>
      <c r="B19" s="1936" t="s">
        <v>2188</v>
      </c>
      <c r="C19" s="1934">
        <v>15784</v>
      </c>
    </row>
    <row r="20" spans="1:4" x14ac:dyDescent="0.2">
      <c r="A20" s="1069"/>
      <c r="B20" s="1936" t="s">
        <v>2099</v>
      </c>
      <c r="C20" s="1935">
        <f>6292+571</f>
        <v>6863</v>
      </c>
      <c r="D20" s="1948"/>
    </row>
    <row r="21" spans="1:4" ht="13.5" thickBot="1" x14ac:dyDescent="0.25">
      <c r="A21" s="1069"/>
      <c r="B21" s="1936"/>
      <c r="C21" s="1937">
        <f>C19+C20</f>
        <v>22647</v>
      </c>
    </row>
    <row r="22" spans="1:4" ht="13.5" thickTop="1" x14ac:dyDescent="0.2">
      <c r="A22" s="1069"/>
      <c r="C22" s="1934"/>
    </row>
    <row r="23" spans="1:4" x14ac:dyDescent="0.2">
      <c r="A23" s="1069"/>
      <c r="B23" s="329" t="s">
        <v>2100</v>
      </c>
      <c r="C23" s="1934"/>
    </row>
    <row r="24" spans="1:4" x14ac:dyDescent="0.2">
      <c r="A24" s="1069"/>
      <c r="B24" s="1936" t="s">
        <v>2189</v>
      </c>
      <c r="C24" s="1934">
        <v>3538</v>
      </c>
    </row>
    <row r="25" spans="1:4" x14ac:dyDescent="0.2">
      <c r="A25" s="1069"/>
      <c r="C25" s="1934"/>
    </row>
    <row r="26" spans="1:4" x14ac:dyDescent="0.2">
      <c r="A26" s="1069"/>
      <c r="B26" s="329" t="s">
        <v>2101</v>
      </c>
      <c r="C26" s="1934"/>
    </row>
    <row r="27" spans="1:4" x14ac:dyDescent="0.2">
      <c r="A27" s="1069"/>
      <c r="B27" s="1942" t="s">
        <v>2189</v>
      </c>
      <c r="C27" s="1934">
        <v>7498</v>
      </c>
    </row>
    <row r="28" spans="1:4" x14ac:dyDescent="0.2">
      <c r="A28" s="1069"/>
      <c r="C28" s="1934"/>
    </row>
    <row r="29" spans="1:4" x14ac:dyDescent="0.2">
      <c r="A29" s="1069"/>
      <c r="B29" s="329" t="s">
        <v>2102</v>
      </c>
      <c r="C29" s="1934"/>
    </row>
    <row r="30" spans="1:4" x14ac:dyDescent="0.2">
      <c r="A30" s="1069"/>
      <c r="B30" s="1936" t="s">
        <v>2189</v>
      </c>
      <c r="C30" s="1934">
        <v>8690</v>
      </c>
    </row>
    <row r="31" spans="1:4" x14ac:dyDescent="0.2">
      <c r="A31" s="1069"/>
      <c r="C31" s="1934"/>
    </row>
    <row r="32" spans="1:4" x14ac:dyDescent="0.2">
      <c r="A32" s="1069" t="s">
        <v>2103</v>
      </c>
      <c r="B32" s="329" t="s">
        <v>2104</v>
      </c>
      <c r="C32" s="1934"/>
    </row>
    <row r="33" spans="1:3" x14ac:dyDescent="0.2">
      <c r="A33" s="1069"/>
      <c r="B33" s="1936" t="s">
        <v>2105</v>
      </c>
      <c r="C33" s="1934">
        <v>762</v>
      </c>
    </row>
    <row r="34" spans="1:3" x14ac:dyDescent="0.2">
      <c r="A34" s="1069"/>
      <c r="B34" s="1936" t="s">
        <v>2206</v>
      </c>
      <c r="C34" s="1935">
        <v>1885</v>
      </c>
    </row>
    <row r="35" spans="1:3" ht="13.5" thickBot="1" x14ac:dyDescent="0.25">
      <c r="A35" s="1069"/>
      <c r="B35" s="1936"/>
      <c r="C35" s="1937">
        <f>SUM(C33:C34)</f>
        <v>2647</v>
      </c>
    </row>
    <row r="36" spans="1:3" ht="13.5" thickTop="1" x14ac:dyDescent="0.2">
      <c r="A36" s="1069"/>
      <c r="C36" s="1934"/>
    </row>
    <row r="37" spans="1:3" x14ac:dyDescent="0.2">
      <c r="A37" s="1069" t="s">
        <v>2106</v>
      </c>
      <c r="B37" s="329" t="s">
        <v>2107</v>
      </c>
      <c r="C37" s="1934"/>
    </row>
    <row r="38" spans="1:3" x14ac:dyDescent="0.2">
      <c r="A38" s="1069"/>
      <c r="B38" s="1936" t="s">
        <v>2108</v>
      </c>
      <c r="C38" s="1934">
        <v>9486</v>
      </c>
    </row>
    <row r="39" spans="1:3" x14ac:dyDescent="0.2">
      <c r="A39" s="1069"/>
      <c r="C39" s="1934"/>
    </row>
    <row r="40" spans="1:3" x14ac:dyDescent="0.2">
      <c r="A40" s="1069" t="s">
        <v>2110</v>
      </c>
      <c r="B40" s="329" t="s">
        <v>2109</v>
      </c>
      <c r="C40" s="1934"/>
    </row>
    <row r="41" spans="1:3" x14ac:dyDescent="0.2">
      <c r="A41" s="1069"/>
      <c r="B41" s="1936" t="s">
        <v>2132</v>
      </c>
      <c r="C41" s="1934">
        <v>3264</v>
      </c>
    </row>
    <row r="42" spans="1:3" x14ac:dyDescent="0.2">
      <c r="A42" s="1069"/>
      <c r="B42" s="1936" t="s">
        <v>2134</v>
      </c>
      <c r="C42" s="1935">
        <v>581</v>
      </c>
    </row>
    <row r="43" spans="1:3" x14ac:dyDescent="0.2">
      <c r="A43" s="1069"/>
      <c r="B43" s="1936" t="s">
        <v>2133</v>
      </c>
      <c r="C43" s="1935">
        <v>4470</v>
      </c>
    </row>
    <row r="44" spans="1:3" ht="13.5" thickBot="1" x14ac:dyDescent="0.25">
      <c r="A44" s="1069"/>
      <c r="C44" s="1937">
        <f>SUM(C41:C43)</f>
        <v>8315</v>
      </c>
    </row>
    <row r="45" spans="1:3" ht="13.5" thickTop="1" x14ac:dyDescent="0.2">
      <c r="A45" s="1069"/>
      <c r="C45" s="1934"/>
    </row>
    <row r="46" spans="1:3" x14ac:dyDescent="0.2">
      <c r="A46" s="1069" t="s">
        <v>2111</v>
      </c>
      <c r="B46" s="329" t="s">
        <v>2112</v>
      </c>
      <c r="C46" s="1934"/>
    </row>
    <row r="47" spans="1:3" x14ac:dyDescent="0.2">
      <c r="A47" s="1069"/>
      <c r="B47" s="1936" t="s">
        <v>2134</v>
      </c>
      <c r="C47" s="1934">
        <v>241</v>
      </c>
    </row>
    <row r="48" spans="1:3" x14ac:dyDescent="0.2">
      <c r="A48" s="1069"/>
      <c r="C48" s="1934"/>
    </row>
    <row r="49" spans="1:3" x14ac:dyDescent="0.2">
      <c r="A49" s="1069" t="s">
        <v>2127</v>
      </c>
      <c r="B49" s="329" t="s">
        <v>2128</v>
      </c>
      <c r="C49" s="1934">
        <v>295000</v>
      </c>
    </row>
    <row r="50" spans="1:3" x14ac:dyDescent="0.2">
      <c r="A50" s="1069"/>
      <c r="B50" s="329" t="s">
        <v>2129</v>
      </c>
      <c r="C50" s="1935">
        <v>73085</v>
      </c>
    </row>
    <row r="51" spans="1:3" ht="13.5" thickBot="1" x14ac:dyDescent="0.25">
      <c r="A51" s="1069" t="s">
        <v>2130</v>
      </c>
      <c r="B51" s="329" t="s">
        <v>2131</v>
      </c>
      <c r="C51" s="1937">
        <f>SUM(C49:C50)</f>
        <v>368085</v>
      </c>
    </row>
    <row r="52" spans="1:3" ht="13.5" thickTop="1" x14ac:dyDescent="0.2">
      <c r="A52" s="1069"/>
      <c r="C52" s="1934"/>
    </row>
    <row r="53" spans="1:3" x14ac:dyDescent="0.2">
      <c r="A53" s="1069"/>
      <c r="C53" s="1934"/>
    </row>
    <row r="54" spans="1:3" x14ac:dyDescent="0.2">
      <c r="A54" s="1069"/>
      <c r="C54" s="1934"/>
    </row>
    <row r="55" spans="1:3" x14ac:dyDescent="0.2">
      <c r="A55" s="1069"/>
      <c r="C55" s="1934"/>
    </row>
    <row r="56" spans="1:3" x14ac:dyDescent="0.2">
      <c r="A56" s="1069"/>
    </row>
    <row r="57" spans="1:3" x14ac:dyDescent="0.2">
      <c r="A57" s="1069"/>
    </row>
    <row r="58" spans="1:3" x14ac:dyDescent="0.2">
      <c r="A58" s="1069"/>
    </row>
    <row r="59" spans="1:3" x14ac:dyDescent="0.2">
      <c r="A59" s="1069"/>
    </row>
    <row r="60" spans="1:3" x14ac:dyDescent="0.2">
      <c r="A60" s="1069"/>
    </row>
    <row r="61" spans="1:3" x14ac:dyDescent="0.2">
      <c r="A61" s="1069"/>
    </row>
    <row r="62" spans="1:3" x14ac:dyDescent="0.2">
      <c r="A62" s="1069"/>
    </row>
    <row r="63" spans="1:3" x14ac:dyDescent="0.2">
      <c r="A63" s="1069"/>
      <c r="B63" s="258" t="str">
        <f>COVER!A17</f>
        <v>Fieldcrest CUSD 6</v>
      </c>
    </row>
    <row r="64" spans="1:3" x14ac:dyDescent="0.2">
      <c r="B64" s="1070">
        <f>COVER!A13</f>
        <v>53102006026</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7" zoomScale="110" zoomScaleNormal="110" workbookViewId="0">
      <selection activeCell="B7" sqref="B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4" t="s">
        <v>1611</v>
      </c>
    </row>
    <row r="23" spans="1:5" x14ac:dyDescent="0.2">
      <c r="A23" s="168"/>
      <c r="B23" s="162" t="s">
        <v>1853</v>
      </c>
      <c r="D23" s="167" t="s">
        <v>637</v>
      </c>
      <c r="E23" s="1834"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4" t="s">
        <v>1065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691</v>
      </c>
      <c r="B40" s="2071"/>
      <c r="C40" s="2071"/>
      <c r="D40" s="2071"/>
      <c r="E40" s="2071"/>
    </row>
    <row r="41" spans="1:5" x14ac:dyDescent="0.2">
      <c r="A41" s="2072" t="s">
        <v>1608</v>
      </c>
      <c r="B41" s="2072"/>
      <c r="C41" s="2072"/>
      <c r="D41" s="2072"/>
      <c r="E41" s="2072"/>
    </row>
    <row r="42" spans="1:5" ht="12.75" customHeight="1" x14ac:dyDescent="0.2">
      <c r="A42" s="2073" t="s">
        <v>1022</v>
      </c>
      <c r="B42" s="2073"/>
      <c r="C42" s="2073"/>
      <c r="D42" s="2073"/>
      <c r="E42" s="2073"/>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57" t="s">
        <v>1685</v>
      </c>
      <c r="B18" s="2357"/>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1</xdr:col>
                <xdr:colOff>1638300</xdr:colOff>
                <xdr:row>0</xdr:row>
                <xdr:rowOff>28575</xdr:rowOff>
              </from>
              <to>
                <xdr:col>1</xdr:col>
                <xdr:colOff>2552700</xdr:colOff>
                <xdr:row>4</xdr:row>
                <xdr:rowOff>66675</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120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7" sqref="B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8" t="s">
        <v>1690</v>
      </c>
      <c r="B1" s="2359"/>
      <c r="C1" s="2359"/>
      <c r="D1" s="2359"/>
      <c r="E1" s="2359"/>
      <c r="F1" s="2360"/>
    </row>
    <row r="2" spans="1:8" ht="45" customHeight="1" x14ac:dyDescent="0.2">
      <c r="A2" s="2368" t="s">
        <v>1983</v>
      </c>
      <c r="B2" s="2369"/>
      <c r="C2" s="2369"/>
      <c r="D2" s="2369"/>
      <c r="E2" s="2369"/>
      <c r="F2" s="2370"/>
      <c r="G2" s="1074"/>
      <c r="H2" s="1074"/>
    </row>
    <row r="3" spans="1:8" ht="57" customHeight="1" x14ac:dyDescent="0.2">
      <c r="A3" s="2371" t="s">
        <v>1686</v>
      </c>
      <c r="B3" s="2372"/>
      <c r="C3" s="2372"/>
      <c r="D3" s="2372"/>
      <c r="E3" s="2372"/>
      <c r="F3" s="2373"/>
      <c r="G3" s="1074"/>
      <c r="H3" s="1074"/>
    </row>
    <row r="4" spans="1:8" ht="14.25" customHeight="1" x14ac:dyDescent="0.2">
      <c r="A4" s="2377" t="s">
        <v>1984</v>
      </c>
      <c r="B4" s="2378"/>
      <c r="C4" s="2378"/>
      <c r="D4" s="2378"/>
      <c r="E4" s="2378"/>
      <c r="F4" s="2379"/>
      <c r="G4" s="1074"/>
      <c r="H4" s="1074"/>
    </row>
    <row r="5" spans="1:8" ht="14.25" customHeight="1" x14ac:dyDescent="0.2">
      <c r="A5" s="2380" t="s">
        <v>1980</v>
      </c>
      <c r="B5" s="2381"/>
      <c r="C5" s="2381"/>
      <c r="D5" s="2381"/>
      <c r="E5" s="2381"/>
      <c r="F5" s="2382"/>
      <c r="G5" s="1074"/>
      <c r="H5" s="1074"/>
    </row>
    <row r="6" spans="1:8" s="1075" customFormat="1" ht="41.25" customHeight="1" x14ac:dyDescent="0.2">
      <c r="A6" s="2374" t="s">
        <v>1691</v>
      </c>
      <c r="B6" s="2375"/>
      <c r="C6" s="2375"/>
      <c r="D6" s="2375"/>
      <c r="E6" s="2375"/>
      <c r="F6" s="237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9716130</v>
      </c>
      <c r="C8" s="1813">
        <f>'Acct Summary 7-8'!D8</f>
        <v>1105919</v>
      </c>
      <c r="D8" s="1813">
        <f>'Acct Summary 7-8'!F8</f>
        <v>1113014</v>
      </c>
      <c r="E8" s="1813">
        <f>'Acct Summary 7-8'!I8</f>
        <v>83085</v>
      </c>
      <c r="F8" s="1813">
        <f>SUM(B8:E8)</f>
        <v>12018148</v>
      </c>
    </row>
    <row r="9" spans="1:8" s="1079" customFormat="1" ht="14.25" customHeight="1" thickBot="1" x14ac:dyDescent="0.25">
      <c r="A9" s="1078" t="s">
        <v>1369</v>
      </c>
      <c r="B9" s="1814">
        <f>'Acct Summary 7-8'!C17</f>
        <v>9574639</v>
      </c>
      <c r="C9" s="1814">
        <f>'Acct Summary 7-8'!D17</f>
        <v>1261088</v>
      </c>
      <c r="D9" s="1814">
        <f>'Acct Summary 7-8'!F17</f>
        <v>1025401</v>
      </c>
      <c r="E9" s="1813"/>
      <c r="F9" s="1813">
        <f>SUM(B9:E9)</f>
        <v>11861128</v>
      </c>
    </row>
    <row r="10" spans="1:8" s="1079" customFormat="1" ht="14.25" thickTop="1" thickBot="1" x14ac:dyDescent="0.25">
      <c r="A10" s="1080" t="s">
        <v>1370</v>
      </c>
      <c r="B10" s="1815">
        <f>(B8-B9)</f>
        <v>141491</v>
      </c>
      <c r="C10" s="1815">
        <f>(C8-C9)</f>
        <v>-155169</v>
      </c>
      <c r="D10" s="1815">
        <f>(D8-D9)</f>
        <v>87613</v>
      </c>
      <c r="E10" s="1814">
        <f>(E8-E9)</f>
        <v>83085</v>
      </c>
      <c r="F10" s="1816">
        <f>SUM(F8-F9)</f>
        <v>157020</v>
      </c>
    </row>
    <row r="11" spans="1:8" s="1079" customFormat="1" ht="14.25" thickTop="1" thickBot="1" x14ac:dyDescent="0.25">
      <c r="A11" s="1081" t="s">
        <v>1981</v>
      </c>
      <c r="B11" s="1817">
        <f>'Acct Summary 7-8'!C81</f>
        <v>2170083</v>
      </c>
      <c r="C11" s="1817">
        <f>'Acct Summary 7-8'!D81</f>
        <v>247548</v>
      </c>
      <c r="D11" s="1817">
        <f>'Acct Summary 7-8'!F81</f>
        <v>510202</v>
      </c>
      <c r="E11" s="1817">
        <f>'Acct Summary 7-8'!I81</f>
        <v>246808</v>
      </c>
      <c r="F11" s="1818">
        <f>SUM(B11:E11)</f>
        <v>3174641</v>
      </c>
    </row>
    <row r="12" spans="1:8" ht="16.5" customHeight="1" thickTop="1" x14ac:dyDescent="0.2">
      <c r="A12" s="1082"/>
      <c r="B12" s="1083"/>
      <c r="C12" s="2362" t="str">
        <f>IF(AND(F10&lt;0,F11&gt;=0,ABS(F10*3)&gt;ABS(F11)),A16,IF(AND(F10&lt;0,F11&gt;0,ABS(F10*3)&lt;=ABS(F11)),A17,IF(AND(F10&lt;0,F11&lt;0),A16,IF(F11=0,A19,A18))))</f>
        <v>Balanced - no deficit reduction plan is required.</v>
      </c>
      <c r="D12" s="2363"/>
      <c r="E12" s="2363"/>
      <c r="F12" s="2364"/>
    </row>
    <row r="13" spans="1:8" ht="19.5" customHeight="1" x14ac:dyDescent="0.2">
      <c r="A13" s="1084"/>
      <c r="B13" s="1085"/>
      <c r="C13" s="2362"/>
      <c r="D13" s="2363"/>
      <c r="E13" s="2363"/>
      <c r="F13" s="2364"/>
      <c r="H13" s="1074"/>
    </row>
    <row r="14" spans="1:8" ht="19.5" customHeight="1" x14ac:dyDescent="0.2">
      <c r="A14" s="1084"/>
      <c r="B14" s="1085"/>
      <c r="C14" s="2362"/>
      <c r="D14" s="2363"/>
      <c r="E14" s="2363"/>
      <c r="F14" s="2364"/>
      <c r="H14" s="1074"/>
    </row>
    <row r="15" spans="1:8" ht="17.25" customHeight="1" x14ac:dyDescent="0.2">
      <c r="A15" s="1084"/>
      <c r="B15" s="1085"/>
      <c r="C15" s="2365"/>
      <c r="D15" s="2366"/>
      <c r="E15" s="2366"/>
      <c r="F15" s="2367"/>
      <c r="H15" s="1074"/>
    </row>
    <row r="16" spans="1:8" s="310" customFormat="1" ht="51.75" hidden="1" customHeight="1" x14ac:dyDescent="0.2">
      <c r="A16" s="2361" t="s">
        <v>1687</v>
      </c>
      <c r="B16" s="2361"/>
      <c r="C16" s="2361"/>
      <c r="D16" s="2361"/>
      <c r="E16" s="236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1" colorId="8" zoomScale="110" zoomScaleNormal="110" workbookViewId="0">
      <selection activeCell="B7" sqref="B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83" t="s">
        <v>665</v>
      </c>
      <c r="B3" s="2384"/>
      <c r="C3" s="2384"/>
      <c r="D3" s="2385"/>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4" t="s">
        <v>1504</v>
      </c>
      <c r="D7" s="2395"/>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86" t="s">
        <v>1008</v>
      </c>
      <c r="B15" s="2387"/>
      <c r="C15" s="2387"/>
      <c r="D15" s="2388"/>
    </row>
    <row r="16" spans="1:4" s="668" customFormat="1" ht="24" customHeight="1" x14ac:dyDescent="0.2">
      <c r="A16" s="2389" t="s">
        <v>663</v>
      </c>
      <c r="B16" s="2390"/>
      <c r="C16" s="2390"/>
      <c r="D16" s="239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98" t="s">
        <v>314</v>
      </c>
      <c r="D21" s="2399"/>
    </row>
    <row r="22" spans="1:10" ht="12.75" x14ac:dyDescent="0.2">
      <c r="A22" s="1139"/>
      <c r="B22" s="1140">
        <v>2</v>
      </c>
      <c r="C22" s="2396" t="s">
        <v>1524</v>
      </c>
      <c r="D22" s="239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0" t="s">
        <v>536</v>
      </c>
      <c r="D43" s="240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92" t="s">
        <v>784</v>
      </c>
      <c r="D56" s="239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ERROR!</v>
      </c>
    </row>
    <row r="70" spans="1:4" x14ac:dyDescent="0.2">
      <c r="A70" s="1098"/>
      <c r="B70" s="1120">
        <f>B66+1</f>
        <v>9</v>
      </c>
      <c r="C70" s="2392" t="s">
        <v>1696</v>
      </c>
      <c r="D70" s="239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29'!D40&gt;0,"OK","PLEASE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53102006026</v>
      </c>
    </row>
    <row r="3" spans="1:2" x14ac:dyDescent="0.2">
      <c r="A3" t="s">
        <v>956</v>
      </c>
      <c r="B3" s="138" t="str">
        <f>COVER!A15</f>
        <v>Woodford</v>
      </c>
    </row>
    <row r="4" spans="1:2" x14ac:dyDescent="0.2">
      <c r="A4" t="s">
        <v>1007</v>
      </c>
      <c r="B4" s="138" t="str">
        <f>COVER!A17</f>
        <v>Fieldcrest CUSD 6</v>
      </c>
    </row>
    <row r="5" spans="1:2" x14ac:dyDescent="0.2">
      <c r="A5" t="s">
        <v>704</v>
      </c>
      <c r="B5" s="138" t="str">
        <f>COVER!A38</f>
        <v>Dr. Daniel L Oakley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066-004355</v>
      </c>
    </row>
    <row r="16" spans="1:2" x14ac:dyDescent="0.2">
      <c r="A16" t="s">
        <v>422</v>
      </c>
      <c r="B16" s="138" t="str">
        <f>COVER!T13</f>
        <v>Phillips, Salmi &amp; Associates, LLC</v>
      </c>
    </row>
    <row r="17" spans="1:2" x14ac:dyDescent="0.2">
      <c r="A17" t="s">
        <v>884</v>
      </c>
      <c r="B17" s="138" t="str">
        <f>COVER!T15</f>
        <v>Lori Salmi</v>
      </c>
    </row>
    <row r="18" spans="1:2" x14ac:dyDescent="0.2">
      <c r="A18" t="s">
        <v>1150</v>
      </c>
      <c r="B18" s="138" t="str">
        <f>COVER!T17</f>
        <v>112 S Main Street</v>
      </c>
    </row>
    <row r="19" spans="1:2" x14ac:dyDescent="0.2">
      <c r="A19" t="s">
        <v>886</v>
      </c>
      <c r="B19" s="138" t="str">
        <f>COVER!T25</f>
        <v>lsalmi@psa-cpa.com</v>
      </c>
    </row>
    <row r="20" spans="1:2" x14ac:dyDescent="0.2">
      <c r="A20" t="s">
        <v>887</v>
      </c>
      <c r="B20" s="138" t="str">
        <f>COVER!T19</f>
        <v>Washington</v>
      </c>
    </row>
    <row r="21" spans="1:2" x14ac:dyDescent="0.2">
      <c r="A21" t="s">
        <v>479</v>
      </c>
      <c r="B21" s="138" t="str">
        <f>COVER!X19</f>
        <v>IL</v>
      </c>
    </row>
    <row r="22" spans="1:2" x14ac:dyDescent="0.2">
      <c r="A22" t="s">
        <v>888</v>
      </c>
      <c r="B22" s="138">
        <f>COVER!Z19</f>
        <v>61571</v>
      </c>
    </row>
    <row r="23" spans="1:2" x14ac:dyDescent="0.2">
      <c r="A23" t="s">
        <v>1152</v>
      </c>
      <c r="B23" s="138" t="str">
        <f>COVER!T21</f>
        <v>(309) 444-4909</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2170083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2170083</v>
      </c>
      <c r="D92" s="2" t="str">
        <f t="shared" si="0"/>
        <v>Error?</v>
      </c>
    </row>
    <row r="93" spans="1:4" x14ac:dyDescent="0.2">
      <c r="A93" s="5">
        <v>32</v>
      </c>
      <c r="B93" s="138">
        <f>'Assets-Liab 5-6'!C41</f>
        <v>2170083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247548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247548</v>
      </c>
      <c r="D123" s="2" t="str">
        <f t="shared" si="0"/>
        <v>Error?</v>
      </c>
    </row>
    <row r="124" spans="1:4" x14ac:dyDescent="0.2">
      <c r="A124" s="5">
        <v>63</v>
      </c>
      <c r="B124" s="138">
        <f>'Assets-Liab 5-6'!D41</f>
        <v>247548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304455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223165</v>
      </c>
      <c r="D140" s="2" t="str">
        <f t="shared" si="1"/>
        <v>Error?</v>
      </c>
    </row>
    <row r="141" spans="1:4" x14ac:dyDescent="0.2">
      <c r="A141" s="5">
        <v>80</v>
      </c>
      <c r="B141" s="138">
        <f>'Assets-Liab 5-6'!E41</f>
        <v>304455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510202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510202</v>
      </c>
      <c r="D170" s="2" t="str">
        <f t="shared" si="1"/>
        <v>Error?</v>
      </c>
    </row>
    <row r="171" spans="1:4" x14ac:dyDescent="0.2">
      <c r="A171" s="5">
        <v>110</v>
      </c>
      <c r="B171" s="138">
        <f>'Assets-Liab 5-6'!F41</f>
        <v>510202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435873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435873</v>
      </c>
      <c r="D189" s="2" t="str">
        <f t="shared" si="1"/>
        <v>Error?</v>
      </c>
    </row>
    <row r="190" spans="1:4" x14ac:dyDescent="0.2">
      <c r="A190" s="5">
        <v>129</v>
      </c>
      <c r="B190" s="138">
        <f>'Assets-Liab 5-6'!G41</f>
        <v>435873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132071</v>
      </c>
      <c r="D273" s="2" t="str">
        <f t="shared" si="3"/>
        <v>Error?</v>
      </c>
    </row>
    <row r="274" spans="1:4" x14ac:dyDescent="0.2">
      <c r="A274" s="5">
        <v>213</v>
      </c>
      <c r="B274" s="138">
        <f>'Assets-Liab 5-6'!M17</f>
        <v>12137985</v>
      </c>
      <c r="D274" s="2" t="str">
        <f t="shared" si="3"/>
        <v>Error?</v>
      </c>
    </row>
    <row r="275" spans="1:4" x14ac:dyDescent="0.2">
      <c r="A275" s="5">
        <v>214</v>
      </c>
      <c r="B275" s="138">
        <f>'Assets-Liab 5-6'!M18</f>
        <v>94100</v>
      </c>
      <c r="D275" s="2" t="str">
        <f t="shared" si="3"/>
        <v>Error?</v>
      </c>
    </row>
    <row r="276" spans="1:4" x14ac:dyDescent="0.2">
      <c r="A276" s="5">
        <v>215</v>
      </c>
      <c r="B276" s="138">
        <f>'Assets-Liab 5-6'!M19</f>
        <v>2900805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15264961</v>
      </c>
      <c r="C279" s="2" t="s">
        <v>573</v>
      </c>
      <c r="D279" s="2" t="str">
        <f t="shared" si="3"/>
        <v>Error?</v>
      </c>
    </row>
    <row r="280" spans="1:4" x14ac:dyDescent="0.2">
      <c r="A280" s="5">
        <v>219</v>
      </c>
      <c r="B280" s="138">
        <f>'Assets-Liab 5-6'!M40</f>
        <v>15264961</v>
      </c>
      <c r="D280" s="2" t="str">
        <f t="shared" si="3"/>
        <v>Error?</v>
      </c>
    </row>
    <row r="281" spans="1:4" x14ac:dyDescent="0.2">
      <c r="A281" s="5">
        <v>220</v>
      </c>
      <c r="B281" s="138">
        <f>'Assets-Liab 5-6'!M41</f>
        <v>15264961</v>
      </c>
      <c r="C281" s="2" t="s">
        <v>573</v>
      </c>
      <c r="D281" s="2" t="str">
        <f t="shared" si="3"/>
        <v>Error?</v>
      </c>
    </row>
    <row r="282" spans="1:4" x14ac:dyDescent="0.2">
      <c r="A282" s="5">
        <v>221</v>
      </c>
      <c r="B282" s="138">
        <f>'Assets-Liab 5-6'!N21</f>
        <v>304455</v>
      </c>
      <c r="D282" s="2" t="str">
        <f t="shared" si="3"/>
        <v>Error?</v>
      </c>
    </row>
    <row r="283" spans="1:4" x14ac:dyDescent="0.2">
      <c r="A283" s="5">
        <v>222</v>
      </c>
      <c r="B283" s="138">
        <f>'Assets-Liab 5-6'!N22</f>
        <v>3098756</v>
      </c>
      <c r="D283" s="2" t="str">
        <f t="shared" si="3"/>
        <v>Error?</v>
      </c>
    </row>
    <row r="284" spans="1:4" x14ac:dyDescent="0.2">
      <c r="A284" s="5">
        <v>223</v>
      </c>
      <c r="B284" s="138">
        <f>'Assets-Liab 5-6'!N23</f>
        <v>3403211</v>
      </c>
      <c r="C284" s="2" t="s">
        <v>573</v>
      </c>
      <c r="D284" s="2" t="str">
        <f t="shared" si="3"/>
        <v>Error?</v>
      </c>
    </row>
    <row r="285" spans="1:4" x14ac:dyDescent="0.2">
      <c r="A285" s="5">
        <v>224</v>
      </c>
      <c r="B285" s="138">
        <f>'Assets-Liab 5-6'!N36</f>
        <v>3403211</v>
      </c>
      <c r="D285" s="2" t="str">
        <f t="shared" si="3"/>
        <v>Error?</v>
      </c>
    </row>
    <row r="286" spans="1:4" x14ac:dyDescent="0.2">
      <c r="A286" s="10">
        <v>225</v>
      </c>
      <c r="D286" s="2" t="str">
        <f t="shared" si="3"/>
        <v>OK</v>
      </c>
    </row>
    <row r="287" spans="1:4" x14ac:dyDescent="0.2">
      <c r="A287" s="5">
        <v>226</v>
      </c>
      <c r="B287" s="138">
        <f>'Assets-Liab 5-6'!N37</f>
        <v>3403211</v>
      </c>
      <c r="C287" s="2" t="s">
        <v>573</v>
      </c>
      <c r="D287" s="2" t="str">
        <f t="shared" si="3"/>
        <v>Error?</v>
      </c>
    </row>
    <row r="288" spans="1:4" x14ac:dyDescent="0.2">
      <c r="A288" s="5">
        <v>227</v>
      </c>
      <c r="B288" s="138">
        <f>'Assets-Liab 5-6'!N41</f>
        <v>3403211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3315314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167212</v>
      </c>
      <c r="D717" s="2" t="str">
        <f t="shared" si="10"/>
        <v>Error?</v>
      </c>
    </row>
    <row r="718" spans="1:4" x14ac:dyDescent="0.2">
      <c r="A718" s="5">
        <v>657</v>
      </c>
      <c r="B718" s="138">
        <f>'Expenditures 15-22'!C14</f>
        <v>200333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4915688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181395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46228</v>
      </c>
      <c r="D725" s="2" t="str">
        <f t="shared" si="10"/>
        <v>Error?</v>
      </c>
    </row>
    <row r="726" spans="1:4" x14ac:dyDescent="0.2">
      <c r="A726" s="5">
        <v>665</v>
      </c>
      <c r="B726" s="138">
        <f>'Expenditures 15-22'!C41</f>
        <v>3264</v>
      </c>
      <c r="D726" s="2" t="str">
        <f t="shared" si="10"/>
        <v>Error?</v>
      </c>
    </row>
    <row r="727" spans="1:4" x14ac:dyDescent="0.2">
      <c r="A727" s="5">
        <v>666</v>
      </c>
      <c r="B727" s="138">
        <f>'Expenditures 15-22'!C42</f>
        <v>230887</v>
      </c>
      <c r="C727" s="2" t="s">
        <v>573</v>
      </c>
      <c r="D727" s="2" t="str">
        <f t="shared" si="10"/>
        <v>Error?</v>
      </c>
    </row>
    <row r="728" spans="1:4" x14ac:dyDescent="0.2">
      <c r="A728" s="5">
        <v>667</v>
      </c>
      <c r="B728" s="138">
        <f>'Expenditures 15-22'!C44</f>
        <v>7959</v>
      </c>
      <c r="D728" s="2" t="str">
        <f t="shared" si="10"/>
        <v>Error?</v>
      </c>
    </row>
    <row r="729" spans="1:4" x14ac:dyDescent="0.2">
      <c r="A729" s="5">
        <v>668</v>
      </c>
      <c r="B729" s="138">
        <f>'Expenditures 15-22'!C45</f>
        <v>102654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110613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139820</v>
      </c>
      <c r="D733" s="2" t="str">
        <f t="shared" si="10"/>
        <v>Error?</v>
      </c>
    </row>
    <row r="734" spans="1:4" x14ac:dyDescent="0.2">
      <c r="A734" s="5">
        <v>673</v>
      </c>
      <c r="B734" s="138">
        <f>'Expenditures 15-22'!C53</f>
        <v>139820</v>
      </c>
      <c r="C734" s="2" t="s">
        <v>573</v>
      </c>
      <c r="D734" s="2" t="str">
        <f t="shared" si="10"/>
        <v>Error?</v>
      </c>
    </row>
    <row r="735" spans="1:4" x14ac:dyDescent="0.2">
      <c r="A735" s="5">
        <v>674</v>
      </c>
      <c r="B735" s="138">
        <f>'Expenditures 15-22'!C55</f>
        <v>567582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567582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129705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231966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361671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106288</v>
      </c>
      <c r="D751" s="2" t="str">
        <f t="shared" si="10"/>
        <v>Error?</v>
      </c>
    </row>
    <row r="752" spans="1:4" x14ac:dyDescent="0.2">
      <c r="A752" s="10">
        <v>691</v>
      </c>
      <c r="D752" s="2" t="str">
        <f t="shared" si="10"/>
        <v>OK</v>
      </c>
    </row>
    <row r="753" spans="1:4" x14ac:dyDescent="0.2">
      <c r="A753" s="5">
        <v>692</v>
      </c>
      <c r="B753" s="138">
        <f>'Expenditures 15-22'!C72</f>
        <v>106288</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1516861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6432549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634862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38360</v>
      </c>
      <c r="D775" s="2" t="str">
        <f t="shared" si="11"/>
        <v>Error?</v>
      </c>
    </row>
    <row r="776" spans="1:4" x14ac:dyDescent="0.2">
      <c r="A776" s="5">
        <v>715</v>
      </c>
      <c r="B776" s="138">
        <f>'Expenditures 15-22'!D14</f>
        <v>38271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886950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27526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10605</v>
      </c>
      <c r="D783" s="2" t="str">
        <f t="shared" si="11"/>
        <v>Error?</v>
      </c>
    </row>
    <row r="784" spans="1:4" x14ac:dyDescent="0.2">
      <c r="A784" s="5">
        <v>723</v>
      </c>
      <c r="B784" s="138">
        <f>'Expenditures 15-22'!D41</f>
        <v>581</v>
      </c>
      <c r="D784" s="2" t="str">
        <f t="shared" si="11"/>
        <v>Error?</v>
      </c>
    </row>
    <row r="785" spans="1:4" x14ac:dyDescent="0.2">
      <c r="A785" s="5">
        <v>724</v>
      </c>
      <c r="B785" s="138">
        <f>'Expenditures 15-22'!D42</f>
        <v>38712</v>
      </c>
      <c r="C785" s="2" t="s">
        <v>573</v>
      </c>
      <c r="D785" s="2" t="str">
        <f t="shared" si="11"/>
        <v>Error?</v>
      </c>
    </row>
    <row r="786" spans="1:4" x14ac:dyDescent="0.2">
      <c r="A786" s="5">
        <v>725</v>
      </c>
      <c r="B786" s="138">
        <f>'Expenditures 15-22'!D44</f>
        <v>1390</v>
      </c>
      <c r="D786" s="2" t="str">
        <f t="shared" si="11"/>
        <v>Error?</v>
      </c>
    </row>
    <row r="787" spans="1:4" x14ac:dyDescent="0.2">
      <c r="A787" s="5">
        <v>726</v>
      </c>
      <c r="B787" s="138">
        <f>'Expenditures 15-22'!D45</f>
        <v>10255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11645</v>
      </c>
      <c r="C789" s="2" t="s">
        <v>573</v>
      </c>
      <c r="D789" s="2" t="str">
        <f t="shared" si="11"/>
        <v>Error?</v>
      </c>
    </row>
    <row r="790" spans="1:4" x14ac:dyDescent="0.2">
      <c r="A790" s="5">
        <v>729</v>
      </c>
      <c r="B790" s="138">
        <f>'Expenditures 15-22'!D49</f>
        <v>14400</v>
      </c>
      <c r="D790" s="2" t="str">
        <f t="shared" si="11"/>
        <v>Error?</v>
      </c>
    </row>
    <row r="791" spans="1:4" x14ac:dyDescent="0.2">
      <c r="A791" s="5">
        <v>730</v>
      </c>
      <c r="B791" s="138">
        <f>'Expenditures 15-22'!D50</f>
        <v>25818</v>
      </c>
      <c r="D791" s="2" t="str">
        <f t="shared" si="11"/>
        <v>Error?</v>
      </c>
    </row>
    <row r="792" spans="1:4" x14ac:dyDescent="0.2">
      <c r="A792" s="5">
        <v>731</v>
      </c>
      <c r="B792" s="138">
        <f>'Expenditures 15-22'!D53</f>
        <v>40218</v>
      </c>
      <c r="C792" s="2" t="s">
        <v>573</v>
      </c>
      <c r="D792" s="2" t="str">
        <f t="shared" si="11"/>
        <v>Error?</v>
      </c>
    </row>
    <row r="793" spans="1:4" x14ac:dyDescent="0.2">
      <c r="A793" s="5">
        <v>732</v>
      </c>
      <c r="B793" s="138">
        <f>'Expenditures 15-22'!D55</f>
        <v>137800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137800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27340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45745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73085</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19835</v>
      </c>
      <c r="D809" s="2" t="str">
        <f t="shared" si="11"/>
        <v>Error?</v>
      </c>
    </row>
    <row r="810" spans="1:4" x14ac:dyDescent="0.2">
      <c r="A810" s="10">
        <v>749</v>
      </c>
      <c r="D810" s="2" t="str">
        <f t="shared" si="11"/>
        <v>OK</v>
      </c>
    </row>
    <row r="811" spans="1:4" x14ac:dyDescent="0.2">
      <c r="A811" s="5">
        <v>750</v>
      </c>
      <c r="B811" s="138">
        <f>'Expenditures 15-22'!D72</f>
        <v>19835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321295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1208245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33250</v>
      </c>
      <c r="D833" s="2" t="str">
        <f t="shared" si="12"/>
        <v>Error?</v>
      </c>
    </row>
    <row r="834" spans="1:4" x14ac:dyDescent="0.2">
      <c r="A834" s="5">
        <v>773</v>
      </c>
      <c r="B834" s="138">
        <f>'Expenditures 15-22'!E14</f>
        <v>26239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64704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42253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15807</v>
      </c>
      <c r="D841" s="2" t="str">
        <f t="shared" si="12"/>
        <v>Error?</v>
      </c>
    </row>
    <row r="842" spans="1:4" x14ac:dyDescent="0.2">
      <c r="A842" s="5">
        <v>781</v>
      </c>
      <c r="B842" s="138">
        <f>'Expenditures 15-22'!E41</f>
        <v>4470</v>
      </c>
      <c r="D842" s="2" t="str">
        <f t="shared" si="12"/>
        <v>Error?</v>
      </c>
    </row>
    <row r="843" spans="1:4" x14ac:dyDescent="0.2">
      <c r="A843" s="5">
        <v>782</v>
      </c>
      <c r="B843" s="138">
        <f>'Expenditures 15-22'!E42</f>
        <v>62530</v>
      </c>
      <c r="C843" s="2" t="s">
        <v>573</v>
      </c>
      <c r="D843" s="2" t="str">
        <f t="shared" si="12"/>
        <v>Error?</v>
      </c>
    </row>
    <row r="844" spans="1:4" x14ac:dyDescent="0.2">
      <c r="A844" s="5">
        <v>783</v>
      </c>
      <c r="B844" s="138">
        <f>'Expenditures 15-22'!E44</f>
        <v>23772</v>
      </c>
      <c r="D844" s="2" t="str">
        <f t="shared" si="12"/>
        <v>Error?</v>
      </c>
    </row>
    <row r="845" spans="1:4" x14ac:dyDescent="0.2">
      <c r="A845" s="5">
        <v>784</v>
      </c>
      <c r="B845" s="138">
        <f>'Expenditures 15-22'!E45</f>
        <v>12862</v>
      </c>
      <c r="D845" s="2" t="str">
        <f t="shared" si="12"/>
        <v>Error?</v>
      </c>
    </row>
    <row r="846" spans="1:4" x14ac:dyDescent="0.2">
      <c r="A846" s="5">
        <v>785</v>
      </c>
      <c r="B846" s="138">
        <f>'Expenditures 15-22'!E46</f>
        <v>20177</v>
      </c>
      <c r="D846" s="2" t="str">
        <f t="shared" si="12"/>
        <v>Error?</v>
      </c>
    </row>
    <row r="847" spans="1:4" x14ac:dyDescent="0.2">
      <c r="A847" s="5">
        <v>786</v>
      </c>
      <c r="B847" s="138">
        <f>'Expenditures 15-22'!E47</f>
        <v>56811</v>
      </c>
      <c r="C847" s="2" t="s">
        <v>573</v>
      </c>
      <c r="D847" s="2" t="str">
        <f t="shared" si="12"/>
        <v>Error?</v>
      </c>
    </row>
    <row r="848" spans="1:4" x14ac:dyDescent="0.2">
      <c r="A848" s="5">
        <v>787</v>
      </c>
      <c r="B848" s="138">
        <f>'Expenditures 15-22'!E49</f>
        <v>74109</v>
      </c>
      <c r="D848" s="2" t="str">
        <f t="shared" si="12"/>
        <v>Error?</v>
      </c>
    </row>
    <row r="849" spans="1:4" x14ac:dyDescent="0.2">
      <c r="A849" s="5">
        <v>788</v>
      </c>
      <c r="B849" s="138">
        <f>'Expenditures 15-22'!E50</f>
        <v>0</v>
      </c>
      <c r="D849" s="2" t="str">
        <f t="shared" si="12"/>
        <v>Error?</v>
      </c>
    </row>
    <row r="850" spans="1:4" x14ac:dyDescent="0.2">
      <c r="A850" s="5">
        <v>789</v>
      </c>
      <c r="B850" s="138">
        <f>'Expenditures 15-22'!E53</f>
        <v>74417</v>
      </c>
      <c r="C850" s="2" t="s">
        <v>573</v>
      </c>
      <c r="D850" s="2" t="str">
        <f t="shared" si="12"/>
        <v>Error?</v>
      </c>
    </row>
    <row r="851" spans="1:4" x14ac:dyDescent="0.2">
      <c r="A851" s="5">
        <v>790</v>
      </c>
      <c r="B851" s="138">
        <f>'Expenditures 15-22'!E55</f>
        <v>7690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7690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45368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1958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47326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248774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1226162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75208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13718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91944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1433</v>
      </c>
      <c r="D896" s="2" t="str">
        <f t="shared" si="13"/>
        <v>Error?</v>
      </c>
    </row>
    <row r="897" spans="1:4" x14ac:dyDescent="0.2">
      <c r="A897" s="5">
        <v>836</v>
      </c>
      <c r="B897" s="138">
        <f>'Expenditures 15-22'!F38</f>
        <v>3926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532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5891</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7121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7121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329</v>
      </c>
      <c r="D907" s="2" t="str">
        <f t="shared" si="13"/>
        <v>Error?</v>
      </c>
    </row>
    <row r="908" spans="1:4" x14ac:dyDescent="0.2">
      <c r="A908" s="5">
        <v>847</v>
      </c>
      <c r="B908" s="138">
        <f>'Expenditures 15-22'!F53</f>
        <v>329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10683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213360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224043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58715</v>
      </c>
      <c r="D925" s="2" t="str">
        <f t="shared" si="13"/>
        <v>Error?</v>
      </c>
    </row>
    <row r="926" spans="1:4" x14ac:dyDescent="0.2">
      <c r="A926" s="10">
        <v>865</v>
      </c>
      <c r="D926" s="2" t="str">
        <f t="shared" si="13"/>
        <v>OK</v>
      </c>
    </row>
    <row r="927" spans="1:4" x14ac:dyDescent="0.2">
      <c r="A927" s="5">
        <v>866</v>
      </c>
      <c r="B927" s="138">
        <f>'Expenditures 15-22'!F72</f>
        <v>58715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296099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388043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4948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5655</v>
      </c>
      <c r="D949" s="2" t="str">
        <f t="shared" si="13"/>
        <v>Error?</v>
      </c>
    </row>
    <row r="950" spans="1:4" x14ac:dyDescent="0.2">
      <c r="A950" s="5">
        <v>889</v>
      </c>
      <c r="B950" s="138">
        <f>'Expenditures 15-22'!G14</f>
        <v>6731</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24962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90777</v>
      </c>
      <c r="D983" s="2" t="str">
        <f t="shared" si="14"/>
        <v>Error?</v>
      </c>
    </row>
    <row r="984" spans="1:4" x14ac:dyDescent="0.2">
      <c r="A984" s="10">
        <v>923</v>
      </c>
      <c r="D984" s="2" t="str">
        <f t="shared" si="14"/>
        <v>OK</v>
      </c>
    </row>
    <row r="985" spans="1:4" x14ac:dyDescent="0.2">
      <c r="A985" s="5">
        <v>924</v>
      </c>
      <c r="B985" s="138">
        <f>'Expenditures 15-22'!G72</f>
        <v>90777</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90777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115739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13775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13775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3000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3000</v>
      </c>
      <c r="C1021" s="2" t="s">
        <v>573</v>
      </c>
      <c r="D1021" s="2" t="str">
        <f t="shared" si="14"/>
        <v>Error?</v>
      </c>
    </row>
    <row r="1022" spans="1:4" x14ac:dyDescent="0.2">
      <c r="A1022" s="5">
        <v>961</v>
      </c>
      <c r="B1022" s="138">
        <f>'Expenditures 15-22'!H49</f>
        <v>6467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6467</v>
      </c>
      <c r="C1024" s="2" t="s">
        <v>573</v>
      </c>
      <c r="D1024" s="2" t="str">
        <f t="shared" si="15"/>
        <v>Error?</v>
      </c>
    </row>
    <row r="1025" spans="1:4" x14ac:dyDescent="0.2">
      <c r="A1025" s="5">
        <v>964</v>
      </c>
      <c r="B1025" s="138">
        <f>'Expenditures 15-22'!H55</f>
        <v>2207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2207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2909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1396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4305</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34068</v>
      </c>
      <c r="D1041" s="2" t="str">
        <f t="shared" si="15"/>
        <v>Error?</v>
      </c>
    </row>
    <row r="1042" spans="1:4" x14ac:dyDescent="0.2">
      <c r="A1042" s="10">
        <v>981</v>
      </c>
      <c r="D1042" s="2" t="str">
        <f t="shared" si="15"/>
        <v>OK</v>
      </c>
    </row>
    <row r="1043" spans="1:4" x14ac:dyDescent="0.2">
      <c r="A1043" s="5">
        <v>982</v>
      </c>
      <c r="B1043" s="138">
        <f>'Expenditures 15-22'!H72</f>
        <v>34068</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50047</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140079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203901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4030332</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244477</v>
      </c>
      <c r="C1105" s="2" t="s">
        <v>573</v>
      </c>
      <c r="D1105" s="2" t="str">
        <f t="shared" si="16"/>
        <v>Error?</v>
      </c>
    </row>
    <row r="1106" spans="1:4" x14ac:dyDescent="0.2">
      <c r="A1106" s="5">
        <v>1045</v>
      </c>
      <c r="B1106" s="138">
        <f>'Expenditures 15-22'!K14</f>
        <v>299067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5998023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210354</v>
      </c>
      <c r="C1110" s="2" t="s">
        <v>573</v>
      </c>
      <c r="D1110" s="2" t="str">
        <f t="shared" si="16"/>
        <v>Error?</v>
      </c>
    </row>
    <row r="1111" spans="1:4" x14ac:dyDescent="0.2">
      <c r="A1111" s="5">
        <v>1050</v>
      </c>
      <c r="B1111" s="138">
        <f>'Expenditures 15-22'!K38</f>
        <v>46179</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73172</v>
      </c>
      <c r="C1113" s="2" t="s">
        <v>573</v>
      </c>
      <c r="D1113" s="2" t="str">
        <f t="shared" si="16"/>
        <v>Error?</v>
      </c>
    </row>
    <row r="1114" spans="1:4" x14ac:dyDescent="0.2">
      <c r="A1114" s="5">
        <v>1053</v>
      </c>
      <c r="B1114" s="138">
        <f>'Expenditures 15-22'!K41</f>
        <v>8315</v>
      </c>
      <c r="C1114" s="2" t="s">
        <v>573</v>
      </c>
      <c r="D1114" s="2" t="str">
        <f t="shared" si="16"/>
        <v>Error?</v>
      </c>
    </row>
    <row r="1115" spans="1:4" x14ac:dyDescent="0.2">
      <c r="A1115" s="5">
        <v>1054</v>
      </c>
      <c r="B1115" s="138">
        <f>'Expenditures 15-22'!K42</f>
        <v>338020</v>
      </c>
      <c r="C1115" s="2" t="s">
        <v>573</v>
      </c>
      <c r="D1115" s="2" t="str">
        <f t="shared" si="16"/>
        <v>Error?</v>
      </c>
    </row>
    <row r="1116" spans="1:4" x14ac:dyDescent="0.2">
      <c r="A1116" s="5">
        <v>1055</v>
      </c>
      <c r="B1116" s="138">
        <f>'Expenditures 15-22'!K44</f>
        <v>36121</v>
      </c>
      <c r="C1116" s="2" t="s">
        <v>573</v>
      </c>
      <c r="D1116" s="2" t="str">
        <f t="shared" si="16"/>
        <v>Error?</v>
      </c>
    </row>
    <row r="1117" spans="1:4" x14ac:dyDescent="0.2">
      <c r="A1117" s="5">
        <v>1056</v>
      </c>
      <c r="B1117" s="138">
        <f>'Expenditures 15-22'!K45</f>
        <v>132892</v>
      </c>
      <c r="C1117" s="2" t="s">
        <v>573</v>
      </c>
      <c r="D1117" s="2" t="str">
        <f t="shared" si="16"/>
        <v>Error?</v>
      </c>
    </row>
    <row r="1118" spans="1:4" x14ac:dyDescent="0.2">
      <c r="A1118" s="5">
        <v>1057</v>
      </c>
      <c r="B1118" s="138">
        <f>'Expenditures 15-22'!K46</f>
        <v>20177</v>
      </c>
      <c r="C1118" s="2" t="s">
        <v>573</v>
      </c>
      <c r="D1118" s="2" t="str">
        <f t="shared" si="16"/>
        <v>Error?</v>
      </c>
    </row>
    <row r="1119" spans="1:4" x14ac:dyDescent="0.2">
      <c r="A1119" s="5">
        <v>1058</v>
      </c>
      <c r="B1119" s="138">
        <f>'Expenditures 15-22'!K47</f>
        <v>189190</v>
      </c>
      <c r="C1119" s="2" t="s">
        <v>573</v>
      </c>
      <c r="D1119" s="2" t="str">
        <f t="shared" si="16"/>
        <v>Error?</v>
      </c>
    </row>
    <row r="1120" spans="1:4" x14ac:dyDescent="0.2">
      <c r="A1120" s="5">
        <v>1059</v>
      </c>
      <c r="B1120" s="138">
        <f>'Expenditures 15-22'!K49</f>
        <v>94976</v>
      </c>
      <c r="C1120" s="2" t="s">
        <v>573</v>
      </c>
      <c r="D1120" s="2" t="str">
        <f t="shared" si="16"/>
        <v>Error?</v>
      </c>
    </row>
    <row r="1121" spans="1:4" x14ac:dyDescent="0.2">
      <c r="A1121" s="5">
        <v>1060</v>
      </c>
      <c r="B1121" s="138">
        <f>'Expenditures 15-22'!K50</f>
        <v>165967</v>
      </c>
      <c r="C1121" s="2" t="s">
        <v>573</v>
      </c>
      <c r="D1121" s="2" t="str">
        <f t="shared" si="16"/>
        <v>Error?</v>
      </c>
    </row>
    <row r="1122" spans="1:4" x14ac:dyDescent="0.2">
      <c r="A1122" s="5">
        <v>1061</v>
      </c>
      <c r="B1122" s="138">
        <f>'Expenditures 15-22'!K53</f>
        <v>261251</v>
      </c>
      <c r="C1122" s="2" t="s">
        <v>573</v>
      </c>
      <c r="D1122" s="2" t="str">
        <f t="shared" si="16"/>
        <v>Error?</v>
      </c>
    </row>
    <row r="1123" spans="1:4" x14ac:dyDescent="0.2">
      <c r="A1123" s="5">
        <v>1062</v>
      </c>
      <c r="B1123" s="138">
        <f>'Expenditures 15-22'!K55</f>
        <v>715279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715279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170637</v>
      </c>
      <c r="C1127" s="2" t="s">
        <v>573</v>
      </c>
      <c r="D1127" s="2" t="str">
        <f t="shared" si="16"/>
        <v>Error?</v>
      </c>
    </row>
    <row r="1128" spans="1:4" x14ac:dyDescent="0.2">
      <c r="A1128" s="5">
        <v>1067</v>
      </c>
      <c r="B1128" s="138">
        <f>'Expenditures 15-22'!K61</f>
        <v>45368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494425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710430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309683</v>
      </c>
      <c r="C1139" s="2" t="s">
        <v>573</v>
      </c>
      <c r="D1139" s="2" t="str">
        <f t="shared" si="16"/>
        <v>Error?</v>
      </c>
    </row>
    <row r="1140" spans="1:4" x14ac:dyDescent="0.2">
      <c r="A1140" s="10">
        <v>1079</v>
      </c>
      <c r="D1140" s="2" t="str">
        <f t="shared" si="16"/>
        <v>OK</v>
      </c>
    </row>
    <row r="1141" spans="1:4" x14ac:dyDescent="0.2">
      <c r="A1141" s="5">
        <v>1080</v>
      </c>
      <c r="B1141" s="138">
        <f>'Expenditures 15-22'!K72</f>
        <v>309683</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2523853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1052763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9574639</v>
      </c>
      <c r="C1152" s="2" t="s">
        <v>573</v>
      </c>
      <c r="D1152" s="2" t="str">
        <f t="shared" si="17"/>
        <v>Error?</v>
      </c>
    </row>
    <row r="1153" spans="1:4" x14ac:dyDescent="0.2">
      <c r="A1153" s="5">
        <v>1092</v>
      </c>
      <c r="B1153" s="138">
        <f>'Expenditures 15-22'!K115</f>
        <v>141491</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474854</v>
      </c>
      <c r="D1221" s="2" t="str">
        <f t="shared" si="18"/>
        <v>Error?</v>
      </c>
    </row>
    <row r="1222" spans="1:4" x14ac:dyDescent="0.2">
      <c r="A1222" s="10">
        <v>1161</v>
      </c>
      <c r="D1222" s="2" t="str">
        <f t="shared" si="18"/>
        <v>OK</v>
      </c>
    </row>
    <row r="1223" spans="1:4" x14ac:dyDescent="0.2">
      <c r="A1223" s="5">
        <v>1162</v>
      </c>
      <c r="B1223" s="138">
        <f>'Expenditures 15-22'!C127</f>
        <v>474854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474854</v>
      </c>
      <c r="C1225" s="2" t="s">
        <v>573</v>
      </c>
      <c r="D1225" s="2" t="str">
        <f t="shared" si="18"/>
        <v>Error?</v>
      </c>
    </row>
    <row r="1226" spans="1:4" x14ac:dyDescent="0.2">
      <c r="A1226" s="5">
        <v>1165</v>
      </c>
      <c r="B1226" s="138">
        <f>'Expenditures 15-22'!C151</f>
        <v>474854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69384</v>
      </c>
      <c r="D1229" s="2" t="str">
        <f t="shared" si="18"/>
        <v>Error?</v>
      </c>
    </row>
    <row r="1230" spans="1:4" x14ac:dyDescent="0.2">
      <c r="A1230" s="10">
        <v>1169</v>
      </c>
      <c r="D1230" s="2" t="str">
        <f t="shared" si="18"/>
        <v>OK</v>
      </c>
    </row>
    <row r="1231" spans="1:4" x14ac:dyDescent="0.2">
      <c r="A1231" s="5">
        <v>1170</v>
      </c>
      <c r="B1231" s="138">
        <f>'Expenditures 15-22'!D127</f>
        <v>69384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69384</v>
      </c>
      <c r="C1233" s="2" t="s">
        <v>573</v>
      </c>
      <c r="D1233" s="2" t="str">
        <f t="shared" si="18"/>
        <v>Error?</v>
      </c>
    </row>
    <row r="1234" spans="1:4" x14ac:dyDescent="0.2">
      <c r="A1234" s="5">
        <v>1173</v>
      </c>
      <c r="B1234" s="138">
        <f>'Expenditures 15-22'!D151</f>
        <v>69384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291085</v>
      </c>
      <c r="D1237" s="2" t="str">
        <f t="shared" si="18"/>
        <v>Error?</v>
      </c>
    </row>
    <row r="1238" spans="1:4" x14ac:dyDescent="0.2">
      <c r="A1238" s="10">
        <v>1177</v>
      </c>
      <c r="D1238" s="2" t="str">
        <f t="shared" si="18"/>
        <v>OK</v>
      </c>
    </row>
    <row r="1239" spans="1:4" x14ac:dyDescent="0.2">
      <c r="A1239" s="5">
        <v>1178</v>
      </c>
      <c r="B1239" s="138">
        <f>'Expenditures 15-22'!E127</f>
        <v>291085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291085</v>
      </c>
      <c r="C1241" s="2" t="s">
        <v>573</v>
      </c>
      <c r="D1241" s="2" t="str">
        <f t="shared" si="18"/>
        <v>Error?</v>
      </c>
    </row>
    <row r="1242" spans="1:4" x14ac:dyDescent="0.2">
      <c r="A1242" s="5">
        <v>1181</v>
      </c>
      <c r="B1242" s="138">
        <f>'Expenditures 15-22'!E151</f>
        <v>291085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336372</v>
      </c>
      <c r="D1245" s="2" t="str">
        <f t="shared" si="18"/>
        <v>Error?</v>
      </c>
    </row>
    <row r="1246" spans="1:4" x14ac:dyDescent="0.2">
      <c r="A1246" s="10">
        <v>1185</v>
      </c>
      <c r="D1246" s="2" t="str">
        <f t="shared" si="18"/>
        <v>OK</v>
      </c>
    </row>
    <row r="1247" spans="1:4" x14ac:dyDescent="0.2">
      <c r="A1247" s="5">
        <v>1186</v>
      </c>
      <c r="B1247" s="138">
        <f>'Expenditures 15-22'!F127</f>
        <v>336372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336372</v>
      </c>
      <c r="C1249" s="2" t="s">
        <v>573</v>
      </c>
      <c r="D1249" s="2" t="str">
        <f t="shared" si="18"/>
        <v>Error?</v>
      </c>
    </row>
    <row r="1250" spans="1:4" x14ac:dyDescent="0.2">
      <c r="A1250" s="5">
        <v>1189</v>
      </c>
      <c r="B1250" s="138">
        <f>'Expenditures 15-22'!F151</f>
        <v>336372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89393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89393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89393</v>
      </c>
      <c r="C1258" s="2" t="s">
        <v>573</v>
      </c>
      <c r="D1258" s="2" t="str">
        <f t="shared" si="18"/>
        <v>Error?</v>
      </c>
    </row>
    <row r="1259" spans="1:4" x14ac:dyDescent="0.2">
      <c r="A1259" s="5">
        <v>1198</v>
      </c>
      <c r="B1259" s="138">
        <f>'Expenditures 15-22'!G151</f>
        <v>89393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1261088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1261088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1261088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1261088</v>
      </c>
      <c r="C1288" s="2" t="s">
        <v>573</v>
      </c>
      <c r="D1288" s="2" t="str">
        <f t="shared" si="19"/>
        <v>Error?</v>
      </c>
    </row>
    <row r="1289" spans="1:4" x14ac:dyDescent="0.2">
      <c r="A1289" s="5">
        <v>1228</v>
      </c>
      <c r="B1289" s="138">
        <f>'Expenditures 15-22'!K152</f>
        <v>-155169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145455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440455</v>
      </c>
      <c r="C1317" s="2" t="s">
        <v>573</v>
      </c>
      <c r="D1317" s="2" t="str">
        <f t="shared" si="19"/>
        <v>Error?</v>
      </c>
    </row>
    <row r="1318" spans="1:4" x14ac:dyDescent="0.2">
      <c r="A1318" s="5">
        <v>1257</v>
      </c>
      <c r="B1318" s="138">
        <f>'Expenditures 15-22'!H174</f>
        <v>440455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145455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295000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440455</v>
      </c>
      <c r="C1331" s="2" t="s">
        <v>573</v>
      </c>
      <c r="D1331" s="2" t="str">
        <f t="shared" si="19"/>
        <v>Error?</v>
      </c>
    </row>
    <row r="1332" spans="1:4" x14ac:dyDescent="0.2">
      <c r="A1332" s="5">
        <v>1271</v>
      </c>
      <c r="B1332" s="138">
        <f>'Expenditures 15-22'!K174</f>
        <v>440455</v>
      </c>
      <c r="C1332" s="2" t="s">
        <v>573</v>
      </c>
      <c r="D1332" s="2" t="str">
        <f t="shared" si="19"/>
        <v>Error?</v>
      </c>
    </row>
    <row r="1333" spans="1:4" x14ac:dyDescent="0.2">
      <c r="A1333" s="5">
        <v>1272</v>
      </c>
      <c r="B1333" s="138">
        <f>'Expenditures 15-22'!K175</f>
        <v>-200944</v>
      </c>
      <c r="C1333" s="2" t="s">
        <v>573</v>
      </c>
      <c r="D1333" s="2" t="str">
        <f t="shared" si="19"/>
        <v>Error?</v>
      </c>
    </row>
    <row r="1334" spans="1:4" x14ac:dyDescent="0.2">
      <c r="A1334" s="10">
        <v>1273</v>
      </c>
      <c r="D1334" s="2" t="str">
        <f t="shared" si="19"/>
        <v>OK</v>
      </c>
    </row>
    <row r="1335" spans="1:4" x14ac:dyDescent="0.2">
      <c r="A1335" s="5">
        <v>1274</v>
      </c>
      <c r="B1335" s="138">
        <f>'Expenditures 15-22'!C182</f>
        <v>508703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508703</v>
      </c>
      <c r="C1339" s="2" t="s">
        <v>573</v>
      </c>
      <c r="D1339" s="2" t="str">
        <f t="shared" si="19"/>
        <v>Error?</v>
      </c>
    </row>
    <row r="1340" spans="1:4" x14ac:dyDescent="0.2">
      <c r="A1340" s="5">
        <v>1279</v>
      </c>
      <c r="B1340" s="138">
        <f>'Expenditures 15-22'!C210</f>
        <v>508703</v>
      </c>
      <c r="C1340" s="2" t="s">
        <v>573</v>
      </c>
      <c r="D1340" s="2" t="str">
        <f t="shared" si="19"/>
        <v>Error?</v>
      </c>
    </row>
    <row r="1341" spans="1:4" x14ac:dyDescent="0.2">
      <c r="A1341" s="5">
        <v>1280</v>
      </c>
      <c r="B1341" s="138">
        <f>'Expenditures 15-22'!D182</f>
        <v>57115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57115</v>
      </c>
      <c r="C1345" s="2" t="s">
        <v>573</v>
      </c>
      <c r="D1345" s="2" t="str">
        <f t="shared" si="20"/>
        <v>Error?</v>
      </c>
    </row>
    <row r="1346" spans="1:4" x14ac:dyDescent="0.2">
      <c r="A1346" s="5">
        <v>1285</v>
      </c>
      <c r="B1346" s="138">
        <f>'Expenditures 15-22'!D210</f>
        <v>57115</v>
      </c>
      <c r="C1346" s="2" t="s">
        <v>573</v>
      </c>
      <c r="D1346" s="2" t="str">
        <f t="shared" si="20"/>
        <v>Error?</v>
      </c>
    </row>
    <row r="1347" spans="1:4" x14ac:dyDescent="0.2">
      <c r="A1347" s="5">
        <v>1286</v>
      </c>
      <c r="B1347" s="138">
        <f>'Expenditures 15-22'!E182</f>
        <v>39118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39118</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39118</v>
      </c>
      <c r="C1353" s="2" t="s">
        <v>573</v>
      </c>
      <c r="D1353" s="2" t="str">
        <f t="shared" si="20"/>
        <v>Error?</v>
      </c>
    </row>
    <row r="1354" spans="1:4" x14ac:dyDescent="0.2">
      <c r="A1354" s="5">
        <v>1293</v>
      </c>
      <c r="B1354" s="138">
        <f>'Expenditures 15-22'!F182</f>
        <v>105590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105590</v>
      </c>
      <c r="C1358" s="2" t="s">
        <v>573</v>
      </c>
      <c r="D1358" s="2" t="str">
        <f t="shared" si="20"/>
        <v>Error?</v>
      </c>
    </row>
    <row r="1359" spans="1:4" x14ac:dyDescent="0.2">
      <c r="A1359" s="5">
        <v>1298</v>
      </c>
      <c r="B1359" s="138">
        <f>'Expenditures 15-22'!F210</f>
        <v>105590</v>
      </c>
      <c r="C1359" s="2" t="s">
        <v>573</v>
      </c>
      <c r="D1359" s="2" t="str">
        <f t="shared" si="20"/>
        <v>Error?</v>
      </c>
    </row>
    <row r="1360" spans="1:4" x14ac:dyDescent="0.2">
      <c r="A1360" s="5">
        <v>1299</v>
      </c>
      <c r="B1360" s="138">
        <f>'Expenditures 15-22'!G182</f>
        <v>276848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276848</v>
      </c>
      <c r="C1364" s="2" t="s">
        <v>573</v>
      </c>
      <c r="D1364" s="2" t="str">
        <f t="shared" si="20"/>
        <v>Error?</v>
      </c>
    </row>
    <row r="1365" spans="1:4" x14ac:dyDescent="0.2">
      <c r="A1365" s="5">
        <v>1304</v>
      </c>
      <c r="B1365" s="138">
        <f>'Expenditures 15-22'!G210</f>
        <v>276848</v>
      </c>
      <c r="C1365" s="2" t="s">
        <v>573</v>
      </c>
      <c r="D1365" s="2" t="str">
        <f t="shared" si="20"/>
        <v>Error?</v>
      </c>
    </row>
    <row r="1366" spans="1:4" x14ac:dyDescent="0.2">
      <c r="A1366" s="5">
        <v>1305</v>
      </c>
      <c r="B1366" s="138">
        <f>'Expenditures 15-22'!H182</f>
        <v>38027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38027</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38027</v>
      </c>
      <c r="C1376" s="2" t="s">
        <v>573</v>
      </c>
      <c r="D1376" s="2" t="str">
        <f t="shared" si="20"/>
        <v>Error?</v>
      </c>
    </row>
    <row r="1377" spans="1:4" x14ac:dyDescent="0.2">
      <c r="A1377" s="5">
        <v>1316</v>
      </c>
      <c r="B1377" s="138">
        <f>'Expenditures 15-22'!K182</f>
        <v>1025401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1025401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1025401</v>
      </c>
      <c r="C1388" s="2" t="s">
        <v>573</v>
      </c>
      <c r="D1388" s="2" t="str">
        <f t="shared" si="20"/>
        <v>Error?</v>
      </c>
    </row>
    <row r="1389" spans="1:4" x14ac:dyDescent="0.2">
      <c r="A1389" s="5">
        <v>1328</v>
      </c>
      <c r="B1389" s="138">
        <f>'Expenditures 15-22'!K211</f>
        <v>87613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2244</v>
      </c>
      <c r="D1407" s="2" t="str">
        <f t="shared" ref="D1407:D1470" si="21">IF(ISBLANK(B1407),"OK",IF(A1407-B1407=0,"OK","Error?"))</f>
        <v>Error?</v>
      </c>
    </row>
    <row r="1408" spans="1:4" x14ac:dyDescent="0.2">
      <c r="A1408" s="5">
        <v>1347</v>
      </c>
      <c r="B1408" s="138">
        <f>'Expenditures 15-22'!D223</f>
        <v>6426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149571</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2473</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624</v>
      </c>
      <c r="D1415" s="2" t="str">
        <f t="shared" si="21"/>
        <v>Error?</v>
      </c>
    </row>
    <row r="1416" spans="1:4" x14ac:dyDescent="0.2">
      <c r="A1416" s="5">
        <v>1355</v>
      </c>
      <c r="B1416" s="138">
        <f>'Expenditures 15-22'!D237</f>
        <v>241</v>
      </c>
      <c r="D1416" s="2" t="str">
        <f t="shared" si="21"/>
        <v>Error?</v>
      </c>
    </row>
    <row r="1417" spans="1:4" x14ac:dyDescent="0.2">
      <c r="A1417" s="5">
        <v>1356</v>
      </c>
      <c r="B1417" s="138">
        <f>'Expenditures 15-22'!D238</f>
        <v>3338</v>
      </c>
      <c r="C1417" s="2" t="s">
        <v>573</v>
      </c>
      <c r="D1417" s="2" t="str">
        <f t="shared" si="21"/>
        <v>Error?</v>
      </c>
    </row>
    <row r="1418" spans="1:4" x14ac:dyDescent="0.2">
      <c r="A1418" s="5">
        <v>1357</v>
      </c>
      <c r="B1418" s="138">
        <f>'Expenditures 15-22'!D240</f>
        <v>111</v>
      </c>
      <c r="D1418" s="2" t="str">
        <f t="shared" si="21"/>
        <v>Error?</v>
      </c>
    </row>
    <row r="1419" spans="1:4" x14ac:dyDescent="0.2">
      <c r="A1419" s="5">
        <v>1358</v>
      </c>
      <c r="B1419" s="138">
        <f>'Expenditures 15-22'!D241</f>
        <v>4392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4503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4037</v>
      </c>
      <c r="D1423" s="2" t="str">
        <f t="shared" si="21"/>
        <v>Error?</v>
      </c>
    </row>
    <row r="1424" spans="1:4" x14ac:dyDescent="0.2">
      <c r="A1424" s="5">
        <v>1363</v>
      </c>
      <c r="B1424" s="138">
        <f>'Expenditures 15-22'!D257</f>
        <v>4037</v>
      </c>
      <c r="C1424" s="2" t="s">
        <v>573</v>
      </c>
      <c r="D1424" s="2" t="str">
        <f t="shared" si="21"/>
        <v>Error?</v>
      </c>
    </row>
    <row r="1425" spans="1:4" x14ac:dyDescent="0.2">
      <c r="A1425" s="5">
        <v>1364</v>
      </c>
      <c r="B1425" s="138">
        <f>'Expenditures 15-22'!D259</f>
        <v>28980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28980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22444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81090</v>
      </c>
      <c r="D1431" s="2" t="str">
        <f t="shared" si="21"/>
        <v>Error?</v>
      </c>
    </row>
    <row r="1432" spans="1:4" x14ac:dyDescent="0.2">
      <c r="A1432" s="5">
        <v>1371</v>
      </c>
      <c r="B1432" s="138">
        <f>'Expenditures 15-22'!D267</f>
        <v>80660</v>
      </c>
      <c r="D1432" s="2" t="str">
        <f t="shared" si="21"/>
        <v>Error?</v>
      </c>
    </row>
    <row r="1433" spans="1:4" x14ac:dyDescent="0.2">
      <c r="A1433" s="5">
        <v>1372</v>
      </c>
      <c r="B1433" s="138">
        <f>'Expenditures 15-22'!D268</f>
        <v>39050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223244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18677</v>
      </c>
      <c r="D1442" s="2" t="str">
        <f t="shared" si="21"/>
        <v>Error?</v>
      </c>
    </row>
    <row r="1443" spans="1:4" x14ac:dyDescent="0.2">
      <c r="A1443" s="10">
        <v>1382</v>
      </c>
      <c r="D1443" s="2" t="str">
        <f t="shared" si="21"/>
        <v>OK</v>
      </c>
    </row>
    <row r="1444" spans="1:4" x14ac:dyDescent="0.2">
      <c r="A1444" s="5">
        <v>1383</v>
      </c>
      <c r="B1444" s="138">
        <f>'Expenditures 15-22'!D277</f>
        <v>18677</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282779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432350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2244</v>
      </c>
      <c r="C1471" s="2" t="s">
        <v>573</v>
      </c>
      <c r="D1471" s="2" t="str">
        <f t="shared" ref="D1471:D1534" si="22">IF(ISBLANK(B1471),"OK",IF(A1471-B1471=0,"OK","Error?"))</f>
        <v>Error?</v>
      </c>
    </row>
    <row r="1472" spans="1:4" x14ac:dyDescent="0.2">
      <c r="A1472" s="5">
        <v>1411</v>
      </c>
      <c r="B1472" s="138">
        <f>'Expenditures 15-22'!K223</f>
        <v>6426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149571</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2473</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624</v>
      </c>
      <c r="C1479" s="2" t="s">
        <v>573</v>
      </c>
      <c r="D1479" s="2" t="str">
        <f t="shared" si="22"/>
        <v>Error?</v>
      </c>
    </row>
    <row r="1480" spans="1:4" x14ac:dyDescent="0.2">
      <c r="A1480" s="5">
        <v>1419</v>
      </c>
      <c r="B1480" s="138">
        <f>'Expenditures 15-22'!K237</f>
        <v>241</v>
      </c>
      <c r="C1480" s="2" t="s">
        <v>573</v>
      </c>
      <c r="D1480" s="2" t="str">
        <f t="shared" si="22"/>
        <v>Error?</v>
      </c>
    </row>
    <row r="1481" spans="1:4" x14ac:dyDescent="0.2">
      <c r="A1481" s="5">
        <v>1420</v>
      </c>
      <c r="B1481" s="138">
        <f>'Expenditures 15-22'!K238</f>
        <v>3338</v>
      </c>
      <c r="C1481" s="2" t="s">
        <v>573</v>
      </c>
      <c r="D1481" s="2" t="str">
        <f t="shared" si="22"/>
        <v>Error?</v>
      </c>
    </row>
    <row r="1482" spans="1:4" x14ac:dyDescent="0.2">
      <c r="A1482" s="5">
        <v>1421</v>
      </c>
      <c r="B1482" s="138">
        <f>'Expenditures 15-22'!K240</f>
        <v>111</v>
      </c>
      <c r="C1482" s="2" t="s">
        <v>573</v>
      </c>
      <c r="D1482" s="2" t="str">
        <f t="shared" si="22"/>
        <v>Error?</v>
      </c>
    </row>
    <row r="1483" spans="1:4" x14ac:dyDescent="0.2">
      <c r="A1483" s="5">
        <v>1422</v>
      </c>
      <c r="B1483" s="138">
        <f>'Expenditures 15-22'!K241</f>
        <v>4392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4503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4037</v>
      </c>
      <c r="C1487" s="2" t="s">
        <v>573</v>
      </c>
      <c r="D1487" s="2" t="str">
        <f t="shared" si="22"/>
        <v>Error?</v>
      </c>
    </row>
    <row r="1488" spans="1:4" x14ac:dyDescent="0.2">
      <c r="A1488" s="5">
        <v>1427</v>
      </c>
      <c r="B1488" s="138">
        <f>'Expenditures 15-22'!K257</f>
        <v>4037</v>
      </c>
      <c r="C1488" s="2" t="s">
        <v>573</v>
      </c>
      <c r="D1488" s="2" t="str">
        <f t="shared" si="22"/>
        <v>Error?</v>
      </c>
    </row>
    <row r="1489" spans="1:4" x14ac:dyDescent="0.2">
      <c r="A1489" s="5">
        <v>1428</v>
      </c>
      <c r="B1489" s="138">
        <f>'Expenditures 15-22'!K259</f>
        <v>28980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28980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22444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81090</v>
      </c>
      <c r="C1495" s="2" t="s">
        <v>573</v>
      </c>
      <c r="D1495" s="2" t="str">
        <f t="shared" si="22"/>
        <v>Error?</v>
      </c>
    </row>
    <row r="1496" spans="1:4" x14ac:dyDescent="0.2">
      <c r="A1496" s="5">
        <v>1435</v>
      </c>
      <c r="B1496" s="138">
        <f>'Expenditures 15-22'!K267</f>
        <v>80660</v>
      </c>
      <c r="C1496" s="2" t="s">
        <v>573</v>
      </c>
      <c r="D1496" s="2" t="str">
        <f t="shared" si="22"/>
        <v>Error?</v>
      </c>
    </row>
    <row r="1497" spans="1:4" x14ac:dyDescent="0.2">
      <c r="A1497" s="5">
        <v>1436</v>
      </c>
      <c r="B1497" s="138">
        <f>'Expenditures 15-22'!K268</f>
        <v>39050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223244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18677</v>
      </c>
      <c r="C1506" s="2" t="s">
        <v>573</v>
      </c>
      <c r="D1506" s="2" t="str">
        <f t="shared" si="22"/>
        <v>Error?</v>
      </c>
    </row>
    <row r="1507" spans="1:4" x14ac:dyDescent="0.2">
      <c r="A1507" s="10">
        <v>1446</v>
      </c>
      <c r="D1507" s="2" t="str">
        <f t="shared" si="22"/>
        <v>OK</v>
      </c>
    </row>
    <row r="1508" spans="1:4" x14ac:dyDescent="0.2">
      <c r="A1508" s="5">
        <v>1447</v>
      </c>
      <c r="B1508" s="138">
        <f>'Expenditures 15-22'!K277</f>
        <v>18677</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282779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432350</v>
      </c>
      <c r="C1517" s="2" t="s">
        <v>573</v>
      </c>
      <c r="D1517" s="2" t="str">
        <f t="shared" si="22"/>
        <v>Error?</v>
      </c>
    </row>
    <row r="1518" spans="1:4" x14ac:dyDescent="0.2">
      <c r="A1518" s="5">
        <v>1457</v>
      </c>
      <c r="B1518" s="138">
        <f>'Expenditures 15-22'!K296</f>
        <v>-44011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2028592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2170083</v>
      </c>
      <c r="C1630" s="2" t="s">
        <v>573</v>
      </c>
      <c r="D1630" s="2" t="str">
        <f t="shared" si="24"/>
        <v>Error?</v>
      </c>
    </row>
    <row r="1631" spans="1:4" x14ac:dyDescent="0.2">
      <c r="A1631" s="5">
        <v>1570</v>
      </c>
      <c r="B1631" s="138">
        <f>'Acct Summary 7-8'!D79</f>
        <v>402717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247548</v>
      </c>
      <c r="C1644" s="2" t="s">
        <v>573</v>
      </c>
      <c r="D1644" s="2" t="str">
        <f t="shared" si="24"/>
        <v>Error?</v>
      </c>
    </row>
    <row r="1645" spans="1:4" x14ac:dyDescent="0.2">
      <c r="A1645" s="5">
        <v>1584</v>
      </c>
      <c r="B1645" s="138">
        <f>'Acct Summary 7-8'!E79</f>
        <v>505399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304455</v>
      </c>
      <c r="C1658" s="2" t="s">
        <v>573</v>
      </c>
      <c r="D1658" s="2" t="str">
        <f t="shared" si="24"/>
        <v>Error?</v>
      </c>
    </row>
    <row r="1659" spans="1:4" x14ac:dyDescent="0.2">
      <c r="A1659" s="5">
        <v>1598</v>
      </c>
      <c r="B1659" s="138">
        <f>'Acct Summary 7-8'!F79</f>
        <v>421983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510202</v>
      </c>
      <c r="C1672" s="2" t="s">
        <v>573</v>
      </c>
      <c r="D1672" s="2" t="str">
        <f t="shared" si="25"/>
        <v>Error?</v>
      </c>
    </row>
    <row r="1673" spans="1:4" x14ac:dyDescent="0.2">
      <c r="A1673" s="5">
        <v>1612</v>
      </c>
      <c r="B1673" s="138">
        <f>'Acct Summary 7-8'!G79</f>
        <v>479884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435873</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5841966</v>
      </c>
      <c r="C1744" s="2" t="s">
        <v>573</v>
      </c>
      <c r="D1744" s="2" t="str">
        <f t="shared" si="26"/>
        <v>Error?</v>
      </c>
    </row>
    <row r="1745" spans="1:5" x14ac:dyDescent="0.2">
      <c r="A1745" s="5">
        <v>1684</v>
      </c>
      <c r="B1745" s="138">
        <f>'Tax Sched 23'!B5</f>
        <v>797731</v>
      </c>
      <c r="C1745" s="2" t="s">
        <v>573</v>
      </c>
      <c r="D1745" s="2" t="str">
        <f t="shared" si="26"/>
        <v>Error?</v>
      </c>
    </row>
    <row r="1746" spans="1:5" x14ac:dyDescent="0.2">
      <c r="A1746" s="5">
        <v>1685</v>
      </c>
      <c r="B1746" s="138">
        <f>'Tax Sched 23'!B6</f>
        <v>154716</v>
      </c>
      <c r="C1746" s="2" t="s">
        <v>573</v>
      </c>
      <c r="D1746" s="2" t="str">
        <f t="shared" si="26"/>
        <v>Error?</v>
      </c>
    </row>
    <row r="1747" spans="1:5" x14ac:dyDescent="0.2">
      <c r="A1747" s="5">
        <v>1686</v>
      </c>
      <c r="B1747" s="138">
        <f>'Tax Sched 23'!B7</f>
        <v>322316</v>
      </c>
      <c r="C1747" s="2" t="s">
        <v>573</v>
      </c>
      <c r="D1747" s="2" t="str">
        <f t="shared" si="26"/>
        <v>Error?</v>
      </c>
    </row>
    <row r="1748" spans="1:5" x14ac:dyDescent="0.2">
      <c r="A1748" s="5">
        <v>1687</v>
      </c>
      <c r="B1748" s="138">
        <f>'Tax Sched 23'!B8</f>
        <v>174534</v>
      </c>
      <c r="C1748" s="2" t="s">
        <v>573</v>
      </c>
      <c r="D1748" s="2" t="str">
        <f t="shared" si="26"/>
        <v>Error?</v>
      </c>
    </row>
    <row r="1749" spans="1:5" x14ac:dyDescent="0.2">
      <c r="A1749" s="5">
        <v>1688</v>
      </c>
      <c r="B1749" s="138">
        <f>'Tax Sched 23'!B10</f>
        <v>80577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299235</v>
      </c>
      <c r="C1752" s="2" t="s">
        <v>573</v>
      </c>
      <c r="D1752" s="2" t="str">
        <f t="shared" si="26"/>
        <v>Error?</v>
      </c>
    </row>
    <row r="1753" spans="1:5" x14ac:dyDescent="0.2">
      <c r="A1753" s="5">
        <v>1692</v>
      </c>
      <c r="B1753" s="138">
        <f>'Tax Sched 23'!B12</f>
        <v>80577</v>
      </c>
      <c r="C1753" s="2" t="s">
        <v>573</v>
      </c>
      <c r="D1753" s="2" t="str">
        <f t="shared" si="26"/>
        <v>Error?</v>
      </c>
    </row>
    <row r="1754" spans="1:5" x14ac:dyDescent="0.2">
      <c r="A1754" s="5">
        <v>1693</v>
      </c>
      <c r="B1754" s="138">
        <f>'Tax Sched 23'!B14</f>
        <v>64461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8021391</v>
      </c>
      <c r="C1759" s="2" t="s">
        <v>573</v>
      </c>
      <c r="D1759" s="2" t="str">
        <f t="shared" si="26"/>
        <v>Error?</v>
      </c>
    </row>
    <row r="1760" spans="1:5" x14ac:dyDescent="0.2">
      <c r="A1760" s="5">
        <v>1699</v>
      </c>
      <c r="B1760" s="138">
        <f>'Tax Sched 23'!D4</f>
        <v>5841966</v>
      </c>
      <c r="C1760" s="2" t="s">
        <v>573</v>
      </c>
      <c r="D1760" s="2" t="str">
        <f t="shared" si="26"/>
        <v>Error?</v>
      </c>
    </row>
    <row r="1761" spans="1:5" x14ac:dyDescent="0.2">
      <c r="A1761" s="5">
        <v>1700</v>
      </c>
      <c r="B1761" s="138">
        <f>'Tax Sched 23'!D5</f>
        <v>797731</v>
      </c>
      <c r="C1761" s="2" t="s">
        <v>573</v>
      </c>
      <c r="D1761" s="2" t="str">
        <f t="shared" si="26"/>
        <v>Error?</v>
      </c>
    </row>
    <row r="1762" spans="1:5" s="8" customFormat="1" x14ac:dyDescent="0.2">
      <c r="A1762" s="5">
        <v>1701</v>
      </c>
      <c r="B1762" s="138">
        <f>'Tax Sched 23'!D6</f>
        <v>154716</v>
      </c>
      <c r="C1762" s="2" t="s">
        <v>573</v>
      </c>
      <c r="D1762" s="2" t="str">
        <f t="shared" si="26"/>
        <v>Error?</v>
      </c>
      <c r="E1762" s="9"/>
    </row>
    <row r="1763" spans="1:5" x14ac:dyDescent="0.2">
      <c r="A1763" s="5">
        <v>1702</v>
      </c>
      <c r="B1763" s="138">
        <f>'Tax Sched 23'!D7</f>
        <v>322316</v>
      </c>
      <c r="C1763" s="2" t="s">
        <v>573</v>
      </c>
      <c r="D1763" s="2" t="str">
        <f t="shared" si="26"/>
        <v>Error?</v>
      </c>
    </row>
    <row r="1764" spans="1:5" x14ac:dyDescent="0.2">
      <c r="A1764" s="5">
        <v>1703</v>
      </c>
      <c r="B1764" s="138">
        <f>'Tax Sched 23'!D8</f>
        <v>174534</v>
      </c>
      <c r="C1764" s="2" t="s">
        <v>573</v>
      </c>
      <c r="D1764" s="2" t="str">
        <f t="shared" si="26"/>
        <v>Error?</v>
      </c>
    </row>
    <row r="1765" spans="1:5" x14ac:dyDescent="0.2">
      <c r="A1765" s="5">
        <v>1704</v>
      </c>
      <c r="B1765" s="138">
        <f>'Tax Sched 23'!D10</f>
        <v>80577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299235</v>
      </c>
      <c r="C1768" s="2" t="s">
        <v>573</v>
      </c>
      <c r="D1768" s="2" t="str">
        <f t="shared" si="26"/>
        <v>Error?</v>
      </c>
    </row>
    <row r="1769" spans="1:5" x14ac:dyDescent="0.2">
      <c r="A1769" s="5">
        <v>1708</v>
      </c>
      <c r="B1769" s="138">
        <f>'Tax Sched 23'!D12</f>
        <v>80577</v>
      </c>
      <c r="C1769" s="2" t="s">
        <v>573</v>
      </c>
      <c r="D1769" s="2" t="str">
        <f t="shared" si="26"/>
        <v>Error?</v>
      </c>
    </row>
    <row r="1770" spans="1:5" x14ac:dyDescent="0.2">
      <c r="A1770" s="5">
        <v>1709</v>
      </c>
      <c r="B1770" s="138">
        <f>'Tax Sched 23'!D14</f>
        <v>64461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8021391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6138050</v>
      </c>
      <c r="C1792" s="2" t="s">
        <v>573</v>
      </c>
      <c r="D1792" s="2" t="str">
        <f t="shared" si="27"/>
        <v>Error?</v>
      </c>
    </row>
    <row r="1793" spans="1:4" x14ac:dyDescent="0.2">
      <c r="A1793" s="5">
        <v>1732</v>
      </c>
      <c r="B1793" s="138">
        <f>'Tax Sched 23'!F5</f>
        <v>838161</v>
      </c>
      <c r="C1793" s="2" t="s">
        <v>573</v>
      </c>
      <c r="D1793" s="2" t="str">
        <f t="shared" si="27"/>
        <v>Error?</v>
      </c>
    </row>
    <row r="1794" spans="1:4" x14ac:dyDescent="0.2">
      <c r="A1794" s="5">
        <v>1733</v>
      </c>
      <c r="B1794" s="138">
        <f>'Tax Sched 23'!F6</f>
        <v>129167</v>
      </c>
      <c r="C1794" s="2" t="s">
        <v>573</v>
      </c>
      <c r="D1794" s="2" t="str">
        <f t="shared" si="27"/>
        <v>Error?</v>
      </c>
    </row>
    <row r="1795" spans="1:4" x14ac:dyDescent="0.2">
      <c r="A1795" s="5">
        <v>1734</v>
      </c>
      <c r="B1795" s="138">
        <f>'Tax Sched 23'!F7</f>
        <v>338651</v>
      </c>
      <c r="C1795" s="2" t="s">
        <v>573</v>
      </c>
      <c r="D1795" s="2" t="str">
        <f t="shared" si="27"/>
        <v>Error?</v>
      </c>
    </row>
    <row r="1796" spans="1:4" x14ac:dyDescent="0.2">
      <c r="A1796" s="5">
        <v>1735</v>
      </c>
      <c r="B1796" s="138">
        <f>'Tax Sched 23'!F8</f>
        <v>150013</v>
      </c>
      <c r="C1796" s="2" t="s">
        <v>573</v>
      </c>
      <c r="D1796" s="2" t="str">
        <f t="shared" si="27"/>
        <v>Error?</v>
      </c>
    </row>
    <row r="1797" spans="1:4" x14ac:dyDescent="0.2">
      <c r="A1797" s="5">
        <v>1736</v>
      </c>
      <c r="B1797" s="138">
        <f>'Tax Sched 23'!F10</f>
        <v>84663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300026</v>
      </c>
      <c r="C1800" s="2" t="s">
        <v>573</v>
      </c>
      <c r="D1800" s="2" t="str">
        <f t="shared" si="27"/>
        <v>Error?</v>
      </c>
    </row>
    <row r="1801" spans="1:4" x14ac:dyDescent="0.2">
      <c r="A1801" s="5">
        <v>1740</v>
      </c>
      <c r="B1801" s="138">
        <f>'Tax Sched 23'!F12</f>
        <v>84663</v>
      </c>
      <c r="C1801" s="2" t="s">
        <v>573</v>
      </c>
      <c r="D1801" s="2" t="str">
        <f t="shared" si="27"/>
        <v>Error?</v>
      </c>
    </row>
    <row r="1802" spans="1:4" x14ac:dyDescent="0.2">
      <c r="A1802" s="5">
        <v>1741</v>
      </c>
      <c r="B1802" s="138">
        <f>'Tax Sched 23'!F14</f>
        <v>67730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8390831</v>
      </c>
      <c r="C1807" s="2" t="s">
        <v>573</v>
      </c>
      <c r="D1807" s="2" t="str">
        <f t="shared" si="27"/>
        <v>Error?</v>
      </c>
    </row>
    <row r="1808" spans="1:4" x14ac:dyDescent="0.2">
      <c r="A1808" s="5">
        <v>1747</v>
      </c>
      <c r="B1808" s="138">
        <f>'Tax Sched 23'!E4</f>
        <v>6138050</v>
      </c>
      <c r="D1808" s="2" t="str">
        <f t="shared" si="27"/>
        <v>Error?</v>
      </c>
    </row>
    <row r="1809" spans="1:4" x14ac:dyDescent="0.2">
      <c r="A1809" s="5">
        <v>1748</v>
      </c>
      <c r="B1809" s="138">
        <f>'Tax Sched 23'!E5</f>
        <v>838161</v>
      </c>
      <c r="D1809" s="2" t="str">
        <f t="shared" si="27"/>
        <v>Error?</v>
      </c>
    </row>
    <row r="1810" spans="1:4" x14ac:dyDescent="0.2">
      <c r="A1810" s="5">
        <v>1749</v>
      </c>
      <c r="B1810" s="138">
        <f>'Tax Sched 23'!E6</f>
        <v>129167</v>
      </c>
      <c r="D1810" s="2" t="str">
        <f t="shared" si="27"/>
        <v>Error?</v>
      </c>
    </row>
    <row r="1811" spans="1:4" x14ac:dyDescent="0.2">
      <c r="A1811" s="5">
        <v>1750</v>
      </c>
      <c r="B1811" s="138">
        <f>'Tax Sched 23'!E7</f>
        <v>338651</v>
      </c>
      <c r="D1811" s="2" t="str">
        <f t="shared" si="27"/>
        <v>Error?</v>
      </c>
    </row>
    <row r="1812" spans="1:4" x14ac:dyDescent="0.2">
      <c r="A1812" s="5">
        <v>1751</v>
      </c>
      <c r="B1812" s="138">
        <f>'Tax Sched 23'!E8</f>
        <v>150013</v>
      </c>
      <c r="D1812" s="2" t="str">
        <f t="shared" si="27"/>
        <v>Error?</v>
      </c>
    </row>
    <row r="1813" spans="1:4" x14ac:dyDescent="0.2">
      <c r="A1813" s="5">
        <v>1752</v>
      </c>
      <c r="B1813" s="138">
        <f>'Tax Sched 23'!E10</f>
        <v>84663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300026</v>
      </c>
      <c r="D1816" s="2" t="str">
        <f t="shared" si="27"/>
        <v>Error?</v>
      </c>
    </row>
    <row r="1817" spans="1:4" x14ac:dyDescent="0.2">
      <c r="A1817" s="5">
        <v>1756</v>
      </c>
      <c r="B1817" s="138">
        <f>'Tax Sched 23'!E12</f>
        <v>84663</v>
      </c>
      <c r="D1817" s="2" t="str">
        <f t="shared" si="27"/>
        <v>Error?</v>
      </c>
    </row>
    <row r="1818" spans="1:4" x14ac:dyDescent="0.2">
      <c r="A1818" s="5">
        <v>1757</v>
      </c>
      <c r="B1818" s="138">
        <f>'Tax Sched 23'!E14</f>
        <v>67730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8390831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3771296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64461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64461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64461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132071</v>
      </c>
      <c r="D2008" s="2" t="str">
        <f t="shared" si="30"/>
        <v>Error?</v>
      </c>
    </row>
    <row r="2009" spans="1:4" x14ac:dyDescent="0.2">
      <c r="A2009" s="5">
        <v>1948</v>
      </c>
      <c r="B2009" s="138">
        <f>'Cap Outlay Deprec 26'!C8</f>
        <v>10060776</v>
      </c>
      <c r="D2009" s="2" t="str">
        <f t="shared" si="30"/>
        <v>Error?</v>
      </c>
    </row>
    <row r="2010" spans="1:4" x14ac:dyDescent="0.2">
      <c r="A2010" s="5">
        <v>1949</v>
      </c>
      <c r="B2010" s="138">
        <f>'Cap Outlay Deprec 26'!C10</f>
        <v>112985</v>
      </c>
      <c r="D2010" s="2" t="str">
        <f t="shared" si="30"/>
        <v>Error?</v>
      </c>
    </row>
    <row r="2011" spans="1:4" x14ac:dyDescent="0.2">
      <c r="A2011" s="5">
        <v>1950</v>
      </c>
      <c r="B2011" s="138">
        <f>'Cap Outlay Deprec 26'!C12</f>
        <v>2255716</v>
      </c>
      <c r="D2011" s="2" t="str">
        <f t="shared" si="30"/>
        <v>Error?</v>
      </c>
    </row>
    <row r="2012" spans="1:4" x14ac:dyDescent="0.2">
      <c r="A2012" s="5">
        <v>1951</v>
      </c>
      <c r="B2012" s="138">
        <f>'Cap Outlay Deprec 26'!C13</f>
        <v>593384</v>
      </c>
      <c r="D2012" s="2" t="str">
        <f t="shared" si="30"/>
        <v>Error?</v>
      </c>
    </row>
    <row r="2013" spans="1:4" x14ac:dyDescent="0.2">
      <c r="A2013" s="5">
        <v>1952</v>
      </c>
      <c r="B2013" s="138">
        <f>'Cap Outlay Deprec 26'!C16</f>
        <v>13154932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2077209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205132</v>
      </c>
      <c r="D2017" s="2" t="str">
        <f t="shared" si="30"/>
        <v>Error?</v>
      </c>
    </row>
    <row r="2018" spans="1:4" x14ac:dyDescent="0.2">
      <c r="A2018" s="5">
        <v>1957</v>
      </c>
      <c r="B2018" s="138">
        <f>'Cap Outlay Deprec 26'!D13</f>
        <v>276848</v>
      </c>
      <c r="D2018" s="2" t="str">
        <f t="shared" si="30"/>
        <v>Error?</v>
      </c>
    </row>
    <row r="2019" spans="1:4" x14ac:dyDescent="0.2">
      <c r="A2019" s="5">
        <v>1958</v>
      </c>
      <c r="B2019" s="138">
        <f>'Cap Outlay Deprec 26'!D16</f>
        <v>2559189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18885</v>
      </c>
      <c r="D2022" s="2" t="str">
        <f t="shared" si="30"/>
        <v>Error?</v>
      </c>
    </row>
    <row r="2023" spans="1:4" x14ac:dyDescent="0.2">
      <c r="A2023" s="5">
        <v>1962</v>
      </c>
      <c r="B2023" s="138">
        <f>'Cap Outlay Deprec 26'!E12</f>
        <v>192330</v>
      </c>
      <c r="D2023" s="2" t="str">
        <f t="shared" si="30"/>
        <v>Error?</v>
      </c>
    </row>
    <row r="2024" spans="1:4" x14ac:dyDescent="0.2">
      <c r="A2024" s="5">
        <v>1963</v>
      </c>
      <c r="B2024" s="138">
        <f>'Cap Outlay Deprec 26'!E13</f>
        <v>237945</v>
      </c>
      <c r="D2024" s="2" t="str">
        <f t="shared" si="30"/>
        <v>Error?</v>
      </c>
    </row>
    <row r="2025" spans="1:4" x14ac:dyDescent="0.2">
      <c r="A2025" s="5">
        <v>1964</v>
      </c>
      <c r="B2025" s="138">
        <f>'Cap Outlay Deprec 26'!E16</f>
        <v>449160</v>
      </c>
      <c r="C2025" s="2" t="s">
        <v>573</v>
      </c>
      <c r="D2025" s="2" t="str">
        <f t="shared" si="30"/>
        <v>Error?</v>
      </c>
    </row>
    <row r="2026" spans="1:4" x14ac:dyDescent="0.2">
      <c r="A2026" s="5">
        <v>1965</v>
      </c>
      <c r="B2026" s="138">
        <f>'Cap Outlay Deprec 26'!F5</f>
        <v>132071</v>
      </c>
      <c r="C2026" s="2" t="s">
        <v>573</v>
      </c>
      <c r="D2026" s="2" t="str">
        <f t="shared" si="30"/>
        <v>Error?</v>
      </c>
    </row>
    <row r="2027" spans="1:4" x14ac:dyDescent="0.2">
      <c r="A2027" s="5">
        <v>1966</v>
      </c>
      <c r="B2027" s="138">
        <f>'Cap Outlay Deprec 26'!F8</f>
        <v>12137985</v>
      </c>
      <c r="C2027" s="2" t="s">
        <v>573</v>
      </c>
      <c r="D2027" s="2" t="str">
        <f t="shared" si="30"/>
        <v>Error?</v>
      </c>
    </row>
    <row r="2028" spans="1:4" x14ac:dyDescent="0.2">
      <c r="A2028" s="5">
        <v>1967</v>
      </c>
      <c r="B2028" s="138">
        <f>'Cap Outlay Deprec 26'!F10</f>
        <v>94100</v>
      </c>
      <c r="C2028" s="2" t="s">
        <v>573</v>
      </c>
      <c r="D2028" s="2" t="str">
        <f t="shared" si="30"/>
        <v>Error?</v>
      </c>
    </row>
    <row r="2029" spans="1:4" x14ac:dyDescent="0.2">
      <c r="A2029" s="5">
        <v>1968</v>
      </c>
      <c r="B2029" s="138">
        <f>'Cap Outlay Deprec 26'!F12</f>
        <v>2268518</v>
      </c>
      <c r="C2029" s="2" t="s">
        <v>573</v>
      </c>
      <c r="D2029" s="2" t="str">
        <f t="shared" si="30"/>
        <v>Error?</v>
      </c>
    </row>
    <row r="2030" spans="1:4" x14ac:dyDescent="0.2">
      <c r="A2030" s="5">
        <v>1969</v>
      </c>
      <c r="B2030" s="138">
        <f>'Cap Outlay Deprec 26'!F13</f>
        <v>632287</v>
      </c>
      <c r="C2030" s="2" t="s">
        <v>573</v>
      </c>
      <c r="D2030" s="2" t="str">
        <f t="shared" si="30"/>
        <v>Error?</v>
      </c>
    </row>
    <row r="2031" spans="1:4" x14ac:dyDescent="0.2">
      <c r="A2031" s="5">
        <v>1970</v>
      </c>
      <c r="B2031" s="138">
        <f>'Cap Outlay Deprec 26'!F16</f>
        <v>15264961</v>
      </c>
      <c r="C2031" s="2" t="s">
        <v>573</v>
      </c>
      <c r="D2031" s="2" t="str">
        <f t="shared" si="30"/>
        <v>Error?</v>
      </c>
    </row>
    <row r="2032" spans="1:4" x14ac:dyDescent="0.2">
      <c r="A2032" s="10">
        <v>1971</v>
      </c>
      <c r="D2032" s="2" t="str">
        <f t="shared" si="30"/>
        <v>OK</v>
      </c>
    </row>
    <row r="2033" spans="1:4" x14ac:dyDescent="0.2">
      <c r="A2033" s="5">
        <v>1972</v>
      </c>
      <c r="B2033" s="138">
        <f>'Cap Outlay Deprec 26'!H8</f>
        <v>4249130</v>
      </c>
      <c r="D2033" s="2" t="str">
        <f t="shared" si="30"/>
        <v>Error?</v>
      </c>
    </row>
    <row r="2034" spans="1:4" x14ac:dyDescent="0.2">
      <c r="A2034" s="5">
        <v>1973</v>
      </c>
      <c r="B2034" s="138">
        <f>'Cap Outlay Deprec 26'!H10</f>
        <v>51253</v>
      </c>
      <c r="D2034" s="2" t="str">
        <f t="shared" si="30"/>
        <v>Error?</v>
      </c>
    </row>
    <row r="2035" spans="1:4" x14ac:dyDescent="0.2">
      <c r="A2035" s="5">
        <v>1974</v>
      </c>
      <c r="B2035" s="138">
        <f>'Cap Outlay Deprec 26'!H12</f>
        <v>1051573</v>
      </c>
      <c r="D2035" s="2" t="str">
        <f t="shared" si="30"/>
        <v>Error?</v>
      </c>
    </row>
    <row r="2036" spans="1:4" x14ac:dyDescent="0.2">
      <c r="A2036" s="5">
        <v>1975</v>
      </c>
      <c r="B2036" s="138">
        <f>'Cap Outlay Deprec 26'!H13</f>
        <v>535015</v>
      </c>
      <c r="D2036" s="2" t="str">
        <f t="shared" si="30"/>
        <v>Error?</v>
      </c>
    </row>
    <row r="2037" spans="1:4" x14ac:dyDescent="0.2">
      <c r="A2037" s="5">
        <v>1976</v>
      </c>
      <c r="B2037" s="138">
        <f>'Cap Outlay Deprec 26'!H16</f>
        <v>5886971</v>
      </c>
      <c r="C2037" s="2" t="s">
        <v>573</v>
      </c>
      <c r="D2037" s="2" t="str">
        <f t="shared" si="30"/>
        <v>Error?</v>
      </c>
    </row>
    <row r="2038" spans="1:4" x14ac:dyDescent="0.2">
      <c r="A2038" s="10">
        <v>1977</v>
      </c>
      <c r="D2038" s="2" t="str">
        <f t="shared" si="30"/>
        <v>OK</v>
      </c>
    </row>
    <row r="2039" spans="1:4" x14ac:dyDescent="0.2">
      <c r="A2039" s="5">
        <v>1978</v>
      </c>
      <c r="B2039" s="138">
        <f>'Cap Outlay Deprec 26'!I8</f>
        <v>242760</v>
      </c>
      <c r="D2039" s="2" t="str">
        <f t="shared" si="30"/>
        <v>Error?</v>
      </c>
    </row>
    <row r="2040" spans="1:4" x14ac:dyDescent="0.2">
      <c r="A2040" s="5">
        <v>1979</v>
      </c>
      <c r="B2040" s="138">
        <f>'Cap Outlay Deprec 26'!I10</f>
        <v>4705</v>
      </c>
      <c r="D2040" s="2" t="str">
        <f t="shared" si="30"/>
        <v>Error?</v>
      </c>
    </row>
    <row r="2041" spans="1:4" x14ac:dyDescent="0.2">
      <c r="A2041" s="5">
        <v>1980</v>
      </c>
      <c r="B2041" s="138">
        <f>'Cap Outlay Deprec 26'!I12</f>
        <v>234283</v>
      </c>
      <c r="D2041" s="2" t="str">
        <f t="shared" si="30"/>
        <v>Error?</v>
      </c>
    </row>
    <row r="2042" spans="1:4" x14ac:dyDescent="0.2">
      <c r="A2042" s="5">
        <v>1981</v>
      </c>
      <c r="B2042" s="138">
        <f>'Cap Outlay Deprec 26'!I13</f>
        <v>289899</v>
      </c>
      <c r="D2042" s="2" t="str">
        <f t="shared" si="30"/>
        <v>Error?</v>
      </c>
    </row>
    <row r="2043" spans="1:4" x14ac:dyDescent="0.2">
      <c r="A2043" s="5">
        <v>1982</v>
      </c>
      <c r="B2043" s="138">
        <f>'Cap Outlay Deprec 26'!I16</f>
        <v>771647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18885</v>
      </c>
      <c r="D2046" s="2" t="str">
        <f t="shared" si="30"/>
        <v>Error?</v>
      </c>
    </row>
    <row r="2047" spans="1:4" x14ac:dyDescent="0.2">
      <c r="A2047" s="5">
        <v>1986</v>
      </c>
      <c r="B2047" s="138">
        <f>'Cap Outlay Deprec 26'!J12</f>
        <v>192330</v>
      </c>
      <c r="D2047" s="2" t="str">
        <f t="shared" ref="D2047:D2110" si="31">IF(ISBLANK(B2047),"OK",IF(A2047-B2047=0,"OK","Error?"))</f>
        <v>Error?</v>
      </c>
    </row>
    <row r="2048" spans="1:4" x14ac:dyDescent="0.2">
      <c r="A2048" s="5">
        <v>1987</v>
      </c>
      <c r="B2048" s="138">
        <f>'Cap Outlay Deprec 26'!J13</f>
        <v>237945</v>
      </c>
      <c r="D2048" s="2" t="str">
        <f t="shared" si="31"/>
        <v>Error?</v>
      </c>
    </row>
    <row r="2049" spans="1:4" x14ac:dyDescent="0.2">
      <c r="A2049" s="5">
        <v>1988</v>
      </c>
      <c r="B2049" s="138">
        <f>'Cap Outlay Deprec 26'!J16</f>
        <v>449160</v>
      </c>
      <c r="C2049" s="2" t="s">
        <v>573</v>
      </c>
      <c r="D2049" s="2" t="str">
        <f t="shared" si="31"/>
        <v>Error?</v>
      </c>
    </row>
    <row r="2050" spans="1:4" x14ac:dyDescent="0.2">
      <c r="A2050" s="10">
        <v>1989</v>
      </c>
      <c r="D2050" s="2" t="str">
        <f t="shared" si="31"/>
        <v>OK</v>
      </c>
    </row>
    <row r="2051" spans="1:4" x14ac:dyDescent="0.2">
      <c r="A2051" s="5">
        <v>1990</v>
      </c>
      <c r="B2051" s="138">
        <f>'Cap Outlay Deprec 26'!K8</f>
        <v>4491890</v>
      </c>
      <c r="C2051" s="2" t="s">
        <v>573</v>
      </c>
      <c r="D2051" s="2" t="str">
        <f t="shared" si="31"/>
        <v>Error?</v>
      </c>
    </row>
    <row r="2052" spans="1:4" x14ac:dyDescent="0.2">
      <c r="A2052" s="5">
        <v>1991</v>
      </c>
      <c r="B2052" s="138">
        <f>'Cap Outlay Deprec 26'!K10</f>
        <v>37073</v>
      </c>
      <c r="C2052" s="2" t="s">
        <v>573</v>
      </c>
      <c r="D2052" s="2" t="str">
        <f t="shared" si="31"/>
        <v>Error?</v>
      </c>
    </row>
    <row r="2053" spans="1:4" x14ac:dyDescent="0.2">
      <c r="A2053" s="5">
        <v>1992</v>
      </c>
      <c r="B2053" s="138">
        <f>'Cap Outlay Deprec 26'!K12</f>
        <v>1093526</v>
      </c>
      <c r="C2053" s="2" t="s">
        <v>573</v>
      </c>
      <c r="D2053" s="2" t="str">
        <f t="shared" si="31"/>
        <v>Error?</v>
      </c>
    </row>
    <row r="2054" spans="1:4" x14ac:dyDescent="0.2">
      <c r="A2054" s="5">
        <v>1993</v>
      </c>
      <c r="B2054" s="138">
        <f>'Cap Outlay Deprec 26'!K13</f>
        <v>586969</v>
      </c>
      <c r="C2054" s="2" t="s">
        <v>573</v>
      </c>
      <c r="D2054" s="2" t="str">
        <f t="shared" si="31"/>
        <v>Error?</v>
      </c>
    </row>
    <row r="2055" spans="1:4" x14ac:dyDescent="0.2">
      <c r="A2055" s="5">
        <v>1994</v>
      </c>
      <c r="B2055" s="138">
        <f>'Cap Outlay Deprec 26'!K16</f>
        <v>6209458</v>
      </c>
      <c r="C2055" s="2" t="s">
        <v>573</v>
      </c>
      <c r="D2055" s="2" t="str">
        <f t="shared" si="31"/>
        <v>Error?</v>
      </c>
    </row>
    <row r="2056" spans="1:4" x14ac:dyDescent="0.2">
      <c r="A2056" s="5">
        <v>1995</v>
      </c>
      <c r="B2056" s="138">
        <f>'Cap Outlay Deprec 26'!L5</f>
        <v>132071</v>
      </c>
      <c r="C2056" s="2" t="s">
        <v>573</v>
      </c>
      <c r="D2056" s="2" t="str">
        <f t="shared" si="31"/>
        <v>Error?</v>
      </c>
    </row>
    <row r="2057" spans="1:4" x14ac:dyDescent="0.2">
      <c r="A2057" s="5">
        <v>1996</v>
      </c>
      <c r="B2057" s="138">
        <f>'Cap Outlay Deprec 26'!L8</f>
        <v>7646095</v>
      </c>
      <c r="C2057" s="2" t="s">
        <v>573</v>
      </c>
      <c r="D2057" s="2" t="str">
        <f t="shared" si="31"/>
        <v>Error?</v>
      </c>
    </row>
    <row r="2058" spans="1:4" x14ac:dyDescent="0.2">
      <c r="A2058" s="5">
        <v>1997</v>
      </c>
      <c r="B2058" s="138">
        <f>'Cap Outlay Deprec 26'!L10</f>
        <v>57027</v>
      </c>
      <c r="C2058" s="2" t="s">
        <v>573</v>
      </c>
      <c r="D2058" s="2" t="str">
        <f t="shared" si="31"/>
        <v>Error?</v>
      </c>
    </row>
    <row r="2059" spans="1:4" x14ac:dyDescent="0.2">
      <c r="A2059" s="5">
        <v>1998</v>
      </c>
      <c r="B2059" s="138">
        <f>'Cap Outlay Deprec 26'!L12</f>
        <v>1174992</v>
      </c>
      <c r="C2059" s="2" t="s">
        <v>573</v>
      </c>
      <c r="D2059" s="2" t="str">
        <f t="shared" si="31"/>
        <v>Error?</v>
      </c>
    </row>
    <row r="2060" spans="1:4" x14ac:dyDescent="0.2">
      <c r="A2060" s="5">
        <v>1999</v>
      </c>
      <c r="B2060" s="138">
        <f>'Cap Outlay Deprec 26'!L13</f>
        <v>45318</v>
      </c>
      <c r="C2060" s="2" t="s">
        <v>573</v>
      </c>
      <c r="D2060" s="2" t="str">
        <f t="shared" si="31"/>
        <v>Error?</v>
      </c>
    </row>
    <row r="2061" spans="1:4" x14ac:dyDescent="0.2">
      <c r="A2061" s="5">
        <v>2000</v>
      </c>
      <c r="B2061" s="138">
        <f>'Cap Outlay Deprec 26'!L16</f>
        <v>9055503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140079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1052763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81290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6684050</v>
      </c>
      <c r="C2551" s="2" t="s">
        <v>573</v>
      </c>
      <c r="D2551" s="2" t="str">
        <f t="shared" si="38"/>
        <v>Error?</v>
      </c>
    </row>
    <row r="2552" spans="1:4" x14ac:dyDescent="0.2">
      <c r="A2552" s="10">
        <v>2491</v>
      </c>
      <c r="D2552" s="2" t="str">
        <f t="shared" si="38"/>
        <v>OK</v>
      </c>
    </row>
    <row r="2553" spans="1:4" x14ac:dyDescent="0.2">
      <c r="A2553" s="5">
        <v>2492</v>
      </c>
      <c r="B2553" s="138">
        <f>'Acct Summary 7-8'!C6</f>
        <v>2383810</v>
      </c>
      <c r="C2553" s="2" t="s">
        <v>573</v>
      </c>
      <c r="D2553" s="2" t="str">
        <f t="shared" si="38"/>
        <v>Error?</v>
      </c>
    </row>
    <row r="2554" spans="1:4" x14ac:dyDescent="0.2">
      <c r="A2554" s="5">
        <v>2493</v>
      </c>
      <c r="B2554" s="138">
        <f>'Acct Summary 7-8'!C7</f>
        <v>648270</v>
      </c>
      <c r="C2554" s="2" t="s">
        <v>573</v>
      </c>
      <c r="D2554" s="2" t="str">
        <f t="shared" si="38"/>
        <v>Error?</v>
      </c>
    </row>
    <row r="2555" spans="1:4" x14ac:dyDescent="0.2">
      <c r="A2555" s="5">
        <v>2494</v>
      </c>
      <c r="B2555" s="138">
        <f>'Acct Summary 7-8'!C8</f>
        <v>9716130</v>
      </c>
      <c r="C2555" s="2" t="s">
        <v>573</v>
      </c>
      <c r="D2555" s="2" t="str">
        <f t="shared" si="38"/>
        <v>Error?</v>
      </c>
    </row>
    <row r="2556" spans="1:4" x14ac:dyDescent="0.2">
      <c r="A2556" s="5">
        <v>2495</v>
      </c>
      <c r="B2556" s="138">
        <f>'Acct Summary 7-8'!C12</f>
        <v>5998023</v>
      </c>
      <c r="C2556" s="2" t="s">
        <v>573</v>
      </c>
      <c r="D2556" s="2" t="str">
        <f t="shared" si="38"/>
        <v>Error?</v>
      </c>
    </row>
    <row r="2557" spans="1:4" x14ac:dyDescent="0.2">
      <c r="A2557" s="5">
        <v>2496</v>
      </c>
      <c r="B2557" s="138">
        <f>'Acct Summary 7-8'!C13</f>
        <v>2523853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1052763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9574639</v>
      </c>
      <c r="C2561" s="2" t="s">
        <v>573</v>
      </c>
      <c r="D2561" s="2" t="str">
        <f t="shared" si="39"/>
        <v>Error?</v>
      </c>
    </row>
    <row r="2562" spans="1:4" x14ac:dyDescent="0.2">
      <c r="A2562" s="5">
        <v>2501</v>
      </c>
      <c r="B2562" s="138">
        <f>'Acct Summary 7-8'!C20</f>
        <v>141491</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846914</v>
      </c>
      <c r="C2564" s="2" t="s">
        <v>573</v>
      </c>
      <c r="D2564" s="2" t="str">
        <f t="shared" si="39"/>
        <v>Error?</v>
      </c>
    </row>
    <row r="2565" spans="1:4" x14ac:dyDescent="0.2">
      <c r="A2565" s="10">
        <v>2504</v>
      </c>
      <c r="D2565" s="2" t="str">
        <f t="shared" si="39"/>
        <v>OK</v>
      </c>
    </row>
    <row r="2566" spans="1:4" x14ac:dyDescent="0.2">
      <c r="A2566" s="5">
        <v>2505</v>
      </c>
      <c r="B2566" s="138">
        <f>'Acct Summary 7-8'!D6</f>
        <v>259005</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1105919</v>
      </c>
      <c r="C2568" s="2" t="s">
        <v>573</v>
      </c>
      <c r="D2568" s="2" t="str">
        <f t="shared" si="39"/>
        <v>Error?</v>
      </c>
    </row>
    <row r="2569" spans="1:4" x14ac:dyDescent="0.2">
      <c r="A2569" s="5">
        <v>2508</v>
      </c>
      <c r="B2569" s="138">
        <f>'Acct Summary 7-8'!D13</f>
        <v>1261088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1261088</v>
      </c>
      <c r="C2573" s="2" t="s">
        <v>573</v>
      </c>
      <c r="D2573" s="2" t="str">
        <f t="shared" si="39"/>
        <v>Error?</v>
      </c>
    </row>
    <row r="2574" spans="1:4" x14ac:dyDescent="0.2">
      <c r="A2574" s="5">
        <v>2513</v>
      </c>
      <c r="B2574" s="138">
        <f>'Acct Summary 7-8'!D20</f>
        <v>-155169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333548</v>
      </c>
      <c r="C2591" s="2" t="s">
        <v>573</v>
      </c>
      <c r="D2591" s="2" t="str">
        <f t="shared" si="39"/>
        <v>Error?</v>
      </c>
    </row>
    <row r="2592" spans="1:4" x14ac:dyDescent="0.2">
      <c r="A2592" s="10">
        <v>2531</v>
      </c>
      <c r="D2592" s="2" t="str">
        <f t="shared" si="39"/>
        <v>OK</v>
      </c>
    </row>
    <row r="2593" spans="1:4" x14ac:dyDescent="0.2">
      <c r="A2593" s="5">
        <v>2532</v>
      </c>
      <c r="B2593" s="138">
        <f>'Acct Summary 7-8'!F6</f>
        <v>779466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1113014</v>
      </c>
      <c r="C2595" s="2" t="s">
        <v>573</v>
      </c>
      <c r="D2595" s="2" t="str">
        <f t="shared" si="39"/>
        <v>Error?</v>
      </c>
    </row>
    <row r="2596" spans="1:4" x14ac:dyDescent="0.2">
      <c r="A2596" s="5">
        <v>2535</v>
      </c>
      <c r="B2596" s="138">
        <f>'Acct Summary 7-8'!F13</f>
        <v>1025401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1025401</v>
      </c>
      <c r="C2600" s="2" t="s">
        <v>573</v>
      </c>
      <c r="D2600" s="2" t="str">
        <f t="shared" si="39"/>
        <v>Error?</v>
      </c>
    </row>
    <row r="2601" spans="1:4" x14ac:dyDescent="0.2">
      <c r="A2601" s="5">
        <v>2540</v>
      </c>
      <c r="B2601" s="138">
        <f>'Acct Summary 7-8'!F20</f>
        <v>87613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388339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388339</v>
      </c>
      <c r="C2606" s="2" t="s">
        <v>573</v>
      </c>
      <c r="D2606" s="2" t="str">
        <f t="shared" si="39"/>
        <v>Error?</v>
      </c>
    </row>
    <row r="2607" spans="1:4" x14ac:dyDescent="0.2">
      <c r="A2607" s="5">
        <v>2546</v>
      </c>
      <c r="B2607" s="138">
        <f>'Acct Summary 7-8'!G12</f>
        <v>149571</v>
      </c>
      <c r="C2607" s="2" t="s">
        <v>573</v>
      </c>
      <c r="D2607" s="2" t="str">
        <f t="shared" si="39"/>
        <v>Error?</v>
      </c>
    </row>
    <row r="2608" spans="1:4" x14ac:dyDescent="0.2">
      <c r="A2608" s="5">
        <v>2547</v>
      </c>
      <c r="B2608" s="138">
        <f>'Acct Summary 7-8'!G13</f>
        <v>282779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432350</v>
      </c>
      <c r="C2612" s="2" t="s">
        <v>573</v>
      </c>
      <c r="D2612" s="2" t="str">
        <f t="shared" si="39"/>
        <v>Error?</v>
      </c>
    </row>
    <row r="2613" spans="1:4" x14ac:dyDescent="0.2">
      <c r="A2613" s="5">
        <v>2552</v>
      </c>
      <c r="B2613" s="138">
        <f>'Acct Summary 7-8'!G20</f>
        <v>-44011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239511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239511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440455</v>
      </c>
      <c r="C2634" s="2" t="s">
        <v>573</v>
      </c>
      <c r="D2634" s="2" t="str">
        <f t="shared" si="40"/>
        <v>Error?</v>
      </c>
    </row>
    <row r="2635" spans="1:4" x14ac:dyDescent="0.2">
      <c r="A2635" s="5">
        <v>2574</v>
      </c>
      <c r="B2635" s="138">
        <f>'Acct Summary 7-8'!E17</f>
        <v>440455</v>
      </c>
      <c r="C2635" s="2" t="s">
        <v>573</v>
      </c>
      <c r="D2635" s="2" t="str">
        <f t="shared" si="40"/>
        <v>Error?</v>
      </c>
    </row>
    <row r="2636" spans="1:4" x14ac:dyDescent="0.2">
      <c r="A2636" s="5">
        <v>2575</v>
      </c>
      <c r="B2636" s="138">
        <f>'Acct Summary 7-8'!E20</f>
        <v>-200944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308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308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912684</v>
      </c>
      <c r="C2789" s="2" t="s">
        <v>573</v>
      </c>
      <c r="D2789" s="2" t="str">
        <f t="shared" si="42"/>
        <v>Error?</v>
      </c>
    </row>
    <row r="2790" spans="1:4" x14ac:dyDescent="0.2">
      <c r="A2790" s="5">
        <v>2729</v>
      </c>
      <c r="B2790" s="138">
        <f>'Expenditures 15-22'!E102</f>
        <v>912684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246808</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152155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246808</v>
      </c>
      <c r="D2912" s="2" t="str">
        <f t="shared" si="44"/>
        <v>Error?</v>
      </c>
    </row>
    <row r="2913" spans="1:4" x14ac:dyDescent="0.2">
      <c r="A2913" s="5">
        <v>2852</v>
      </c>
      <c r="B2913" s="138">
        <f>'Assets-Liab 5-6'!I41</f>
        <v>246808</v>
      </c>
      <c r="C2913" s="2" t="s">
        <v>573</v>
      </c>
      <c r="D2913" s="2" t="str">
        <f t="shared" si="44"/>
        <v>Error?</v>
      </c>
    </row>
    <row r="2914" spans="1:4" x14ac:dyDescent="0.2">
      <c r="A2914" s="5">
        <v>2853</v>
      </c>
      <c r="B2914" s="138">
        <f>'Assets-Liab 5-6'!L33</f>
        <v>152155</v>
      </c>
      <c r="D2914" s="2" t="str">
        <f t="shared" si="44"/>
        <v>Error?</v>
      </c>
    </row>
    <row r="2915" spans="1:4" x14ac:dyDescent="0.2">
      <c r="A2915" s="10">
        <v>2854</v>
      </c>
      <c r="D2915" s="2" t="str">
        <f t="shared" si="44"/>
        <v>OK</v>
      </c>
    </row>
    <row r="2916" spans="1:4" x14ac:dyDescent="0.2">
      <c r="A2916" s="5">
        <v>2855</v>
      </c>
      <c r="B2916" s="138">
        <f>'Assets-Liab 5-6'!L34</f>
        <v>152155</v>
      </c>
      <c r="C2916" s="2" t="s">
        <v>573</v>
      </c>
      <c r="D2916" s="2" t="str">
        <f t="shared" si="44"/>
        <v>Error?</v>
      </c>
    </row>
    <row r="2917" spans="1:4" x14ac:dyDescent="0.2">
      <c r="A2917" s="5">
        <v>2856</v>
      </c>
      <c r="B2917" s="138">
        <f>'Assets-Liab 5-6'!L41</f>
        <v>152155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911780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904</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140079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1051859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904</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141851</v>
      </c>
      <c r="D3055" s="2" t="str">
        <f t="shared" si="46"/>
        <v>Error?</v>
      </c>
    </row>
    <row r="3056" spans="1:4" x14ac:dyDescent="0.2">
      <c r="A3056" s="5">
        <v>2995</v>
      </c>
      <c r="B3056" s="138">
        <f>'Expenditures 15-22'!D10</f>
        <v>32025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3007</v>
      </c>
      <c r="D3058" s="2" t="str">
        <f t="shared" si="46"/>
        <v>Error?</v>
      </c>
    </row>
    <row r="3059" spans="1:4" x14ac:dyDescent="0.2">
      <c r="A3059" s="5">
        <v>2998</v>
      </c>
      <c r="B3059" s="138">
        <f>'Expenditures 15-22'!G10</f>
        <v>7628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184511</v>
      </c>
      <c r="C3062" s="2" t="s">
        <v>573</v>
      </c>
      <c r="D3062" s="2" t="str">
        <f t="shared" si="46"/>
        <v>Error?</v>
      </c>
    </row>
    <row r="3063" spans="1:4" x14ac:dyDescent="0.2">
      <c r="A3063" s="10">
        <v>3002</v>
      </c>
      <c r="D3063" s="2" t="str">
        <f t="shared" si="46"/>
        <v>OK</v>
      </c>
    </row>
    <row r="3064" spans="1:4" x14ac:dyDescent="0.2">
      <c r="A3064" s="5">
        <v>3003</v>
      </c>
      <c r="B3064" s="138">
        <f>'Expenditures 15-22'!D219</f>
        <v>1735</v>
      </c>
      <c r="D3064" s="2" t="str">
        <f t="shared" si="46"/>
        <v>Error?</v>
      </c>
    </row>
    <row r="3065" spans="1:4" x14ac:dyDescent="0.2">
      <c r="A3065" s="5">
        <v>3004</v>
      </c>
      <c r="B3065" s="138">
        <f>'Expenditures 15-22'!K219</f>
        <v>1735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83085</v>
      </c>
      <c r="C3225" s="2" t="s">
        <v>573</v>
      </c>
      <c r="D3225" s="2" t="str">
        <f t="shared" si="49"/>
        <v>Error?</v>
      </c>
    </row>
    <row r="3226" spans="1:4" x14ac:dyDescent="0.2">
      <c r="A3226" s="5">
        <v>3165</v>
      </c>
      <c r="B3226" s="138">
        <f>'Acct Summary 7-8'!I8</f>
        <v>83085</v>
      </c>
      <c r="C3226" s="2" t="s">
        <v>573</v>
      </c>
      <c r="D3226" s="2" t="str">
        <f t="shared" si="49"/>
        <v>Error?</v>
      </c>
    </row>
    <row r="3227" spans="1:4" x14ac:dyDescent="0.2">
      <c r="A3227" s="5">
        <v>3166</v>
      </c>
      <c r="B3227" s="138">
        <f>'Acct Summary 7-8'!I20</f>
        <v>83085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141491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-155169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606</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606</v>
      </c>
      <c r="C3255" s="2" t="s">
        <v>573</v>
      </c>
      <c r="D3255" s="2" t="str">
        <f t="shared" si="49"/>
        <v>Error?</v>
      </c>
    </row>
    <row r="3256" spans="1:4" x14ac:dyDescent="0.2">
      <c r="A3256" s="5">
        <v>3195</v>
      </c>
      <c r="B3256" s="138">
        <f>'Acct Summary 7-8'!F78</f>
        <v>88219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-44011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-200944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83085</v>
      </c>
      <c r="C3320" s="2" t="s">
        <v>573</v>
      </c>
      <c r="D3320" s="2" t="str">
        <f t="shared" si="50"/>
        <v>Error?</v>
      </c>
    </row>
    <row r="3321" spans="1:4" x14ac:dyDescent="0.2">
      <c r="A3321" s="5">
        <v>3260</v>
      </c>
      <c r="B3321" s="138">
        <f>'Acct Summary 7-8'!I79</f>
        <v>163723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246808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1017906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133295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1151212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47992</v>
      </c>
      <c r="D3387" s="2" t="str">
        <f t="shared" si="51"/>
        <v>Error?</v>
      </c>
    </row>
    <row r="3388" spans="1:4" x14ac:dyDescent="0.2">
      <c r="A3388" s="5">
        <v>3327</v>
      </c>
      <c r="B3388" s="138">
        <f>'Expenditures 15-22'!D217</f>
        <v>90101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47992</v>
      </c>
      <c r="C3390" s="2" t="s">
        <v>573</v>
      </c>
      <c r="D3390" s="2" t="str">
        <f t="shared" si="51"/>
        <v>Error?</v>
      </c>
    </row>
    <row r="3391" spans="1:4" x14ac:dyDescent="0.2">
      <c r="A3391" s="5">
        <v>3330</v>
      </c>
      <c r="B3391" s="138">
        <f>'Expenditures 15-22'!K217</f>
        <v>90101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2170083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247548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304455</v>
      </c>
      <c r="D3417" s="2" t="str">
        <f t="shared" si="52"/>
        <v>Error?</v>
      </c>
    </row>
    <row r="3418" spans="1:4" x14ac:dyDescent="0.2">
      <c r="A3418" s="10">
        <v>3357</v>
      </c>
      <c r="D3418" s="2" t="str">
        <f t="shared" si="52"/>
        <v>OK</v>
      </c>
    </row>
    <row r="3419" spans="1:4" x14ac:dyDescent="0.2">
      <c r="A3419" s="5">
        <v>3358</v>
      </c>
      <c r="B3419" s="138">
        <f>'Assets-Liab 5-6'!F4</f>
        <v>510202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435873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246808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152155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124701</v>
      </c>
      <c r="C3446" s="2" t="s">
        <v>573</v>
      </c>
      <c r="D3446" s="2" t="str">
        <f t="shared" si="52"/>
        <v>Error?</v>
      </c>
    </row>
    <row r="3447" spans="1:4" x14ac:dyDescent="0.2">
      <c r="A3447" s="5">
        <v>3386</v>
      </c>
      <c r="B3447" s="138">
        <f>'Tax Sched 23'!D16</f>
        <v>124701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175044</v>
      </c>
      <c r="C3449" s="2" t="s">
        <v>573</v>
      </c>
      <c r="D3449" s="2" t="str">
        <f t="shared" si="52"/>
        <v>Error?</v>
      </c>
    </row>
    <row r="3450" spans="1:4" x14ac:dyDescent="0.2">
      <c r="A3450" s="5">
        <v>3389</v>
      </c>
      <c r="B3450" s="138">
        <f>'Tax Sched 23'!E16</f>
        <v>175044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606</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737161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737161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544429</v>
      </c>
      <c r="D3566" s="2" t="str">
        <f t="shared" si="54"/>
        <v>Error?</v>
      </c>
    </row>
    <row r="3567" spans="1:4" x14ac:dyDescent="0.2">
      <c r="A3567" s="5">
        <v>3506</v>
      </c>
      <c r="B3567" s="138">
        <f>'Assets-Liab 5-6'!K39</f>
        <v>192732</v>
      </c>
      <c r="D3567" s="2" t="str">
        <f t="shared" si="54"/>
        <v>Error?</v>
      </c>
    </row>
    <row r="3568" spans="1:4" x14ac:dyDescent="0.2">
      <c r="A3568" s="5">
        <v>3507</v>
      </c>
      <c r="B3568" s="138">
        <f>'Assets-Liab 5-6'!K41</f>
        <v>737161</v>
      </c>
      <c r="C3568" s="2" t="s">
        <v>573</v>
      </c>
      <c r="D3568" s="2" t="str">
        <f t="shared" si="54"/>
        <v>Error?</v>
      </c>
    </row>
    <row r="3569" spans="1:4" x14ac:dyDescent="0.2">
      <c r="A3569" s="5">
        <v>3508</v>
      </c>
      <c r="B3569" s="138">
        <f>'Acct Summary 7-8'!K4</f>
        <v>88562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88562</v>
      </c>
      <c r="C3571" s="2" t="s">
        <v>573</v>
      </c>
      <c r="D3571" s="2" t="str">
        <f t="shared" si="54"/>
        <v>Error?</v>
      </c>
    </row>
    <row r="3572" spans="1:4" x14ac:dyDescent="0.2">
      <c r="A3572" s="5">
        <v>3511</v>
      </c>
      <c r="B3572" s="138">
        <f>'Acct Summary 7-8'!K13</f>
        <v>2120245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2120245</v>
      </c>
      <c r="C3575" s="2" t="s">
        <v>573</v>
      </c>
      <c r="D3575" s="2" t="str">
        <f t="shared" si="54"/>
        <v>Error?</v>
      </c>
    </row>
    <row r="3576" spans="1:4" x14ac:dyDescent="0.2">
      <c r="A3576" s="5">
        <v>3515</v>
      </c>
      <c r="B3576" s="138">
        <f>'Acct Summary 7-8'!K20</f>
        <v>-2031683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-2031683</v>
      </c>
      <c r="C3588" s="2" t="s">
        <v>573</v>
      </c>
      <c r="D3588" s="2" t="str">
        <f t="shared" si="55"/>
        <v>Error?</v>
      </c>
    </row>
    <row r="3589" spans="1:4" x14ac:dyDescent="0.2">
      <c r="A3589" s="5">
        <v>3528</v>
      </c>
      <c r="B3589" s="138">
        <f>'Acct Summary 7-8'!K79</f>
        <v>2768844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737161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43036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43036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43036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2077209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2077209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2077209</v>
      </c>
      <c r="C3649" s="2" t="s">
        <v>573</v>
      </c>
      <c r="D3649" s="2" t="str">
        <f t="shared" si="56"/>
        <v>Error?</v>
      </c>
    </row>
    <row r="3650" spans="1:4" x14ac:dyDescent="0.2">
      <c r="A3650" s="5">
        <v>3589</v>
      </c>
      <c r="B3650" s="138">
        <f>'Expenditures 15-22'!G367</f>
        <v>2077209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2120245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2120245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2120245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2120245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-2031683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80577</v>
      </c>
      <c r="C3725" s="2" t="s">
        <v>573</v>
      </c>
      <c r="D3725" s="2" t="str">
        <f t="shared" si="57"/>
        <v>Error?</v>
      </c>
    </row>
    <row r="3726" spans="1:4" x14ac:dyDescent="0.2">
      <c r="A3726" s="5">
        <v>3665</v>
      </c>
      <c r="B3726" s="138">
        <f>'Tax Sched 23'!D13</f>
        <v>80577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84663</v>
      </c>
      <c r="C3728" s="2" t="s">
        <v>573</v>
      </c>
      <c r="D3728" s="2" t="str">
        <f t="shared" si="57"/>
        <v>Error?</v>
      </c>
    </row>
    <row r="3729" spans="1:4" x14ac:dyDescent="0.2">
      <c r="A3729" s="5">
        <v>3668</v>
      </c>
      <c r="B3729" s="138">
        <f>'Tax Sched 23'!E13</f>
        <v>84663</v>
      </c>
      <c r="D3729" s="2" t="str">
        <f t="shared" si="57"/>
        <v>Error?</v>
      </c>
    </row>
    <row r="3730" spans="1:4" x14ac:dyDescent="0.2">
      <c r="A3730" s="5">
        <v>3669</v>
      </c>
      <c r="B3730" s="138">
        <f>'ICR Computation 30'!E10</f>
        <v>213360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3953112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13669242</v>
      </c>
      <c r="C4122" s="2" t="s">
        <v>573</v>
      </c>
      <c r="D4122" s="2" t="str">
        <f t="shared" si="63"/>
        <v>Error?</v>
      </c>
    </row>
    <row r="4123" spans="1:4" x14ac:dyDescent="0.2">
      <c r="A4123" s="5">
        <v>4062</v>
      </c>
      <c r="B4123" s="138">
        <f>'Acct Summary 7-8'!D10</f>
        <v>1105919</v>
      </c>
      <c r="C4123" s="2" t="s">
        <v>573</v>
      </c>
      <c r="D4123" s="2" t="str">
        <f t="shared" si="63"/>
        <v>Error?</v>
      </c>
    </row>
    <row r="4124" spans="1:4" x14ac:dyDescent="0.2">
      <c r="A4124" s="5">
        <v>4063</v>
      </c>
      <c r="B4124" s="138">
        <f>'Acct Summary 7-8'!E10</f>
        <v>239511</v>
      </c>
      <c r="C4124" s="2" t="s">
        <v>573</v>
      </c>
      <c r="D4124" s="2" t="str">
        <f t="shared" si="63"/>
        <v>Error?</v>
      </c>
    </row>
    <row r="4125" spans="1:4" x14ac:dyDescent="0.2">
      <c r="A4125" s="5">
        <v>4064</v>
      </c>
      <c r="B4125" s="138">
        <f>'Acct Summary 7-8'!F10</f>
        <v>1113014</v>
      </c>
      <c r="C4125" s="2" t="s">
        <v>573</v>
      </c>
      <c r="D4125" s="2" t="str">
        <f t="shared" si="63"/>
        <v>Error?</v>
      </c>
    </row>
    <row r="4126" spans="1:4" x14ac:dyDescent="0.2">
      <c r="A4126" s="5">
        <v>4065</v>
      </c>
      <c r="B4126" s="138">
        <f>'Acct Summary 7-8'!G10</f>
        <v>388339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83085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88562</v>
      </c>
      <c r="C4130" s="2" t="s">
        <v>573</v>
      </c>
      <c r="D4130" s="2" t="str">
        <f t="shared" si="63"/>
        <v>Error?</v>
      </c>
    </row>
    <row r="4131" spans="1:4" x14ac:dyDescent="0.2">
      <c r="A4131" s="5">
        <v>4070</v>
      </c>
      <c r="B4131" s="138">
        <f>'Acct Summary 7-8'!C18</f>
        <v>3953112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13527751</v>
      </c>
      <c r="C4136" s="2" t="s">
        <v>573</v>
      </c>
      <c r="D4136" s="2" t="str">
        <f t="shared" si="63"/>
        <v>Error?</v>
      </c>
    </row>
    <row r="4137" spans="1:4" x14ac:dyDescent="0.2">
      <c r="A4137" s="5">
        <v>4076</v>
      </c>
      <c r="B4137" s="138">
        <f>'Acct Summary 7-8'!D19</f>
        <v>1261088</v>
      </c>
      <c r="C4137" s="2" t="s">
        <v>573</v>
      </c>
      <c r="D4137" s="2" t="str">
        <f t="shared" si="63"/>
        <v>Error?</v>
      </c>
    </row>
    <row r="4138" spans="1:4" x14ac:dyDescent="0.2">
      <c r="A4138" s="5">
        <v>4077</v>
      </c>
      <c r="B4138" s="138">
        <f>'Acct Summary 7-8'!E19</f>
        <v>440455</v>
      </c>
      <c r="C4138" s="2" t="s">
        <v>573</v>
      </c>
      <c r="D4138" s="2" t="str">
        <f t="shared" si="63"/>
        <v>Error?</v>
      </c>
    </row>
    <row r="4139" spans="1:4" x14ac:dyDescent="0.2">
      <c r="A4139" s="5">
        <v>4078</v>
      </c>
      <c r="B4139" s="138">
        <f>'Acct Summary 7-8'!F19</f>
        <v>1025401</v>
      </c>
      <c r="C4139" s="2" t="s">
        <v>573</v>
      </c>
      <c r="D4139" s="2" t="str">
        <f t="shared" si="63"/>
        <v>Error?</v>
      </c>
    </row>
    <row r="4140" spans="1:4" x14ac:dyDescent="0.2">
      <c r="A4140" s="5">
        <v>4079</v>
      </c>
      <c r="B4140" s="138">
        <f>'Acct Summary 7-8'!G19</f>
        <v>432350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2120245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3403211</v>
      </c>
      <c r="C4171" s="2" t="s">
        <v>573</v>
      </c>
      <c r="D4171" s="2" t="str">
        <f t="shared" si="64"/>
        <v>Error?</v>
      </c>
    </row>
    <row r="4172" spans="1:4" x14ac:dyDescent="0.2">
      <c r="A4172" s="5">
        <v>4111</v>
      </c>
      <c r="B4172" s="138">
        <f>'Short-Term Long-Term Debt 24'!J49</f>
        <v>3098756</v>
      </c>
      <c r="C4172" s="2" t="s">
        <v>573</v>
      </c>
      <c r="D4172" s="2" t="str">
        <f t="shared" si="64"/>
        <v>Error?</v>
      </c>
    </row>
    <row r="4173" spans="1:4" x14ac:dyDescent="0.2">
      <c r="A4173" s="5">
        <v>4112</v>
      </c>
      <c r="B4173" s="138">
        <f>'Short-Term Long-Term Debt 24'!H49</f>
        <v>368085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3624.9999999999995</v>
      </c>
      <c r="C4265" s="2" t="s">
        <v>573</v>
      </c>
      <c r="D4265" s="2" t="str">
        <f t="shared" si="65"/>
        <v>Error?</v>
      </c>
      <c r="E4265" s="128"/>
    </row>
    <row r="4266" spans="1:5" x14ac:dyDescent="0.2">
      <c r="A4266" s="12">
        <v>4205</v>
      </c>
      <c r="B4266" s="138">
        <f>('FP Info 3'!F10)*100000</f>
        <v>495.00000000000006</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4320</v>
      </c>
      <c r="C4268" s="2" t="s">
        <v>573</v>
      </c>
      <c r="D4268" s="2" t="str">
        <f t="shared" si="65"/>
        <v>Error?</v>
      </c>
    </row>
    <row r="4269" spans="1:5" x14ac:dyDescent="0.2">
      <c r="A4269" s="12">
        <v>4208</v>
      </c>
      <c r="B4269" s="138">
        <f>'FP Info 3'!J16</f>
        <v>3174641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9486</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12711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7463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4421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16716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2647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9005</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169321766</v>
      </c>
      <c r="D4995" s="2" t="str">
        <f t="shared" si="77"/>
        <v>Error?</v>
      </c>
    </row>
    <row r="4996" spans="1:4" x14ac:dyDescent="0.2">
      <c r="A4996" s="12">
        <v>4935</v>
      </c>
      <c r="B4996" s="138">
        <f>'FP Info 3'!H31</f>
        <v>23366403.708000001</v>
      </c>
      <c r="D4996" s="2" t="str">
        <f t="shared" si="77"/>
        <v>Error?</v>
      </c>
    </row>
    <row r="4997" spans="1:4" x14ac:dyDescent="0.2">
      <c r="A4997" s="12">
        <v>4936</v>
      </c>
      <c r="B4997" s="138">
        <f>'FP Info 3'!H37</f>
        <v>3403211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80577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5841966</v>
      </c>
      <c r="D5061" s="2" t="str">
        <f t="shared" si="78"/>
        <v>Error?</v>
      </c>
    </row>
    <row r="5062" spans="1:4" x14ac:dyDescent="0.2">
      <c r="A5062" s="10">
        <v>5001</v>
      </c>
      <c r="D5062" s="2" t="str">
        <f t="shared" si="78"/>
        <v>OK</v>
      </c>
    </row>
    <row r="5063" spans="1:4" x14ac:dyDescent="0.2">
      <c r="A5063" s="5">
        <v>5002</v>
      </c>
      <c r="B5063" s="138">
        <f>'Revenues 9-14'!C7</f>
        <v>64461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5987004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339254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339254</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33430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33430</v>
      </c>
      <c r="C5087" s="2" t="s">
        <v>573</v>
      </c>
      <c r="D5087" s="2" t="str">
        <f t="shared" si="78"/>
        <v>Error?</v>
      </c>
    </row>
    <row r="5088" spans="1:4" x14ac:dyDescent="0.2">
      <c r="A5088" s="5">
        <v>5027</v>
      </c>
      <c r="B5088" s="138">
        <f>'Revenues 9-14'!C65</f>
        <v>14741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14741</v>
      </c>
      <c r="C5090" s="2" t="s">
        <v>573</v>
      </c>
      <c r="D5090" s="2" t="str">
        <f t="shared" si="78"/>
        <v>Error?</v>
      </c>
    </row>
    <row r="5091" spans="1:4" x14ac:dyDescent="0.2">
      <c r="A5091" s="5">
        <v>5030</v>
      </c>
      <c r="B5091" s="138">
        <f>'Revenues 9-14'!C70</f>
        <v>11594</v>
      </c>
      <c r="D5091" s="2" t="str">
        <f t="shared" si="78"/>
        <v>Error?</v>
      </c>
    </row>
    <row r="5092" spans="1:4" x14ac:dyDescent="0.2">
      <c r="A5092" s="5">
        <v>5031</v>
      </c>
      <c r="B5092" s="138">
        <f>'Revenues 9-14'!C71</f>
        <v>5496</v>
      </c>
      <c r="D5092" s="2" t="str">
        <f t="shared" si="78"/>
        <v>Error?</v>
      </c>
    </row>
    <row r="5093" spans="1:4" x14ac:dyDescent="0.2">
      <c r="A5093" s="5">
        <v>5032</v>
      </c>
      <c r="B5093" s="138">
        <f>'Revenues 9-14'!C72</f>
        <v>463</v>
      </c>
      <c r="D5093" s="2" t="str">
        <f t="shared" si="78"/>
        <v>Error?</v>
      </c>
    </row>
    <row r="5094" spans="1:4" x14ac:dyDescent="0.2">
      <c r="A5094" s="5">
        <v>5033</v>
      </c>
      <c r="B5094" s="138">
        <f>'Revenues 9-14'!C73</f>
        <v>4356</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146188</v>
      </c>
      <c r="C5096" s="2" t="s">
        <v>573</v>
      </c>
      <c r="D5096" s="2" t="str">
        <f t="shared" si="78"/>
        <v>Error?</v>
      </c>
    </row>
    <row r="5097" spans="1:4" x14ac:dyDescent="0.2">
      <c r="A5097" s="5">
        <v>5036</v>
      </c>
      <c r="B5097" s="138">
        <f>'Revenues 9-14'!C77</f>
        <v>16288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4650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29333</v>
      </c>
      <c r="D5101" s="2" t="str">
        <f t="shared" si="78"/>
        <v>Error?</v>
      </c>
    </row>
    <row r="5102" spans="1:4" x14ac:dyDescent="0.2">
      <c r="A5102" s="5">
        <v>5041</v>
      </c>
      <c r="B5102" s="138">
        <f>'Revenues 9-14'!C82</f>
        <v>50271</v>
      </c>
      <c r="C5102" s="2" t="s">
        <v>573</v>
      </c>
      <c r="D5102" s="2" t="str">
        <f t="shared" si="78"/>
        <v>Error?</v>
      </c>
    </row>
    <row r="5103" spans="1:4" x14ac:dyDescent="0.2">
      <c r="A5103" s="5">
        <v>5042</v>
      </c>
      <c r="B5103" s="138">
        <f>'Revenues 9-14'!C84</f>
        <v>82510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5529</v>
      </c>
      <c r="D5111" s="2" t="str">
        <f t="shared" si="78"/>
        <v>Error?</v>
      </c>
    </row>
    <row r="5112" spans="1:4" x14ac:dyDescent="0.2">
      <c r="A5112" s="5">
        <v>5051</v>
      </c>
      <c r="B5112" s="138">
        <f>'Revenues 9-14'!C93</f>
        <v>88039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22647</v>
      </c>
      <c r="D5119" s="2" t="str">
        <f t="shared" ref="D5119:D5182" si="79">IF(ISBLANK(B5119),"OK",IF(A5119-B5119=0,"OK","Error?"))</f>
        <v>Error?</v>
      </c>
    </row>
    <row r="5120" spans="1:4" x14ac:dyDescent="0.2">
      <c r="A5120" s="5">
        <v>5059</v>
      </c>
      <c r="B5120" s="138">
        <f>'Revenues 9-14'!C108</f>
        <v>25123</v>
      </c>
      <c r="C5120" s="2" t="s">
        <v>573</v>
      </c>
      <c r="D5120" s="2" t="str">
        <f t="shared" si="79"/>
        <v>Error?</v>
      </c>
    </row>
    <row r="5121" spans="1:4" x14ac:dyDescent="0.2">
      <c r="A5121" s="5">
        <v>5060</v>
      </c>
      <c r="B5121" s="138">
        <f>'Revenues 9-14'!C109</f>
        <v>6684050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2250019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2250019</v>
      </c>
      <c r="C5132" s="2" t="s">
        <v>573</v>
      </c>
      <c r="D5132" s="2" t="str">
        <f t="shared" si="79"/>
        <v>Error?</v>
      </c>
    </row>
    <row r="5133" spans="1:4" x14ac:dyDescent="0.2">
      <c r="A5133" s="5">
        <v>5072</v>
      </c>
      <c r="B5133" s="138">
        <f>'Revenues 9-14'!C125</f>
        <v>63666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27497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91163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15375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20922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3947</v>
      </c>
      <c r="D5167" s="2" t="str">
        <f t="shared" si="79"/>
        <v>Error?</v>
      </c>
    </row>
    <row r="5168" spans="1:4" x14ac:dyDescent="0.2">
      <c r="A5168" s="5">
        <v>5107</v>
      </c>
      <c r="B5168" s="138">
        <f>'Revenues 9-14'!C148</f>
        <v>15112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133791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2383810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184556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52117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236673</v>
      </c>
      <c r="C5246" s="2" t="s">
        <v>573</v>
      </c>
      <c r="D5246" s="2" t="str">
        <f t="shared" si="80"/>
        <v>Error?</v>
      </c>
    </row>
    <row r="5247" spans="1:4" x14ac:dyDescent="0.2">
      <c r="A5247" s="5">
        <v>5186</v>
      </c>
      <c r="B5247" s="138">
        <f>'Revenues 9-14'!C200</f>
        <v>110590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4421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110590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250210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250210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9486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648270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648270</v>
      </c>
      <c r="C5326" s="2" t="s">
        <v>573</v>
      </c>
      <c r="D5326" s="2" t="str">
        <f t="shared" si="82"/>
        <v>Error?</v>
      </c>
    </row>
    <row r="5327" spans="1:5" x14ac:dyDescent="0.2">
      <c r="A5327" s="5">
        <v>5266</v>
      </c>
      <c r="B5327" s="138">
        <f>'Revenues 9-14'!C268</f>
        <v>9716130</v>
      </c>
      <c r="C5327" s="2" t="s">
        <v>573</v>
      </c>
      <c r="D5327" s="2" t="str">
        <f t="shared" si="82"/>
        <v>Error?</v>
      </c>
    </row>
    <row r="5328" spans="1:5" x14ac:dyDescent="0.2">
      <c r="A5328" s="5">
        <v>5267</v>
      </c>
      <c r="B5328" s="138">
        <f>'Revenues 9-14'!D5</f>
        <v>797731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797731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3972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3972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3538</v>
      </c>
      <c r="D5354" s="2" t="str">
        <f t="shared" si="82"/>
        <v>Error?</v>
      </c>
    </row>
    <row r="5355" spans="1:4" x14ac:dyDescent="0.2">
      <c r="A5355" s="5">
        <v>5294</v>
      </c>
      <c r="B5355" s="138">
        <f>'Revenues 9-14'!D108</f>
        <v>45211</v>
      </c>
      <c r="C5355" s="2" t="s">
        <v>573</v>
      </c>
      <c r="D5355" s="2" t="str">
        <f t="shared" si="82"/>
        <v>Error?</v>
      </c>
    </row>
    <row r="5356" spans="1:4" x14ac:dyDescent="0.2">
      <c r="A5356" s="5">
        <v>5295</v>
      </c>
      <c r="B5356" s="138">
        <f>'Revenues 9-14'!D109</f>
        <v>846914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250000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250000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9005</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259005</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1105919</v>
      </c>
      <c r="C5508" s="2" t="s">
        <v>573</v>
      </c>
      <c r="D5508" s="2" t="str">
        <f t="shared" si="85"/>
        <v>Error?</v>
      </c>
    </row>
    <row r="5509" spans="1:4" x14ac:dyDescent="0.2">
      <c r="A5509" s="5">
        <v>5448</v>
      </c>
      <c r="B5509" s="138">
        <f>'Revenues 9-14'!E5</f>
        <v>154716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154716</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3854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3854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80941</v>
      </c>
      <c r="C5526" s="2" t="s">
        <v>573</v>
      </c>
      <c r="D5526" s="2" t="str">
        <f t="shared" si="85"/>
        <v>Error?</v>
      </c>
    </row>
    <row r="5527" spans="1:4" x14ac:dyDescent="0.2">
      <c r="A5527" s="5">
        <v>5466</v>
      </c>
      <c r="B5527" s="138">
        <f>'Revenues 9-14'!E109</f>
        <v>239511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239511</v>
      </c>
      <c r="C5552" s="2" t="s">
        <v>573</v>
      </c>
      <c r="D5552" s="2" t="str">
        <f t="shared" si="85"/>
        <v>Error?</v>
      </c>
    </row>
    <row r="5553" spans="1:4" x14ac:dyDescent="0.2">
      <c r="A5553" s="5">
        <v>5492</v>
      </c>
      <c r="B5553" s="138">
        <f>'Revenues 9-14'!F5</f>
        <v>322316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322316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3734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3734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7498</v>
      </c>
      <c r="D5586" s="2" t="str">
        <f t="shared" si="86"/>
        <v>Error?</v>
      </c>
    </row>
    <row r="5587" spans="1:4" x14ac:dyDescent="0.2">
      <c r="A5587" s="5">
        <v>5526</v>
      </c>
      <c r="B5587" s="138">
        <f>'Revenues 9-14'!F108</f>
        <v>7498</v>
      </c>
      <c r="C5587" s="2" t="s">
        <v>573</v>
      </c>
      <c r="D5587" s="2" t="str">
        <f t="shared" si="86"/>
        <v>Error?</v>
      </c>
    </row>
    <row r="5588" spans="1:4" x14ac:dyDescent="0.2">
      <c r="A5588" s="5">
        <v>5527</v>
      </c>
      <c r="B5588" s="138">
        <f>'Revenues 9-14'!F109</f>
        <v>333548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100000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483118</v>
      </c>
      <c r="D5615" s="2" t="str">
        <f t="shared" si="86"/>
        <v>Error?</v>
      </c>
    </row>
    <row r="5616" spans="1:4" x14ac:dyDescent="0.2">
      <c r="A5616" s="10">
        <v>5555</v>
      </c>
      <c r="D5616" s="2" t="str">
        <f t="shared" si="86"/>
        <v>OK</v>
      </c>
    </row>
    <row r="5617" spans="1:5" x14ac:dyDescent="0.2">
      <c r="A5617" s="5">
        <v>5556</v>
      </c>
      <c r="B5617" s="138">
        <f>'Revenues 9-14'!F153</f>
        <v>196348</v>
      </c>
      <c r="D5617" s="2" t="str">
        <f t="shared" si="86"/>
        <v>Error?</v>
      </c>
    </row>
    <row r="5618" spans="1:5" x14ac:dyDescent="0.2">
      <c r="A5618" s="5">
        <v>5557</v>
      </c>
      <c r="B5618" s="138">
        <f>'Revenues 9-14'!F155</f>
        <v>679466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679466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779466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1113014</v>
      </c>
      <c r="C5720" s="2" t="s">
        <v>573</v>
      </c>
      <c r="D5720" s="2" t="str">
        <f t="shared" si="88"/>
        <v>Error?</v>
      </c>
    </row>
    <row r="5721" spans="1:4" x14ac:dyDescent="0.2">
      <c r="A5721" s="5">
        <v>5660</v>
      </c>
      <c r="B5721" s="138">
        <f>'Revenues 9-14'!G5</f>
        <v>174534</v>
      </c>
      <c r="D5721" s="2" t="str">
        <f t="shared" si="88"/>
        <v>Error?</v>
      </c>
    </row>
    <row r="5722" spans="1:4" x14ac:dyDescent="0.2">
      <c r="A5722" s="5">
        <v>5661</v>
      </c>
      <c r="B5722" s="138">
        <f>'Revenues 9-14'!G7</f>
        <v>0</v>
      </c>
      <c r="D5722" s="2" t="str">
        <f t="shared" si="88"/>
        <v>Error?</v>
      </c>
    </row>
    <row r="5723" spans="1:4" x14ac:dyDescent="0.2">
      <c r="A5723" s="5">
        <v>5662</v>
      </c>
      <c r="B5723" s="138">
        <f>'Revenues 9-14'!G8</f>
        <v>124701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299235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84000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84000</v>
      </c>
      <c r="C5730" s="2" t="s">
        <v>573</v>
      </c>
      <c r="D5730" s="2" t="str">
        <f t="shared" si="88"/>
        <v>Error?</v>
      </c>
    </row>
    <row r="5731" spans="1:4" x14ac:dyDescent="0.2">
      <c r="A5731" s="5">
        <v>5670</v>
      </c>
      <c r="B5731" s="138">
        <f>'Revenues 9-14'!G65</f>
        <v>5104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5104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388339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80577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80577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2508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2508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83085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80577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80577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7985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7985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88562</v>
      </c>
      <c r="C6023" s="2" t="s">
        <v>573</v>
      </c>
      <c r="D6023" s="2" t="str">
        <f t="shared" si="93"/>
        <v>Error?</v>
      </c>
    </row>
    <row r="6024" spans="1:5" x14ac:dyDescent="0.2">
      <c r="A6024" s="5">
        <v>5963</v>
      </c>
      <c r="B6024" s="138">
        <f>'Revenues 9-14'!G109</f>
        <v>388339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83085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88562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124279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30699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853.6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165806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165806</v>
      </c>
      <c r="D6215" s="2" t="str">
        <f t="shared" si="96"/>
        <v>Error?</v>
      </c>
      <c r="E6215" s="2" t="s">
        <v>190</v>
      </c>
    </row>
    <row r="6216" spans="1:5" x14ac:dyDescent="0.2">
      <c r="A6216">
        <v>6155</v>
      </c>
      <c r="B6216" s="138">
        <f>'Assets-Liab 5-6'!J41</f>
        <v>165806</v>
      </c>
      <c r="D6216" s="2" t="str">
        <f t="shared" si="96"/>
        <v>Error?</v>
      </c>
      <c r="E6216" s="2" t="s">
        <v>190</v>
      </c>
    </row>
    <row r="6217" spans="1:5" x14ac:dyDescent="0.2">
      <c r="A6217">
        <v>6156</v>
      </c>
      <c r="B6217" s="138">
        <f>'Assets-Liab 5-6'!J4</f>
        <v>165806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309970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309970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309970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310652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310652</v>
      </c>
      <c r="D6229" s="2" t="str">
        <f t="shared" si="96"/>
        <v>Error?</v>
      </c>
      <c r="E6229" s="2" t="s">
        <v>190</v>
      </c>
    </row>
    <row r="6230" spans="1:5" x14ac:dyDescent="0.2">
      <c r="A6230">
        <v>6169</v>
      </c>
      <c r="B6230" s="138">
        <f>'Acct Summary 7-8'!J20</f>
        <v>-682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-682</v>
      </c>
      <c r="D6263" s="2" t="str">
        <f t="shared" si="96"/>
        <v>Error?</v>
      </c>
      <c r="E6263" s="2" t="s">
        <v>190</v>
      </c>
    </row>
    <row r="6264" spans="1:5" x14ac:dyDescent="0.2">
      <c r="A6264">
        <v>6203</v>
      </c>
      <c r="B6264" s="138">
        <f>'Acct Summary 7-8'!J79</f>
        <v>166488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165806</v>
      </c>
      <c r="D6266" s="2" t="str">
        <f t="shared" si="96"/>
        <v>Error?</v>
      </c>
      <c r="E6266" s="2" t="s">
        <v>190</v>
      </c>
    </row>
    <row r="6267" spans="1:5" x14ac:dyDescent="0.2">
      <c r="A6267">
        <v>6206</v>
      </c>
      <c r="B6267" s="138">
        <f>'Acct Summary 7-8'!C82</f>
        <v>141491</v>
      </c>
      <c r="D6267" s="2" t="str">
        <f t="shared" si="96"/>
        <v>Error?</v>
      </c>
      <c r="E6267" s="2" t="s">
        <v>190</v>
      </c>
    </row>
    <row r="6268" spans="1:5" x14ac:dyDescent="0.2">
      <c r="A6268">
        <v>6207</v>
      </c>
      <c r="B6268" s="138">
        <f>'Acct Summary 7-8'!D82</f>
        <v>-155169</v>
      </c>
      <c r="D6268" s="2" t="str">
        <f t="shared" si="96"/>
        <v>Error?</v>
      </c>
      <c r="E6268" s="2" t="s">
        <v>190</v>
      </c>
    </row>
    <row r="6269" spans="1:5" x14ac:dyDescent="0.2">
      <c r="A6269">
        <v>6208</v>
      </c>
      <c r="B6269" s="138">
        <f>'Acct Summary 7-8'!E82</f>
        <v>-200944</v>
      </c>
      <c r="D6269" s="2" t="str">
        <f t="shared" si="96"/>
        <v>Error?</v>
      </c>
      <c r="E6269" s="2" t="s">
        <v>190</v>
      </c>
    </row>
    <row r="6270" spans="1:5" x14ac:dyDescent="0.2">
      <c r="A6270">
        <v>6209</v>
      </c>
      <c r="B6270" s="138">
        <f>'Acct Summary 7-8'!F82</f>
        <v>88219</v>
      </c>
      <c r="D6270" s="2" t="str">
        <f t="shared" si="96"/>
        <v>Error?</v>
      </c>
      <c r="E6270" s="2" t="s">
        <v>190</v>
      </c>
    </row>
    <row r="6271" spans="1:5" x14ac:dyDescent="0.2">
      <c r="A6271">
        <v>6210</v>
      </c>
      <c r="B6271" s="138">
        <f>'Acct Summary 7-8'!G82</f>
        <v>-44011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83085</v>
      </c>
      <c r="D6273" s="2" t="str">
        <f t="shared" si="97"/>
        <v>Error?</v>
      </c>
      <c r="E6273" s="2" t="s">
        <v>190</v>
      </c>
    </row>
    <row r="6274" spans="1:5" x14ac:dyDescent="0.2">
      <c r="A6274">
        <v>6213</v>
      </c>
      <c r="B6274" s="138">
        <f>'Acct Summary 7-8'!J82</f>
        <v>-682</v>
      </c>
      <c r="D6274" s="2" t="str">
        <f t="shared" si="97"/>
        <v>Error?</v>
      </c>
      <c r="E6274" s="2" t="s">
        <v>190</v>
      </c>
    </row>
    <row r="6275" spans="1:5" x14ac:dyDescent="0.2">
      <c r="A6275">
        <v>6214</v>
      </c>
      <c r="B6275" s="138">
        <f>'Acct Summary 7-8'!K82</f>
        <v>-2031683</v>
      </c>
      <c r="D6275" s="2" t="str">
        <f t="shared" si="97"/>
        <v>Error?</v>
      </c>
      <c r="E6275" s="2" t="s">
        <v>190</v>
      </c>
    </row>
    <row r="6276" spans="1:5" x14ac:dyDescent="0.2">
      <c r="A6276">
        <v>6215</v>
      </c>
      <c r="B6276" s="138">
        <f>'Acct Summary 7-8'!C83</f>
        <v>6.5200731953570443E-2</v>
      </c>
      <c r="D6276" s="2" t="str">
        <f t="shared" si="97"/>
        <v>Error?</v>
      </c>
      <c r="E6276" s="2" t="s">
        <v>190</v>
      </c>
    </row>
    <row r="6277" spans="1:5" x14ac:dyDescent="0.2">
      <c r="A6277">
        <v>6216</v>
      </c>
      <c r="B6277" s="138">
        <f>'Acct Summary 7-8'!D83</f>
        <v>-0.62682388870037331</v>
      </c>
      <c r="D6277" s="2" t="str">
        <f t="shared" si="97"/>
        <v>Error?</v>
      </c>
      <c r="E6277" s="2" t="s">
        <v>190</v>
      </c>
    </row>
    <row r="6278" spans="1:5" x14ac:dyDescent="0.2">
      <c r="A6278">
        <v>6217</v>
      </c>
      <c r="B6278" s="138">
        <f>'Acct Summary 7-8'!E83</f>
        <v>-0.66001215286331316</v>
      </c>
      <c r="D6278" s="2" t="str">
        <f t="shared" si="97"/>
        <v>Error?</v>
      </c>
      <c r="E6278" s="2" t="s">
        <v>190</v>
      </c>
    </row>
    <row r="6279" spans="1:5" x14ac:dyDescent="0.2">
      <c r="A6279">
        <v>6218</v>
      </c>
      <c r="B6279" s="138">
        <f>'Acct Summary 7-8'!F83</f>
        <v>0.17290994547257754</v>
      </c>
      <c r="D6279" s="2" t="str">
        <f t="shared" si="97"/>
        <v>Error?</v>
      </c>
      <c r="E6279" s="2" t="s">
        <v>190</v>
      </c>
    </row>
    <row r="6280" spans="1:5" x14ac:dyDescent="0.2">
      <c r="A6280">
        <v>6219</v>
      </c>
      <c r="B6280" s="138">
        <f>'Acct Summary 7-8'!G83</f>
        <v>-0.1009720721402794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0.33663819649282034</v>
      </c>
      <c r="D6282" s="2" t="str">
        <f t="shared" si="97"/>
        <v>Error?</v>
      </c>
      <c r="E6282" s="2" t="s">
        <v>190</v>
      </c>
    </row>
    <row r="6283" spans="1:5" x14ac:dyDescent="0.2">
      <c r="A6283">
        <v>6222</v>
      </c>
      <c r="B6283" s="138">
        <f>'Acct Summary 7-8'!J83</f>
        <v>-4.1132407753639794E-3</v>
      </c>
      <c r="D6283" s="2" t="str">
        <f t="shared" si="97"/>
        <v>Error?</v>
      </c>
      <c r="E6283" s="2" t="s">
        <v>190</v>
      </c>
    </row>
    <row r="6284" spans="1:5" x14ac:dyDescent="0.2">
      <c r="A6284">
        <v>6223</v>
      </c>
      <c r="B6284" s="138">
        <f>'Acct Summary 7-8'!K83</f>
        <v>-2.7560912744977015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299235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299235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2045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2045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41673</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2476</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8690</v>
      </c>
      <c r="D6350" s="2" t="str">
        <f t="shared" si="98"/>
        <v>Error?</v>
      </c>
      <c r="E6350" s="2" t="s">
        <v>190</v>
      </c>
    </row>
    <row r="6351" spans="1:5" x14ac:dyDescent="0.2">
      <c r="A6351">
        <v>6290</v>
      </c>
      <c r="B6351" s="138">
        <f>'Revenues 9-14'!J108</f>
        <v>8690</v>
      </c>
      <c r="D6351" s="2" t="str">
        <f t="shared" si="98"/>
        <v>Error?</v>
      </c>
      <c r="E6351" s="2" t="s">
        <v>190</v>
      </c>
    </row>
    <row r="6352" spans="1:5" x14ac:dyDescent="0.2">
      <c r="A6352">
        <v>6291</v>
      </c>
      <c r="B6352" s="138">
        <f>'Revenues 9-14'!J109</f>
        <v>309970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5547</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88424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310652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309970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1073</v>
      </c>
      <c r="D7079" s="2" t="str">
        <f t="shared" si="109"/>
        <v>Error?</v>
      </c>
    </row>
    <row r="7080" spans="1:4" x14ac:dyDescent="0.2">
      <c r="A7080">
        <v>7019</v>
      </c>
      <c r="B7080" s="138">
        <f>'Expenditures 15-22'!K226</f>
        <v>1073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145252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145252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4960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4960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34092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34092</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310652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310652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310652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310652</v>
      </c>
      <c r="D7224" s="2" t="str">
        <f t="shared" si="111"/>
        <v>Error?</v>
      </c>
    </row>
    <row r="7225" spans="1:4" x14ac:dyDescent="0.2">
      <c r="A7225">
        <v>7164</v>
      </c>
      <c r="B7225" s="138">
        <f>'Expenditures 15-22'!K343</f>
        <v>-682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73072</v>
      </c>
      <c r="D7263" s="2" t="str">
        <f t="shared" si="112"/>
        <v>Error?</v>
      </c>
    </row>
    <row r="7264" spans="1:4" x14ac:dyDescent="0.2">
      <c r="A7264">
        <f t="shared" si="113"/>
        <v>7203</v>
      </c>
      <c r="B7264" s="138">
        <f>'Expenditures 15-22'!D17</f>
        <v>10137</v>
      </c>
      <c r="D7264" s="2" t="str">
        <f t="shared" si="112"/>
        <v>Error?</v>
      </c>
    </row>
    <row r="7265" spans="1:5" x14ac:dyDescent="0.2">
      <c r="A7265">
        <f t="shared" si="113"/>
        <v>7204</v>
      </c>
      <c r="B7265" s="138">
        <f>'Expenditures 15-22'!E17</f>
        <v>5215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771647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105837</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105837</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20511</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20511</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2476</v>
      </c>
      <c r="D7712" s="2" t="str">
        <f t="shared" si="126"/>
        <v>Error?</v>
      </c>
      <c r="E7712" s="2" t="s">
        <v>827</v>
      </c>
    </row>
    <row r="7713" spans="1:6" x14ac:dyDescent="0.2">
      <c r="A7713">
        <v>7652</v>
      </c>
      <c r="B7713" s="138">
        <f>'Rest Tax Levies-Tort Im 25'!J8</f>
        <v>80941</v>
      </c>
      <c r="D7713" s="2" t="str">
        <f t="shared" si="126"/>
        <v>Error?</v>
      </c>
      <c r="E7713" s="2" t="s">
        <v>827</v>
      </c>
    </row>
    <row r="7714" spans="1:6" x14ac:dyDescent="0.2">
      <c r="A7714">
        <v>7653</v>
      </c>
      <c r="B7714" s="138">
        <f>'Rest Tax Levies-Tort Im 25'!K9</f>
        <v>15112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80941</v>
      </c>
      <c r="D7718" s="2" t="str">
        <f t="shared" si="126"/>
        <v>Error?</v>
      </c>
      <c r="E7718" s="2" t="s">
        <v>827</v>
      </c>
    </row>
    <row r="7719" spans="1:6" x14ac:dyDescent="0.2">
      <c r="A7719">
        <v>7658</v>
      </c>
      <c r="B7719" s="138">
        <f>'Rest Tax Levies-Tort Im 25'!K12</f>
        <v>17588</v>
      </c>
      <c r="D7719" s="2" t="str">
        <f t="shared" si="126"/>
        <v>Error?</v>
      </c>
      <c r="E7719" s="2" t="s">
        <v>827</v>
      </c>
    </row>
    <row r="7720" spans="1:6" x14ac:dyDescent="0.2">
      <c r="A7720">
        <v>7659</v>
      </c>
      <c r="B7720" s="138">
        <f>'Rest Tax Levies-Tort Im 25'!H14</f>
        <v>64461</v>
      </c>
      <c r="D7720" s="2" t="str">
        <f t="shared" si="126"/>
        <v>Error?</v>
      </c>
      <c r="E7720" s="2" t="s">
        <v>827</v>
      </c>
    </row>
    <row r="7721" spans="1:6" x14ac:dyDescent="0.2">
      <c r="A7721">
        <v>7660</v>
      </c>
      <c r="B7721" s="138">
        <f>'Rest Tax Levies-Tort Im 25'!K14</f>
        <v>17588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80941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80941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80941</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29'!D40</f>
        <v>361728</v>
      </c>
      <c r="D7797" s="2" t="str">
        <f t="shared" si="127"/>
        <v>Error?</v>
      </c>
      <c r="E7797" s="4" t="s">
        <v>1900</v>
      </c>
    </row>
    <row r="7798" spans="1:5" x14ac:dyDescent="0.2">
      <c r="A7798">
        <v>7737</v>
      </c>
      <c r="B7798" s="138">
        <f>'Contracts Paid in CY 29'!F40</f>
        <v>138392</v>
      </c>
      <c r="D7798" s="2" t="str">
        <f t="shared" si="127"/>
        <v>Error?</v>
      </c>
      <c r="E7798" s="4" t="s">
        <v>1900</v>
      </c>
    </row>
    <row r="7799" spans="1:5" x14ac:dyDescent="0.2">
      <c r="A7799">
        <v>7738</v>
      </c>
      <c r="B7799" s="138">
        <f>'Contracts Paid in CY 29'!G40</f>
        <v>223336</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433" t="s">
        <v>1190</v>
      </c>
      <c r="B3" s="2433"/>
      <c r="C3" s="2433"/>
      <c r="D3" s="2433"/>
      <c r="E3" s="2433"/>
      <c r="F3" s="2433"/>
      <c r="G3" s="2433"/>
      <c r="H3" s="2433"/>
      <c r="I3" s="2433"/>
      <c r="J3" s="2433"/>
      <c r="K3" s="2433"/>
      <c r="L3" s="2433"/>
    </row>
    <row r="4" spans="1:29" ht="13.5" customHeight="1" x14ac:dyDescent="0.2">
      <c r="A4" s="2402" t="s">
        <v>1985</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4" t="str">
        <f>COVER!A17</f>
        <v>Fieldcrest CUSD 6</v>
      </c>
      <c r="B7" s="2425"/>
      <c r="C7" s="2425"/>
      <c r="D7" s="2426"/>
      <c r="E7" s="2427">
        <f>COVER!A13</f>
        <v>53102006026</v>
      </c>
      <c r="F7" s="2428"/>
      <c r="G7" s="2434" t="str">
        <f>COVER!T23</f>
        <v>066-004355</v>
      </c>
      <c r="H7" s="2435"/>
      <c r="I7" s="2435"/>
      <c r="J7" s="2435"/>
      <c r="K7" s="2435"/>
      <c r="L7" s="243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37"/>
      <c r="B9" s="2438"/>
      <c r="C9" s="2438"/>
      <c r="D9" s="2438"/>
      <c r="E9" s="2438"/>
      <c r="F9" s="2439"/>
      <c r="G9" s="2408" t="str">
        <f>COVER!T13</f>
        <v>Phillips, Salmi &amp; Associates, LLC</v>
      </c>
      <c r="H9" s="2440"/>
      <c r="I9" s="2440"/>
      <c r="J9" s="2440"/>
      <c r="K9" s="2440"/>
      <c r="L9" s="2441"/>
    </row>
    <row r="10" spans="1:29" ht="13.5" customHeight="1" x14ac:dyDescent="0.2">
      <c r="A10" s="2414" t="str">
        <f>COVER!A38</f>
        <v>Dr. Daniel L Oakley</v>
      </c>
      <c r="B10" s="2415"/>
      <c r="C10" s="2415"/>
      <c r="D10" s="2415"/>
      <c r="E10" s="2415"/>
      <c r="F10" s="2416"/>
      <c r="G10" s="2408" t="str">
        <f>COVER!T17</f>
        <v>112 S Main Street</v>
      </c>
      <c r="H10" s="2409"/>
      <c r="I10" s="2409"/>
      <c r="J10" s="2409"/>
      <c r="K10" s="2409"/>
      <c r="L10" s="2410"/>
    </row>
    <row r="11" spans="1:29" ht="13.5" customHeight="1" x14ac:dyDescent="0.2">
      <c r="A11" s="1184" t="s">
        <v>1519</v>
      </c>
      <c r="B11" s="1185"/>
      <c r="C11" s="1186"/>
      <c r="D11" s="1191"/>
      <c r="E11" s="1186"/>
      <c r="F11" s="1190"/>
      <c r="G11" s="2408" t="str">
        <f>COVER!T19</f>
        <v>Washington</v>
      </c>
      <c r="H11" s="2409"/>
      <c r="I11" s="2409"/>
      <c r="J11" s="2409"/>
      <c r="K11" s="2409"/>
      <c r="L11" s="2410"/>
    </row>
    <row r="12" spans="1:29" ht="13.5" customHeight="1" x14ac:dyDescent="0.2">
      <c r="A12" s="2417" t="s">
        <v>1518</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1520</v>
      </c>
      <c r="H13" s="2404"/>
      <c r="I13" s="2420" t="str">
        <f>COVER!T25</f>
        <v>lsalmi@psa-cpa.com</v>
      </c>
      <c r="J13" s="2421"/>
      <c r="K13" s="2421"/>
      <c r="L13" s="2422"/>
    </row>
    <row r="14" spans="1:29" ht="13.5" customHeight="1" x14ac:dyDescent="0.2">
      <c r="A14" s="2408" t="str">
        <f>COVER!A19</f>
        <v>1 Dornbush</v>
      </c>
      <c r="B14" s="2409"/>
      <c r="C14" s="2409"/>
      <c r="D14" s="2409"/>
      <c r="E14" s="2409"/>
      <c r="F14" s="2410"/>
      <c r="G14" s="1195" t="s">
        <v>1185</v>
      </c>
      <c r="H14" s="1193"/>
      <c r="I14" s="1193"/>
      <c r="J14" s="1193"/>
      <c r="K14" s="1193"/>
      <c r="L14" s="1194"/>
    </row>
    <row r="15" spans="1:29" ht="13.5" customHeight="1" x14ac:dyDescent="0.2">
      <c r="A15" s="2408" t="str">
        <f>COVER!A21</f>
        <v>Minonk</v>
      </c>
      <c r="B15" s="2409"/>
      <c r="C15" s="2409"/>
      <c r="D15" s="2409"/>
      <c r="E15" s="2409"/>
      <c r="F15" s="2410"/>
      <c r="G15" s="2405" t="str">
        <f>COVER!T15</f>
        <v>Lori Salmi</v>
      </c>
      <c r="H15" s="2406"/>
      <c r="I15" s="2406"/>
      <c r="J15" s="2406"/>
      <c r="K15" s="2406"/>
      <c r="L15" s="2407"/>
    </row>
    <row r="16" spans="1:29" ht="12.2" customHeight="1" x14ac:dyDescent="0.2">
      <c r="A16" s="2430">
        <f>COVER!A25</f>
        <v>61761</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5" t="s">
        <v>1184</v>
      </c>
      <c r="H17" s="1193"/>
      <c r="I17" s="1193"/>
      <c r="J17" s="1193"/>
      <c r="K17" s="1197" t="s">
        <v>1183</v>
      </c>
      <c r="L17" s="1190"/>
      <c r="M17" s="1183"/>
    </row>
    <row r="18" spans="1:13" ht="12.2" customHeight="1" x14ac:dyDescent="0.2">
      <c r="A18" s="2414"/>
      <c r="B18" s="2415"/>
      <c r="C18" s="2415"/>
      <c r="D18" s="2415"/>
      <c r="E18" s="2415"/>
      <c r="F18" s="2416"/>
      <c r="G18" s="2424" t="str">
        <f>COVER!T21</f>
        <v>(309) 444-4909</v>
      </c>
      <c r="H18" s="2425"/>
      <c r="I18" s="2425"/>
      <c r="J18" s="2425"/>
      <c r="K18" s="2424" t="str">
        <f>COVER!X21</f>
        <v>(309) 444-8580</v>
      </c>
      <c r="L18" s="242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6" t="str">
        <f>'Single Audit Cover'!A7</f>
        <v>Fieldcrest CUSD 6</v>
      </c>
      <c r="B1" s="2423"/>
      <c r="C1" s="2423"/>
      <c r="D1" s="2423"/>
    </row>
    <row r="2" spans="1:11" s="1212" customFormat="1" ht="12.75" x14ac:dyDescent="0.2">
      <c r="A2" s="2447">
        <f>'Single Audit Cover'!E7</f>
        <v>53102006026</v>
      </c>
      <c r="B2" s="2448"/>
      <c r="C2" s="2448"/>
      <c r="D2" s="2448"/>
    </row>
    <row r="3" spans="1:11" s="1212" customFormat="1" ht="12.75" x14ac:dyDescent="0.2">
      <c r="A3" s="2446"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B7" sqref="B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0" t="str">
        <f>'Single Audit Cover'!A7</f>
        <v>Fieldcrest CUSD 6</v>
      </c>
      <c r="B1" s="2450"/>
      <c r="C1" s="2450"/>
      <c r="D1" s="2450"/>
      <c r="E1" s="2450"/>
    </row>
    <row r="2" spans="1:5" x14ac:dyDescent="0.2">
      <c r="A2" s="2451">
        <f>'Single Audit Cover'!E7</f>
        <v>53102006026</v>
      </c>
      <c r="B2" s="2451"/>
      <c r="C2" s="2451"/>
      <c r="D2" s="2451"/>
      <c r="E2" s="2451"/>
    </row>
    <row r="3" spans="1:5" ht="4.5" customHeight="1" x14ac:dyDescent="0.2"/>
    <row r="4" spans="1:5" x14ac:dyDescent="0.2">
      <c r="A4" s="2450" t="s">
        <v>1245</v>
      </c>
      <c r="B4" s="2450"/>
      <c r="C4" s="2450"/>
      <c r="D4" s="2450"/>
      <c r="E4" s="2450"/>
    </row>
    <row r="5" spans="1:5" x14ac:dyDescent="0.2">
      <c r="A5" s="2453" t="str">
        <f>'Single Audit Cover'!A4</f>
        <v>Year Ending June 30, 2019</v>
      </c>
      <c r="B5" s="2453"/>
      <c r="C5" s="2453"/>
      <c r="D5" s="2453"/>
      <c r="E5" s="2453"/>
    </row>
    <row r="6" spans="1:5" x14ac:dyDescent="0.2">
      <c r="A6" s="2450" t="s">
        <v>1244</v>
      </c>
      <c r="B6" s="2450"/>
      <c r="C6" s="2450"/>
      <c r="D6" s="2450"/>
      <c r="E6" s="2450"/>
    </row>
    <row r="8" spans="1:5" x14ac:dyDescent="0.2">
      <c r="A8" s="1257" t="s">
        <v>1243</v>
      </c>
    </row>
    <row r="10" spans="1:5" x14ac:dyDescent="0.2">
      <c r="A10" s="1258" t="s">
        <v>1242</v>
      </c>
      <c r="B10" s="1259" t="s">
        <v>1241</v>
      </c>
      <c r="C10" s="1259"/>
      <c r="D10" s="1260">
        <f>SUM('Acct Summary 7-8'!C7:K7)</f>
        <v>648270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30699</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-7463</v>
      </c>
    </row>
    <row r="19" spans="1:4" ht="13.5" thickBot="1" x14ac:dyDescent="0.25">
      <c r="A19" s="1262" t="s">
        <v>1235</v>
      </c>
      <c r="D19" s="1263">
        <f>SUM(D10:D17)</f>
        <v>671506</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2"/>
      <c r="B24" s="2452"/>
      <c r="D24" s="1265"/>
    </row>
    <row r="25" spans="1:4" x14ac:dyDescent="0.2">
      <c r="A25" s="2449"/>
      <c r="B25" s="2449"/>
      <c r="D25" s="1265"/>
    </row>
    <row r="26" spans="1:4" x14ac:dyDescent="0.2">
      <c r="A26" s="2449"/>
      <c r="B26" s="2449"/>
      <c r="D26" s="1265"/>
    </row>
    <row r="27" spans="1:4" x14ac:dyDescent="0.2">
      <c r="A27" s="2449"/>
      <c r="B27" s="2449"/>
      <c r="D27" s="1265"/>
    </row>
    <row r="28" spans="1:4" x14ac:dyDescent="0.2">
      <c r="A28" s="2449"/>
      <c r="B28" s="2449"/>
      <c r="D28" s="1265"/>
    </row>
    <row r="29" spans="1:4" x14ac:dyDescent="0.2">
      <c r="A29" s="2449"/>
      <c r="B29" s="2449"/>
      <c r="D29" s="1265"/>
    </row>
    <row r="30" spans="1:4" x14ac:dyDescent="0.2">
      <c r="A30" s="2449"/>
      <c r="B30" s="2449"/>
      <c r="D30" s="1265"/>
    </row>
    <row r="32" spans="1:4" x14ac:dyDescent="0.2">
      <c r="A32" s="1257" t="s">
        <v>1233</v>
      </c>
      <c r="D32" s="1260">
        <f>SUM(D19:D30)</f>
        <v>671506</v>
      </c>
    </row>
    <row r="33" spans="1:4" x14ac:dyDescent="0.2">
      <c r="D33" s="1266"/>
    </row>
    <row r="34" spans="1:4" x14ac:dyDescent="0.2">
      <c r="A34" s="317" t="s">
        <v>1232</v>
      </c>
    </row>
    <row r="35" spans="1:4" x14ac:dyDescent="0.2">
      <c r="A35" s="317" t="s">
        <v>1231</v>
      </c>
      <c r="B35" s="1255" t="s">
        <v>1230</v>
      </c>
      <c r="D35" s="1267">
        <v>671506</v>
      </c>
    </row>
    <row r="37" spans="1:4" x14ac:dyDescent="0.2">
      <c r="A37" s="1257" t="s">
        <v>1229</v>
      </c>
    </row>
    <row r="39" spans="1:4" ht="13.35" customHeight="1" x14ac:dyDescent="0.2">
      <c r="A39" s="1264" t="s">
        <v>1228</v>
      </c>
    </row>
    <row r="40" spans="1:4" x14ac:dyDescent="0.2">
      <c r="A40" s="2449"/>
      <c r="B40" s="2449"/>
      <c r="D40" s="1265"/>
    </row>
    <row r="41" spans="1:4" x14ac:dyDescent="0.2">
      <c r="A41" s="2449"/>
      <c r="B41" s="2449"/>
      <c r="D41" s="1268"/>
    </row>
    <row r="42" spans="1:4" x14ac:dyDescent="0.2">
      <c r="A42" s="2449"/>
      <c r="B42" s="2449"/>
      <c r="D42" s="1268"/>
    </row>
    <row r="43" spans="1:4" x14ac:dyDescent="0.2">
      <c r="A43" s="2449"/>
      <c r="B43" s="2449"/>
      <c r="D43" s="1268"/>
    </row>
    <row r="44" spans="1:4" x14ac:dyDescent="0.2">
      <c r="A44" s="2449"/>
      <c r="B44" s="2449"/>
      <c r="D44" s="1268"/>
    </row>
    <row r="45" spans="1:4" x14ac:dyDescent="0.2">
      <c r="A45" s="2449"/>
      <c r="B45" s="2449"/>
      <c r="D45" s="1268"/>
    </row>
    <row r="47" spans="1:4" x14ac:dyDescent="0.2">
      <c r="B47" s="1269" t="s">
        <v>1227</v>
      </c>
      <c r="C47" s="1269"/>
      <c r="D47" s="1270">
        <f>SUM(D35:D45)</f>
        <v>671506</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view="pageLayout" topLeftCell="A7"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3" t="str">
        <f>'Single Audit Cover'!A7</f>
        <v>Fieldcrest CUSD 6</v>
      </c>
      <c r="C1" s="2454"/>
      <c r="D1" s="2454"/>
      <c r="E1" s="2454"/>
      <c r="F1" s="2454"/>
      <c r="G1" s="2454"/>
      <c r="H1" s="2454"/>
      <c r="I1" s="2454"/>
      <c r="J1" s="2454"/>
      <c r="K1" s="2454"/>
      <c r="L1" s="2454"/>
      <c r="M1" s="2454"/>
    </row>
    <row r="2" spans="2:14" ht="15" x14ac:dyDescent="0.2">
      <c r="B2" s="2455">
        <f>'Single Audit Cover'!E7</f>
        <v>53102006026</v>
      </c>
      <c r="C2" s="2455"/>
      <c r="D2" s="2455"/>
      <c r="E2" s="2455"/>
      <c r="F2" s="2455"/>
      <c r="G2" s="2455"/>
      <c r="H2" s="2455"/>
      <c r="I2" s="2455"/>
      <c r="J2" s="2455"/>
      <c r="K2" s="2455"/>
      <c r="L2" s="2455"/>
      <c r="M2" s="2455"/>
      <c r="N2" s="1299"/>
    </row>
    <row r="3" spans="2:14" ht="15" x14ac:dyDescent="0.2">
      <c r="B3" s="2456" t="s">
        <v>1219</v>
      </c>
      <c r="C3" s="2456"/>
      <c r="D3" s="2456"/>
      <c r="E3" s="2456"/>
      <c r="F3" s="2456"/>
      <c r="G3" s="2456"/>
      <c r="H3" s="2456"/>
      <c r="I3" s="2456"/>
      <c r="J3" s="2456"/>
      <c r="K3" s="2456"/>
      <c r="L3" s="2456"/>
      <c r="M3" s="2456"/>
      <c r="N3" s="1299"/>
    </row>
    <row r="4" spans="2:14" ht="15" x14ac:dyDescent="0.2">
      <c r="B4" s="2457" t="str">
        <f>'Single Audit Cover'!A4</f>
        <v>Year Ending June 30, 2019</v>
      </c>
      <c r="C4" s="2457"/>
      <c r="D4" s="2457"/>
      <c r="E4" s="2457"/>
      <c r="F4" s="2457"/>
      <c r="G4" s="2457"/>
      <c r="H4" s="2457"/>
      <c r="I4" s="2457"/>
      <c r="J4" s="2457"/>
      <c r="K4" s="2457"/>
      <c r="L4" s="2457"/>
      <c r="M4" s="245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2136</v>
      </c>
      <c r="C11" s="1335"/>
      <c r="D11" s="1336"/>
      <c r="E11" s="1337"/>
      <c r="F11" s="1337"/>
      <c r="G11" s="1337"/>
      <c r="H11" s="1337"/>
      <c r="I11" s="1337"/>
      <c r="J11" s="1337"/>
      <c r="K11" s="1337"/>
      <c r="L11" s="1337"/>
      <c r="M11" s="1337"/>
    </row>
    <row r="12" spans="2:14" ht="20.100000000000001" customHeight="1" x14ac:dyDescent="0.2">
      <c r="B12" s="1334" t="s">
        <v>2137</v>
      </c>
      <c r="C12" s="1338"/>
      <c r="D12" s="1339"/>
      <c r="E12" s="1340"/>
      <c r="F12" s="1340"/>
      <c r="G12" s="1340"/>
      <c r="H12" s="1340"/>
      <c r="I12" s="1340"/>
      <c r="J12" s="1340"/>
      <c r="K12" s="1340"/>
      <c r="L12" s="1337"/>
      <c r="M12" s="1340"/>
    </row>
    <row r="13" spans="2:14" ht="20.100000000000001" customHeight="1" x14ac:dyDescent="0.2">
      <c r="B13" s="1334" t="s">
        <v>1058</v>
      </c>
      <c r="C13" s="1338">
        <v>10.555</v>
      </c>
      <c r="D13" s="1952" t="s">
        <v>2141</v>
      </c>
      <c r="E13" s="1952">
        <v>157104</v>
      </c>
      <c r="F13" s="1952">
        <v>31410</v>
      </c>
      <c r="G13" s="1952">
        <v>157104</v>
      </c>
      <c r="H13" s="1952"/>
      <c r="I13" s="1952">
        <v>31410</v>
      </c>
      <c r="J13" s="1952"/>
      <c r="K13" s="1952"/>
      <c r="L13" s="1953">
        <f>+G13+I13+K13</f>
        <v>188514</v>
      </c>
      <c r="M13" s="1340" t="s">
        <v>2145</v>
      </c>
    </row>
    <row r="14" spans="2:14" ht="20.100000000000001" customHeight="1" x14ac:dyDescent="0.2">
      <c r="B14" s="1334" t="s">
        <v>1058</v>
      </c>
      <c r="C14" s="1338">
        <v>10.555</v>
      </c>
      <c r="D14" s="1339" t="s">
        <v>2142</v>
      </c>
      <c r="E14" s="1956">
        <v>0</v>
      </c>
      <c r="F14" s="1956">
        <v>153146</v>
      </c>
      <c r="G14" s="1956">
        <v>0</v>
      </c>
      <c r="H14" s="1952"/>
      <c r="I14" s="1956">
        <v>153146</v>
      </c>
      <c r="J14" s="1952"/>
      <c r="K14" s="1956"/>
      <c r="L14" s="1957">
        <f t="shared" ref="L14:L21" si="0">+G14+I14+K14</f>
        <v>153146</v>
      </c>
      <c r="M14" s="1956" t="s">
        <v>2145</v>
      </c>
    </row>
    <row r="15" spans="2:14" ht="20.100000000000001" customHeight="1" x14ac:dyDescent="0.2">
      <c r="B15" s="1334" t="s">
        <v>2178</v>
      </c>
      <c r="C15" s="1338">
        <v>10.553000000000001</v>
      </c>
      <c r="D15" s="1339" t="s">
        <v>2143</v>
      </c>
      <c r="E15" s="1956">
        <v>41893</v>
      </c>
      <c r="F15" s="1956">
        <v>7898</v>
      </c>
      <c r="G15" s="1956">
        <v>41893</v>
      </c>
      <c r="H15" s="1952"/>
      <c r="I15" s="1956">
        <v>7898</v>
      </c>
      <c r="J15" s="1952"/>
      <c r="K15" s="1956"/>
      <c r="L15" s="1957">
        <f t="shared" si="0"/>
        <v>49791</v>
      </c>
      <c r="M15" s="1956" t="s">
        <v>2145</v>
      </c>
    </row>
    <row r="16" spans="2:14" ht="20.100000000000001" customHeight="1" x14ac:dyDescent="0.2">
      <c r="B16" s="1334" t="s">
        <v>2178</v>
      </c>
      <c r="C16" s="1338">
        <v>10.553000000000001</v>
      </c>
      <c r="D16" s="1339" t="s">
        <v>2144</v>
      </c>
      <c r="E16" s="1956">
        <v>0</v>
      </c>
      <c r="F16" s="1956">
        <v>44219</v>
      </c>
      <c r="G16" s="1956">
        <v>0</v>
      </c>
      <c r="H16" s="1952"/>
      <c r="I16" s="1956">
        <v>44219</v>
      </c>
      <c r="J16" s="1952"/>
      <c r="K16" s="1956"/>
      <c r="L16" s="1957">
        <f t="shared" si="0"/>
        <v>44219</v>
      </c>
      <c r="M16" s="1956" t="s">
        <v>2145</v>
      </c>
    </row>
    <row r="17" spans="2:14" ht="20.100000000000001" customHeight="1" x14ac:dyDescent="0.2">
      <c r="B17" s="1334" t="s">
        <v>2138</v>
      </c>
      <c r="C17" s="1338">
        <v>10.555</v>
      </c>
      <c r="D17" s="1339" t="s">
        <v>2145</v>
      </c>
      <c r="E17" s="1956">
        <v>23687</v>
      </c>
      <c r="F17" s="1956">
        <v>0</v>
      </c>
      <c r="G17" s="1956">
        <v>23687</v>
      </c>
      <c r="H17" s="1952"/>
      <c r="I17" s="1956">
        <v>0</v>
      </c>
      <c r="J17" s="1952"/>
      <c r="K17" s="1956"/>
      <c r="L17" s="1957">
        <f t="shared" si="0"/>
        <v>23687</v>
      </c>
      <c r="M17" s="1956" t="s">
        <v>2145</v>
      </c>
    </row>
    <row r="18" spans="2:14" ht="20.100000000000001" customHeight="1" x14ac:dyDescent="0.2">
      <c r="B18" s="1334" t="s">
        <v>2138</v>
      </c>
      <c r="C18" s="1338">
        <v>10.555</v>
      </c>
      <c r="D18" s="1339" t="s">
        <v>2145</v>
      </c>
      <c r="E18" s="1956">
        <v>0</v>
      </c>
      <c r="F18" s="1956">
        <v>19519</v>
      </c>
      <c r="G18" s="1956">
        <v>0</v>
      </c>
      <c r="H18" s="1952"/>
      <c r="I18" s="1956">
        <v>19519</v>
      </c>
      <c r="J18" s="1952"/>
      <c r="K18" s="1956"/>
      <c r="L18" s="1957">
        <f t="shared" si="0"/>
        <v>19519</v>
      </c>
      <c r="M18" s="1956" t="s">
        <v>2145</v>
      </c>
    </row>
    <row r="19" spans="2:14" ht="20.100000000000001" customHeight="1" x14ac:dyDescent="0.2">
      <c r="B19" s="1334" t="s">
        <v>2139</v>
      </c>
      <c r="C19" s="1338">
        <v>10.555</v>
      </c>
      <c r="D19" s="1339" t="s">
        <v>2145</v>
      </c>
      <c r="E19" s="1956">
        <v>15440</v>
      </c>
      <c r="F19" s="1956">
        <v>0</v>
      </c>
      <c r="G19" s="1956">
        <v>15440</v>
      </c>
      <c r="H19" s="1952"/>
      <c r="I19" s="1956">
        <v>0</v>
      </c>
      <c r="J19" s="1952"/>
      <c r="K19" s="1956"/>
      <c r="L19" s="1957">
        <f t="shared" si="0"/>
        <v>15440</v>
      </c>
      <c r="M19" s="1956" t="s">
        <v>2145</v>
      </c>
    </row>
    <row r="20" spans="2:14" ht="20.100000000000001" customHeight="1" x14ac:dyDescent="0.2">
      <c r="B20" s="1334" t="s">
        <v>2139</v>
      </c>
      <c r="C20" s="1338">
        <v>10.555</v>
      </c>
      <c r="D20" s="1339" t="s">
        <v>2145</v>
      </c>
      <c r="E20" s="1958">
        <v>0</v>
      </c>
      <c r="F20" s="1958">
        <v>11180</v>
      </c>
      <c r="G20" s="1958">
        <v>0</v>
      </c>
      <c r="H20" s="1952"/>
      <c r="I20" s="1958">
        <v>11180</v>
      </c>
      <c r="J20" s="1952"/>
      <c r="K20" s="1958"/>
      <c r="L20" s="1959">
        <f t="shared" si="0"/>
        <v>11180</v>
      </c>
      <c r="M20" s="1958" t="s">
        <v>2145</v>
      </c>
    </row>
    <row r="21" spans="2:14" ht="20.100000000000001" customHeight="1" x14ac:dyDescent="0.2">
      <c r="B21" s="1334" t="s">
        <v>2140</v>
      </c>
      <c r="C21" s="1338"/>
      <c r="D21" s="1339"/>
      <c r="E21" s="1960">
        <f t="shared" ref="E21:K21" si="1">SUM(E13:E20)</f>
        <v>238124</v>
      </c>
      <c r="F21" s="1960">
        <f t="shared" si="1"/>
        <v>267372</v>
      </c>
      <c r="G21" s="1960">
        <f t="shared" si="1"/>
        <v>238124</v>
      </c>
      <c r="H21" s="1952"/>
      <c r="I21" s="1960">
        <f t="shared" si="1"/>
        <v>267372</v>
      </c>
      <c r="J21" s="1952"/>
      <c r="K21" s="1960">
        <f t="shared" si="1"/>
        <v>0</v>
      </c>
      <c r="L21" s="1960">
        <f t="shared" si="0"/>
        <v>505496</v>
      </c>
      <c r="M21" s="1952"/>
    </row>
    <row r="22" spans="2:14" ht="20.100000000000001" customHeight="1" x14ac:dyDescent="0.2">
      <c r="B22" s="1334"/>
      <c r="C22" s="1338"/>
      <c r="D22" s="1339"/>
      <c r="E22" s="1957"/>
      <c r="F22" s="1957"/>
      <c r="G22" s="1957"/>
      <c r="H22" s="1952"/>
      <c r="I22" s="1957"/>
      <c r="J22" s="1952"/>
      <c r="K22" s="1957"/>
      <c r="L22" s="1957"/>
      <c r="M22" s="1957"/>
    </row>
    <row r="23" spans="2:14" ht="20.100000000000001" customHeight="1" x14ac:dyDescent="0.2">
      <c r="B23" s="1334" t="s">
        <v>2146</v>
      </c>
      <c r="C23" s="1338"/>
      <c r="D23" s="1339"/>
      <c r="E23" s="1956">
        <f>' SEFA.1'!E24</f>
        <v>96971</v>
      </c>
      <c r="F23" s="1956">
        <f>' SEFA.1'!F24</f>
        <v>131727</v>
      </c>
      <c r="G23" s="1956">
        <f>' SEFA.1'!G24</f>
        <v>150154</v>
      </c>
      <c r="H23" s="1952"/>
      <c r="I23" s="1956">
        <f>' SEFA.1'!I24</f>
        <v>216827</v>
      </c>
      <c r="J23" s="1952"/>
      <c r="K23" s="1956">
        <f>' SEFA.1'!K24</f>
        <v>6403</v>
      </c>
      <c r="L23" s="1957">
        <f>' SEFA.1'!L24</f>
        <v>373384</v>
      </c>
      <c r="M23" s="1952"/>
    </row>
    <row r="24" spans="2:14" ht="20.100000000000001" customHeight="1" x14ac:dyDescent="0.2">
      <c r="B24" s="1334" t="s">
        <v>2147</v>
      </c>
      <c r="C24" s="1338"/>
      <c r="D24" s="1339"/>
      <c r="E24" s="1958">
        <f>' SEFA.2'!E27</f>
        <v>269872</v>
      </c>
      <c r="F24" s="1958">
        <f>' SEFA.2'!F27</f>
        <v>272407</v>
      </c>
      <c r="G24" s="1958">
        <f>' SEFA.2'!G27</f>
        <v>269872</v>
      </c>
      <c r="H24" s="1952"/>
      <c r="I24" s="1958">
        <f>' SEFA.2'!I27</f>
        <v>272407</v>
      </c>
      <c r="J24" s="1952"/>
      <c r="K24" s="1958">
        <f>' SEFA.2'!K27</f>
        <v>0</v>
      </c>
      <c r="L24" s="1959">
        <f>' SEFA.2'!L27</f>
        <v>542279</v>
      </c>
      <c r="M24" s="1952"/>
    </row>
    <row r="25" spans="2:14" ht="20.100000000000001" customHeight="1" thickBot="1" x14ac:dyDescent="0.25">
      <c r="B25" s="1334" t="s">
        <v>1367</v>
      </c>
      <c r="C25" s="1338"/>
      <c r="D25" s="1339"/>
      <c r="E25" s="1954">
        <f t="shared" ref="E25:K25" si="2">E21+E23+E24</f>
        <v>604967</v>
      </c>
      <c r="F25" s="1954">
        <f t="shared" si="2"/>
        <v>671506</v>
      </c>
      <c r="G25" s="1954">
        <f t="shared" si="2"/>
        <v>658150</v>
      </c>
      <c r="H25" s="1952"/>
      <c r="I25" s="1954">
        <f t="shared" si="2"/>
        <v>756606</v>
      </c>
      <c r="J25" s="1952"/>
      <c r="K25" s="1954">
        <f t="shared" si="2"/>
        <v>6403</v>
      </c>
      <c r="L25" s="1954">
        <f>+G25+I25+K25</f>
        <v>1421159</v>
      </c>
      <c r="M25" s="1952"/>
    </row>
    <row r="26" spans="2:14" ht="20.100000000000001" customHeight="1" thickTop="1" x14ac:dyDescent="0.2">
      <c r="B26" s="1334"/>
      <c r="C26" s="1338"/>
      <c r="D26" s="1339"/>
      <c r="E26" s="1337"/>
      <c r="F26" s="1337"/>
      <c r="G26" s="1337"/>
      <c r="H26" s="1952"/>
      <c r="I26" s="1337"/>
      <c r="J26" s="1952"/>
      <c r="K26" s="1337"/>
      <c r="L26" s="1337"/>
      <c r="M26" s="1952"/>
    </row>
    <row r="27" spans="2:14" ht="20.100000000000001" customHeight="1" x14ac:dyDescent="0.2">
      <c r="B27" s="1334"/>
      <c r="C27" s="1338"/>
      <c r="D27" s="1339"/>
      <c r="E27" s="1340"/>
      <c r="F27" s="1340"/>
      <c r="G27" s="1340"/>
      <c r="H27" s="1952"/>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 xml:space="preserve">&amp;L&amp;8Page 40&amp;R&amp;8Page 40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view="pageLayout" topLeftCell="A7"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3" t="str">
        <f>'Single Audit Cover'!A7</f>
        <v>Fieldcrest CUSD 6</v>
      </c>
      <c r="C1" s="2454"/>
      <c r="D1" s="2454"/>
      <c r="E1" s="2454"/>
      <c r="F1" s="2454"/>
      <c r="G1" s="2454"/>
      <c r="H1" s="2454"/>
      <c r="I1" s="2454"/>
      <c r="J1" s="2454"/>
      <c r="K1" s="2454"/>
      <c r="L1" s="2454"/>
      <c r="M1" s="2454"/>
    </row>
    <row r="2" spans="2:14" ht="15" x14ac:dyDescent="0.2">
      <c r="B2" s="2455">
        <f>'Single Audit Cover'!E7</f>
        <v>53102006026</v>
      </c>
      <c r="C2" s="2455"/>
      <c r="D2" s="2455"/>
      <c r="E2" s="2455"/>
      <c r="F2" s="2455"/>
      <c r="G2" s="2455"/>
      <c r="H2" s="2455"/>
      <c r="I2" s="2455"/>
      <c r="J2" s="2455"/>
      <c r="K2" s="2455"/>
      <c r="L2" s="2455"/>
      <c r="M2" s="2455"/>
      <c r="N2" s="1299"/>
    </row>
    <row r="3" spans="2:14" ht="15" x14ac:dyDescent="0.2">
      <c r="B3" s="2456" t="s">
        <v>1219</v>
      </c>
      <c r="C3" s="2456"/>
      <c r="D3" s="2456"/>
      <c r="E3" s="2456"/>
      <c r="F3" s="2456"/>
      <c r="G3" s="2456"/>
      <c r="H3" s="2456"/>
      <c r="I3" s="2456"/>
      <c r="J3" s="2456"/>
      <c r="K3" s="2456"/>
      <c r="L3" s="2456"/>
      <c r="M3" s="2456"/>
      <c r="N3" s="1299"/>
    </row>
    <row r="4" spans="2:14" ht="15" x14ac:dyDescent="0.2">
      <c r="B4" s="2457" t="str">
        <f>'Single Audit Cover'!A4</f>
        <v>Year Ending June 30, 2019</v>
      </c>
      <c r="C4" s="2457"/>
      <c r="D4" s="2457"/>
      <c r="E4" s="2457"/>
      <c r="F4" s="2457"/>
      <c r="G4" s="2457"/>
      <c r="H4" s="2457"/>
      <c r="I4" s="2457"/>
      <c r="J4" s="2457"/>
      <c r="K4" s="2457"/>
      <c r="L4" s="2457"/>
      <c r="M4" s="245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2148</v>
      </c>
      <c r="C11" s="1335" t="s">
        <v>1169</v>
      </c>
      <c r="D11" s="1336"/>
      <c r="E11" s="1337"/>
      <c r="F11" s="1337"/>
      <c r="G11" s="1337"/>
      <c r="H11" s="1337"/>
      <c r="I11" s="1337"/>
      <c r="J11" s="1337"/>
      <c r="K11" s="1337"/>
      <c r="L11" s="1337"/>
      <c r="M11" s="1337"/>
    </row>
    <row r="12" spans="2:14" ht="20.100000000000001" customHeight="1" x14ac:dyDescent="0.2">
      <c r="B12" s="1334" t="s">
        <v>2137</v>
      </c>
      <c r="C12" s="1338"/>
      <c r="D12" s="1339"/>
      <c r="E12" s="1340"/>
      <c r="F12" s="1340"/>
      <c r="G12" s="1340"/>
      <c r="H12" s="1340"/>
      <c r="I12" s="1340"/>
      <c r="J12" s="1340"/>
      <c r="K12" s="1340"/>
      <c r="L12" s="1337"/>
      <c r="M12" s="1340"/>
    </row>
    <row r="13" spans="2:14" ht="20.100000000000001" customHeight="1" x14ac:dyDescent="0.2">
      <c r="B13" s="1334" t="s">
        <v>918</v>
      </c>
      <c r="C13" s="1338">
        <v>84.01</v>
      </c>
      <c r="D13" s="1339" t="s">
        <v>2150</v>
      </c>
      <c r="E13" s="1952">
        <v>79514</v>
      </c>
      <c r="F13" s="1952">
        <v>71706</v>
      </c>
      <c r="G13" s="1952">
        <v>127947</v>
      </c>
      <c r="H13" s="1340"/>
      <c r="I13" s="1952">
        <v>23273</v>
      </c>
      <c r="J13" s="1956"/>
      <c r="K13" s="1951">
        <v>0</v>
      </c>
      <c r="L13" s="1953">
        <f>G13+I13+K13</f>
        <v>151220</v>
      </c>
      <c r="M13" s="1952">
        <v>155101</v>
      </c>
    </row>
    <row r="14" spans="2:14" ht="20.100000000000001" customHeight="1" x14ac:dyDescent="0.2">
      <c r="B14" s="1334" t="s">
        <v>918</v>
      </c>
      <c r="C14" s="1338">
        <v>84.01</v>
      </c>
      <c r="D14" s="1339" t="s">
        <v>2151</v>
      </c>
      <c r="E14" s="1956"/>
      <c r="F14" s="1956">
        <v>38884</v>
      </c>
      <c r="G14" s="1956"/>
      <c r="H14" s="1956"/>
      <c r="I14" s="1956">
        <v>142297</v>
      </c>
      <c r="J14" s="1956"/>
      <c r="K14" s="1956">
        <v>0</v>
      </c>
      <c r="L14" s="1957">
        <f>G14+I14+K14</f>
        <v>142297</v>
      </c>
      <c r="M14" s="1956">
        <v>168279</v>
      </c>
    </row>
    <row r="15" spans="2:14" ht="20.100000000000001" customHeight="1" x14ac:dyDescent="0.2">
      <c r="B15" s="1334" t="s">
        <v>2201</v>
      </c>
      <c r="C15" s="1338">
        <v>84.01</v>
      </c>
      <c r="D15" s="1339" t="s">
        <v>2202</v>
      </c>
      <c r="E15" s="1958"/>
      <c r="F15" s="1958">
        <v>0</v>
      </c>
      <c r="G15" s="1958"/>
      <c r="H15" s="1956"/>
      <c r="I15" s="1958">
        <v>7331</v>
      </c>
      <c r="J15" s="1956"/>
      <c r="K15" s="1958">
        <v>0</v>
      </c>
      <c r="L15" s="1959">
        <f>G15+I15+K15</f>
        <v>7331</v>
      </c>
      <c r="M15" s="1958">
        <v>26270</v>
      </c>
    </row>
    <row r="16" spans="2:14" ht="20.100000000000001" customHeight="1" x14ac:dyDescent="0.2">
      <c r="B16" s="1334" t="s">
        <v>2149</v>
      </c>
      <c r="C16" s="1338"/>
      <c r="D16" s="1339"/>
      <c r="E16" s="1960">
        <f t="shared" ref="E16:L16" si="0">SUM(E13:E15)</f>
        <v>79514</v>
      </c>
      <c r="F16" s="1960">
        <f t="shared" si="0"/>
        <v>110590</v>
      </c>
      <c r="G16" s="1960">
        <f t="shared" si="0"/>
        <v>127947</v>
      </c>
      <c r="H16" s="1956"/>
      <c r="I16" s="1960">
        <f t="shared" si="0"/>
        <v>172901</v>
      </c>
      <c r="J16" s="1956"/>
      <c r="K16" s="1960">
        <f t="shared" si="0"/>
        <v>0</v>
      </c>
      <c r="L16" s="1960">
        <f t="shared" si="0"/>
        <v>300848</v>
      </c>
      <c r="M16" s="1340"/>
    </row>
    <row r="17" spans="2:14" ht="20.100000000000001" customHeight="1" x14ac:dyDescent="0.2">
      <c r="B17" s="1334"/>
      <c r="C17" s="1338"/>
      <c r="D17" s="1339"/>
      <c r="E17" s="1957"/>
      <c r="F17" s="1957"/>
      <c r="G17" s="1957"/>
      <c r="H17" s="1956"/>
      <c r="I17" s="1957"/>
      <c r="J17" s="1956"/>
      <c r="K17" s="1957"/>
      <c r="L17" s="1957"/>
      <c r="M17" s="1957"/>
    </row>
    <row r="18" spans="2:14" ht="20.100000000000001" customHeight="1" x14ac:dyDescent="0.2">
      <c r="B18" s="1334" t="s">
        <v>2154</v>
      </c>
      <c r="C18" s="1338">
        <v>84.367000000000004</v>
      </c>
      <c r="D18" s="1339" t="s">
        <v>2152</v>
      </c>
      <c r="E18" s="1956">
        <v>17457</v>
      </c>
      <c r="F18" s="1956">
        <v>6066</v>
      </c>
      <c r="G18" s="1956">
        <v>22207</v>
      </c>
      <c r="H18" s="1956"/>
      <c r="I18" s="1956">
        <v>1316</v>
      </c>
      <c r="J18" s="1956"/>
      <c r="K18" s="1956">
        <v>0</v>
      </c>
      <c r="L18" s="1957">
        <f>G18+I18+K18</f>
        <v>23523</v>
      </c>
      <c r="M18" s="1956">
        <v>31363</v>
      </c>
    </row>
    <row r="19" spans="2:14" ht="20.100000000000001" customHeight="1" x14ac:dyDescent="0.2">
      <c r="B19" s="1334" t="s">
        <v>2154</v>
      </c>
      <c r="C19" s="1338">
        <v>84.367000000000004</v>
      </c>
      <c r="D19" s="1339" t="s">
        <v>2153</v>
      </c>
      <c r="E19" s="1958"/>
      <c r="F19" s="1958">
        <v>10650</v>
      </c>
      <c r="G19" s="1958"/>
      <c r="H19" s="1956"/>
      <c r="I19" s="1958">
        <v>31285</v>
      </c>
      <c r="J19" s="1956"/>
      <c r="K19" s="1958">
        <v>3552</v>
      </c>
      <c r="L19" s="1959">
        <f>G19+I19+K19</f>
        <v>34837</v>
      </c>
      <c r="M19" s="1958">
        <v>41327</v>
      </c>
    </row>
    <row r="20" spans="2:14" ht="20.100000000000001" customHeight="1" x14ac:dyDescent="0.2">
      <c r="B20" s="1334" t="s">
        <v>2174</v>
      </c>
      <c r="C20" s="1338"/>
      <c r="D20" s="1339"/>
      <c r="E20" s="1960">
        <f t="shared" ref="E20:L20" si="1">SUM(E18:E19)</f>
        <v>17457</v>
      </c>
      <c r="F20" s="1960">
        <f t="shared" si="1"/>
        <v>16716</v>
      </c>
      <c r="G20" s="1960">
        <f t="shared" si="1"/>
        <v>22207</v>
      </c>
      <c r="H20" s="1956"/>
      <c r="I20" s="1960">
        <f t="shared" si="1"/>
        <v>32601</v>
      </c>
      <c r="J20" s="1956"/>
      <c r="K20" s="1960">
        <f t="shared" si="1"/>
        <v>3552</v>
      </c>
      <c r="L20" s="1960">
        <f t="shared" si="1"/>
        <v>58360</v>
      </c>
      <c r="M20" s="1340"/>
    </row>
    <row r="21" spans="2:14" ht="20.100000000000001" customHeight="1" x14ac:dyDescent="0.2">
      <c r="B21" s="1334"/>
      <c r="C21" s="1338"/>
      <c r="D21" s="1339"/>
      <c r="E21" s="1957"/>
      <c r="F21" s="1957"/>
      <c r="G21" s="1957"/>
      <c r="H21" s="1956"/>
      <c r="I21" s="1957"/>
      <c r="J21" s="1956"/>
      <c r="K21" s="1957"/>
      <c r="L21" s="1957"/>
      <c r="M21" s="1957"/>
    </row>
    <row r="22" spans="2:14" ht="20.100000000000001" customHeight="1" x14ac:dyDescent="0.2">
      <c r="B22" s="1334" t="s">
        <v>2175</v>
      </c>
      <c r="C22" s="1338">
        <v>84.424000000000007</v>
      </c>
      <c r="D22" s="1339" t="s">
        <v>2155</v>
      </c>
      <c r="E22" s="1956">
        <v>0</v>
      </c>
      <c r="F22" s="1956">
        <v>4421</v>
      </c>
      <c r="G22" s="1956">
        <v>0</v>
      </c>
      <c r="H22" s="1956"/>
      <c r="I22" s="1956">
        <v>11325</v>
      </c>
      <c r="J22" s="1956"/>
      <c r="K22" s="1956">
        <v>2851</v>
      </c>
      <c r="L22" s="1957">
        <f>G22+I22+K22</f>
        <v>14176</v>
      </c>
      <c r="M22" s="1956">
        <v>19960</v>
      </c>
    </row>
    <row r="23" spans="2:14" ht="20.100000000000001" customHeight="1" x14ac:dyDescent="0.2">
      <c r="B23" s="1334"/>
      <c r="C23" s="1338"/>
      <c r="D23" s="1339"/>
      <c r="E23" s="1949"/>
      <c r="F23" s="1949"/>
      <c r="G23" s="1949"/>
      <c r="H23" s="1956"/>
      <c r="I23" s="1949"/>
      <c r="J23" s="1956"/>
      <c r="K23" s="1949"/>
      <c r="L23" s="1950"/>
      <c r="M23" s="1949"/>
    </row>
    <row r="24" spans="2:14" ht="20.100000000000001" customHeight="1" x14ac:dyDescent="0.2">
      <c r="B24" s="1334" t="s">
        <v>2146</v>
      </c>
      <c r="C24" s="1338"/>
      <c r="D24" s="1339"/>
      <c r="E24" s="1955">
        <f>E16+E20+E22</f>
        <v>96971</v>
      </c>
      <c r="F24" s="1955">
        <f t="shared" ref="F24:L24" si="2">F16+F20+F22</f>
        <v>131727</v>
      </c>
      <c r="G24" s="1955">
        <f t="shared" si="2"/>
        <v>150154</v>
      </c>
      <c r="H24" s="1956"/>
      <c r="I24" s="1955">
        <f t="shared" si="2"/>
        <v>216827</v>
      </c>
      <c r="J24" s="1956"/>
      <c r="K24" s="1955">
        <f t="shared" si="2"/>
        <v>6403</v>
      </c>
      <c r="L24" s="1955">
        <f t="shared" si="2"/>
        <v>373384</v>
      </c>
      <c r="M24" s="1340"/>
    </row>
    <row r="25" spans="2:14" ht="20.100000000000001" customHeight="1" x14ac:dyDescent="0.2">
      <c r="B25" s="1334"/>
      <c r="C25" s="1338"/>
      <c r="D25" s="1339"/>
      <c r="E25" s="1337"/>
      <c r="F25" s="1337"/>
      <c r="G25" s="1337"/>
      <c r="H25" s="1337"/>
      <c r="I25" s="1337"/>
      <c r="J25" s="1956"/>
      <c r="K25" s="1337"/>
      <c r="L25" s="1337"/>
      <c r="M25" s="1337"/>
    </row>
    <row r="26" spans="2:14" ht="20.100000000000001" customHeight="1" x14ac:dyDescent="0.2">
      <c r="B26" s="1334"/>
      <c r="C26" s="1338"/>
      <c r="D26" s="1339"/>
      <c r="E26" s="1340"/>
      <c r="F26" s="1340"/>
      <c r="G26" s="1340"/>
      <c r="H26" s="1340"/>
      <c r="I26" s="1340"/>
      <c r="J26" s="1956"/>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40.1&amp;R&amp;8Page 40.1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44"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1168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9" t="s">
        <v>1633</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9" t="s">
        <v>313</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1323</v>
      </c>
      <c r="B70" s="2092"/>
      <c r="C70" s="2092"/>
      <c r="D70" s="2092"/>
      <c r="E70" s="2093"/>
      <c r="F70" s="2093"/>
      <c r="G70" s="2093"/>
      <c r="H70" s="2093"/>
      <c r="I70" s="209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1320</v>
      </c>
      <c r="B83" s="2094"/>
      <c r="C83" s="2094"/>
      <c r="D83" s="209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2060</v>
      </c>
      <c r="D114" s="208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1330</v>
      </c>
      <c r="D117" s="2087"/>
      <c r="E117" s="2088"/>
      <c r="F117" s="2088"/>
      <c r="G117" s="2088"/>
      <c r="H117" s="2088"/>
      <c r="I117" s="304"/>
    </row>
    <row r="118" spans="1:9" s="181" customFormat="1" ht="24" customHeight="1" x14ac:dyDescent="0.2">
      <c r="A118" s="316"/>
      <c r="B118" s="316"/>
      <c r="C118" s="316"/>
      <c r="D118" s="323" t="s">
        <v>2209</v>
      </c>
      <c r="E118" s="322"/>
      <c r="F118" s="324"/>
      <c r="G118" s="1838"/>
      <c r="H118" s="322"/>
      <c r="I118" s="304"/>
    </row>
    <row r="119" spans="1:9" s="181" customFormat="1" ht="11.25" customHeight="1" x14ac:dyDescent="0.2">
      <c r="A119" s="325"/>
      <c r="B119" s="325"/>
      <c r="C119" s="326"/>
      <c r="D119" s="327" t="s">
        <v>361</v>
      </c>
      <c r="E119" s="310"/>
      <c r="F119" s="1837"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49"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view="pageLayout" topLeftCell="A10"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33" t="str">
        <f>'Single Audit Cover'!A7</f>
        <v>Fieldcrest CUSD 6</v>
      </c>
      <c r="C1" s="2454"/>
      <c r="D1" s="2454"/>
      <c r="E1" s="2454"/>
      <c r="F1" s="2454"/>
      <c r="G1" s="2454"/>
      <c r="H1" s="2454"/>
      <c r="I1" s="2454"/>
      <c r="J1" s="2454"/>
      <c r="K1" s="2454"/>
      <c r="L1" s="2454"/>
      <c r="M1" s="2454"/>
    </row>
    <row r="2" spans="2:14" ht="15" x14ac:dyDescent="0.2">
      <c r="B2" s="2455">
        <f>'Single Audit Cover'!E7</f>
        <v>53102006026</v>
      </c>
      <c r="C2" s="2455"/>
      <c r="D2" s="2455"/>
      <c r="E2" s="2455"/>
      <c r="F2" s="2455"/>
      <c r="G2" s="2455"/>
      <c r="H2" s="2455"/>
      <c r="I2" s="2455"/>
      <c r="J2" s="2455"/>
      <c r="K2" s="2455"/>
      <c r="L2" s="2455"/>
      <c r="M2" s="2455"/>
      <c r="N2" s="1299"/>
    </row>
    <row r="3" spans="2:14" ht="15" x14ac:dyDescent="0.2">
      <c r="B3" s="2456" t="s">
        <v>1219</v>
      </c>
      <c r="C3" s="2456"/>
      <c r="D3" s="2456"/>
      <c r="E3" s="2456"/>
      <c r="F3" s="2456"/>
      <c r="G3" s="2456"/>
      <c r="H3" s="2456"/>
      <c r="I3" s="2456"/>
      <c r="J3" s="2456"/>
      <c r="K3" s="2456"/>
      <c r="L3" s="2456"/>
      <c r="M3" s="2456"/>
      <c r="N3" s="1299"/>
    </row>
    <row r="4" spans="2:14" ht="15" x14ac:dyDescent="0.2">
      <c r="B4" s="2457" t="str">
        <f>'Single Audit Cover'!A4</f>
        <v>Year Ending June 30, 2019</v>
      </c>
      <c r="C4" s="2457"/>
      <c r="D4" s="2457"/>
      <c r="E4" s="2457"/>
      <c r="F4" s="2457"/>
      <c r="G4" s="2457"/>
      <c r="H4" s="2457"/>
      <c r="I4" s="2457"/>
      <c r="J4" s="2457"/>
      <c r="K4" s="2457"/>
      <c r="L4" s="2457"/>
      <c r="M4" s="2457"/>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2156</v>
      </c>
      <c r="C11" s="1335"/>
      <c r="D11" s="1336"/>
      <c r="E11" s="1337"/>
      <c r="F11" s="1337"/>
      <c r="G11" s="1337"/>
      <c r="H11" s="1337"/>
      <c r="I11" s="1337"/>
      <c r="J11" s="1337"/>
      <c r="K11" s="1337"/>
      <c r="L11" s="1337"/>
      <c r="M11" s="1337"/>
    </row>
    <row r="12" spans="2:14" ht="20.100000000000001" customHeight="1" x14ac:dyDescent="0.2">
      <c r="B12" s="1334" t="s">
        <v>2157</v>
      </c>
      <c r="C12" s="1338">
        <v>84.048000000000002</v>
      </c>
      <c r="D12" s="1339" t="s">
        <v>2170</v>
      </c>
      <c r="E12" s="1952">
        <v>8128</v>
      </c>
      <c r="F12" s="1952">
        <v>0</v>
      </c>
      <c r="G12" s="1952">
        <v>8128</v>
      </c>
      <c r="H12" s="1952"/>
      <c r="I12" s="1952">
        <v>0</v>
      </c>
      <c r="J12" s="1952"/>
      <c r="K12" s="1952">
        <v>0</v>
      </c>
      <c r="L12" s="1953">
        <f>G12+I12+K12</f>
        <v>8128</v>
      </c>
      <c r="M12" s="1951">
        <v>0</v>
      </c>
    </row>
    <row r="13" spans="2:14" ht="20.100000000000001" customHeight="1" x14ac:dyDescent="0.2">
      <c r="B13" s="1334" t="s">
        <v>2157</v>
      </c>
      <c r="C13" s="1338">
        <v>84.048000000000002</v>
      </c>
      <c r="D13" s="1339" t="s">
        <v>2171</v>
      </c>
      <c r="E13" s="1958">
        <v>0</v>
      </c>
      <c r="F13" s="1958">
        <v>9486</v>
      </c>
      <c r="G13" s="1958">
        <v>0</v>
      </c>
      <c r="H13" s="1952"/>
      <c r="I13" s="1958">
        <v>9486</v>
      </c>
      <c r="J13" s="1952"/>
      <c r="K13" s="1958">
        <v>0</v>
      </c>
      <c r="L13" s="1959">
        <f>G13+I13+K13</f>
        <v>9486</v>
      </c>
      <c r="M13" s="1958">
        <v>0</v>
      </c>
    </row>
    <row r="14" spans="2:14" ht="20.100000000000001" customHeight="1" x14ac:dyDescent="0.2">
      <c r="B14" s="1334" t="s">
        <v>2160</v>
      </c>
      <c r="C14" s="1338"/>
      <c r="D14" s="1339"/>
      <c r="E14" s="1960">
        <f t="shared" ref="E14:L14" si="0">SUM(E12:E13)</f>
        <v>8128</v>
      </c>
      <c r="F14" s="1960">
        <f t="shared" si="0"/>
        <v>9486</v>
      </c>
      <c r="G14" s="1960">
        <f t="shared" si="0"/>
        <v>8128</v>
      </c>
      <c r="H14" s="1952"/>
      <c r="I14" s="1960">
        <f t="shared" si="0"/>
        <v>9486</v>
      </c>
      <c r="J14" s="1952"/>
      <c r="K14" s="1960">
        <f t="shared" si="0"/>
        <v>0</v>
      </c>
      <c r="L14" s="1960">
        <f t="shared" si="0"/>
        <v>17614</v>
      </c>
      <c r="M14" s="1956"/>
    </row>
    <row r="15" spans="2:14" ht="20.100000000000001" customHeight="1" x14ac:dyDescent="0.2">
      <c r="B15" s="1334"/>
      <c r="C15" s="1338"/>
      <c r="D15" s="1339"/>
      <c r="E15" s="1957"/>
      <c r="F15" s="1957"/>
      <c r="G15" s="1957"/>
      <c r="H15" s="1952"/>
      <c r="I15" s="1957"/>
      <c r="J15" s="1952"/>
      <c r="K15" s="1957"/>
      <c r="L15" s="1957"/>
      <c r="M15" s="1957"/>
    </row>
    <row r="16" spans="2:14" ht="20.100000000000001" customHeight="1" x14ac:dyDescent="0.2">
      <c r="B16" s="1334" t="s">
        <v>2168</v>
      </c>
      <c r="C16" s="1338"/>
      <c r="D16" s="1339"/>
      <c r="E16" s="1956"/>
      <c r="F16" s="1956"/>
      <c r="G16" s="1956"/>
      <c r="H16" s="1952"/>
      <c r="I16" s="1956"/>
      <c r="J16" s="1952"/>
      <c r="K16" s="1956"/>
      <c r="L16" s="1957"/>
      <c r="M16" s="1956"/>
    </row>
    <row r="17" spans="2:14" ht="20.100000000000001" customHeight="1" x14ac:dyDescent="0.2">
      <c r="B17" s="1334" t="s">
        <v>2167</v>
      </c>
      <c r="C17" s="1338">
        <v>84.027000000000001</v>
      </c>
      <c r="D17" s="1339" t="s">
        <v>2159</v>
      </c>
      <c r="E17" s="1956">
        <v>249762</v>
      </c>
      <c r="F17" s="1956">
        <v>0</v>
      </c>
      <c r="G17" s="1956">
        <v>249762</v>
      </c>
      <c r="H17" s="1952"/>
      <c r="I17" s="1956">
        <v>0</v>
      </c>
      <c r="J17" s="1952"/>
      <c r="K17" s="1956">
        <v>0</v>
      </c>
      <c r="L17" s="1957">
        <f>G17+I17+K17</f>
        <v>249762</v>
      </c>
      <c r="M17" s="1956">
        <v>249762</v>
      </c>
    </row>
    <row r="18" spans="2:14" ht="20.100000000000001" customHeight="1" x14ac:dyDescent="0.2">
      <c r="B18" s="1334" t="s">
        <v>2167</v>
      </c>
      <c r="C18" s="1338">
        <v>84.027000000000001</v>
      </c>
      <c r="D18" s="1339" t="s">
        <v>2158</v>
      </c>
      <c r="E18" s="1958">
        <v>0</v>
      </c>
      <c r="F18" s="1958">
        <v>250210</v>
      </c>
      <c r="G18" s="1958"/>
      <c r="H18" s="1952"/>
      <c r="I18" s="1958">
        <v>250210</v>
      </c>
      <c r="J18" s="1952"/>
      <c r="K18" s="1958">
        <v>0</v>
      </c>
      <c r="L18" s="1959">
        <f>G18+I18+K18</f>
        <v>250210</v>
      </c>
      <c r="M18" s="1958">
        <v>250210</v>
      </c>
    </row>
    <row r="19" spans="2:14" ht="20.100000000000001" customHeight="1" x14ac:dyDescent="0.2">
      <c r="B19" s="1334" t="s">
        <v>2169</v>
      </c>
      <c r="C19" s="1338"/>
      <c r="D19" s="1339"/>
      <c r="E19" s="1960">
        <f t="shared" ref="E19:L19" si="1">SUM(E17:E18)</f>
        <v>249762</v>
      </c>
      <c r="F19" s="1960">
        <f>SUM(F17:F18)</f>
        <v>250210</v>
      </c>
      <c r="G19" s="1960">
        <f t="shared" si="1"/>
        <v>249762</v>
      </c>
      <c r="H19" s="1952"/>
      <c r="I19" s="1960">
        <f t="shared" si="1"/>
        <v>250210</v>
      </c>
      <c r="J19" s="1952"/>
      <c r="K19" s="1960">
        <f>SUM(K17:K18)</f>
        <v>0</v>
      </c>
      <c r="L19" s="1960">
        <f t="shared" si="1"/>
        <v>499972</v>
      </c>
      <c r="M19" s="1956"/>
    </row>
    <row r="20" spans="2:14" ht="20.100000000000001" customHeight="1" x14ac:dyDescent="0.2">
      <c r="B20" s="1334" t="s">
        <v>2161</v>
      </c>
      <c r="C20" s="1338"/>
      <c r="D20" s="1339"/>
      <c r="E20" s="1960">
        <f>' SEFA.2'!E14+' SEFA.1'!E24+E19</f>
        <v>354861</v>
      </c>
      <c r="F20" s="1960">
        <f>+F14+F19+' SEFA.1'!F24</f>
        <v>391423</v>
      </c>
      <c r="G20" s="1960">
        <f>G14+' SEFA.1'!G24+G19</f>
        <v>408044</v>
      </c>
      <c r="H20" s="1952"/>
      <c r="I20" s="1960">
        <f>I14+' SEFA.1'!I24+I19</f>
        <v>476523</v>
      </c>
      <c r="J20" s="1952"/>
      <c r="K20" s="1960">
        <f>K14+' SEFA.1'!K24+K19</f>
        <v>6403</v>
      </c>
      <c r="L20" s="1960">
        <f>L14+' SEFA.1'!L24+L19</f>
        <v>890970</v>
      </c>
      <c r="M20" s="1956"/>
    </row>
    <row r="21" spans="2:14" ht="20.100000000000001" customHeight="1" x14ac:dyDescent="0.2">
      <c r="B21" s="1334"/>
      <c r="C21" s="1338"/>
      <c r="D21" s="1339"/>
      <c r="E21" s="1957"/>
      <c r="F21" s="1957"/>
      <c r="G21" s="1957"/>
      <c r="H21" s="1952"/>
      <c r="I21" s="1957"/>
      <c r="J21" s="1952"/>
      <c r="K21" s="1957"/>
      <c r="L21" s="1957"/>
      <c r="M21" s="1957"/>
    </row>
    <row r="22" spans="2:14" ht="20.100000000000001" customHeight="1" x14ac:dyDescent="0.2">
      <c r="B22" s="1334" t="s">
        <v>2162</v>
      </c>
      <c r="C22" s="1338"/>
      <c r="D22" s="1339"/>
      <c r="E22" s="1956"/>
      <c r="F22" s="1956"/>
      <c r="G22" s="1956"/>
      <c r="H22" s="1952"/>
      <c r="I22" s="1956"/>
      <c r="J22" s="1952"/>
      <c r="K22" s="1956"/>
      <c r="L22" s="1957"/>
      <c r="M22" s="1956"/>
    </row>
    <row r="23" spans="2:14" ht="20.100000000000001" customHeight="1" x14ac:dyDescent="0.2">
      <c r="B23" s="1334" t="s">
        <v>2163</v>
      </c>
      <c r="C23" s="1338"/>
      <c r="D23" s="1339"/>
      <c r="E23" s="1956"/>
      <c r="F23" s="1956"/>
      <c r="G23" s="1956"/>
      <c r="H23" s="1952"/>
      <c r="I23" s="1956"/>
      <c r="J23" s="1952"/>
      <c r="K23" s="1956"/>
      <c r="L23" s="1957"/>
      <c r="M23" s="1956"/>
    </row>
    <row r="24" spans="2:14" ht="20.100000000000001" customHeight="1" x14ac:dyDescent="0.2">
      <c r="B24" s="1334" t="s">
        <v>2164</v>
      </c>
      <c r="C24" s="1338">
        <v>93.778000000000006</v>
      </c>
      <c r="D24" s="1339" t="s">
        <v>2165</v>
      </c>
      <c r="E24" s="1956">
        <v>11982</v>
      </c>
      <c r="F24" s="1956">
        <v>0</v>
      </c>
      <c r="G24" s="1956">
        <v>11982</v>
      </c>
      <c r="H24" s="1952"/>
      <c r="I24" s="1956">
        <v>0</v>
      </c>
      <c r="J24" s="1952"/>
      <c r="K24" s="1956">
        <v>0</v>
      </c>
      <c r="L24" s="1957">
        <f>G24+I24+K24</f>
        <v>11982</v>
      </c>
      <c r="M24" s="1956" t="s">
        <v>2145</v>
      </c>
    </row>
    <row r="25" spans="2:14" ht="20.100000000000001" customHeight="1" x14ac:dyDescent="0.2">
      <c r="B25" s="1334" t="s">
        <v>2164</v>
      </c>
      <c r="C25" s="1338">
        <v>93.778000000000006</v>
      </c>
      <c r="D25" s="1339" t="s">
        <v>2166</v>
      </c>
      <c r="E25" s="1958">
        <v>0</v>
      </c>
      <c r="F25" s="1958">
        <v>12711</v>
      </c>
      <c r="G25" s="1958">
        <v>0</v>
      </c>
      <c r="H25" s="1952"/>
      <c r="I25" s="1958">
        <v>12711</v>
      </c>
      <c r="J25" s="1952"/>
      <c r="K25" s="1958">
        <v>0</v>
      </c>
      <c r="L25" s="1959">
        <f>G25+I25+K25</f>
        <v>12711</v>
      </c>
      <c r="M25" s="1958" t="s">
        <v>2145</v>
      </c>
    </row>
    <row r="26" spans="2:14" ht="20.100000000000001" customHeight="1" x14ac:dyDescent="0.2">
      <c r="B26" s="1334" t="s">
        <v>2172</v>
      </c>
      <c r="C26" s="1338"/>
      <c r="D26" s="1339"/>
      <c r="E26" s="1960">
        <f t="shared" ref="E26:L26" si="2">SUM(E24:E25)</f>
        <v>11982</v>
      </c>
      <c r="F26" s="1960">
        <f t="shared" si="2"/>
        <v>12711</v>
      </c>
      <c r="G26" s="1960">
        <f t="shared" si="2"/>
        <v>11982</v>
      </c>
      <c r="H26" s="1952"/>
      <c r="I26" s="1960">
        <f t="shared" si="2"/>
        <v>12711</v>
      </c>
      <c r="J26" s="1952"/>
      <c r="K26" s="1960">
        <f t="shared" si="2"/>
        <v>0</v>
      </c>
      <c r="L26" s="1960">
        <f t="shared" si="2"/>
        <v>24693</v>
      </c>
      <c r="M26" s="1956"/>
    </row>
    <row r="27" spans="2:14" ht="20.100000000000001" customHeight="1" x14ac:dyDescent="0.2">
      <c r="B27" s="1334" t="s">
        <v>2147</v>
      </c>
      <c r="C27" s="1338"/>
      <c r="D27" s="1339"/>
      <c r="E27" s="1955">
        <f t="shared" ref="E27:L27" si="3">E14+E19+E26</f>
        <v>269872</v>
      </c>
      <c r="F27" s="1955">
        <f t="shared" si="3"/>
        <v>272407</v>
      </c>
      <c r="G27" s="1955">
        <f t="shared" si="3"/>
        <v>269872</v>
      </c>
      <c r="H27" s="1952"/>
      <c r="I27" s="1955">
        <f t="shared" si="3"/>
        <v>272407</v>
      </c>
      <c r="J27" s="1952"/>
      <c r="K27" s="1955">
        <f t="shared" si="3"/>
        <v>0</v>
      </c>
      <c r="L27" s="1955">
        <f t="shared" si="3"/>
        <v>542279</v>
      </c>
      <c r="M27" s="1956"/>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40.2&amp;R&amp;8Page 40.2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zoomScale="120" zoomScaleNormal="120" workbookViewId="0">
      <selection activeCell="A7" sqref="A7:F7"/>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Fieldcrest CUSD 6</v>
      </c>
      <c r="B1" s="2467"/>
      <c r="C1" s="2467"/>
      <c r="D1" s="2467"/>
      <c r="E1" s="2467"/>
      <c r="F1" s="2467"/>
    </row>
    <row r="2" spans="1:7" ht="13.5" customHeight="1" x14ac:dyDescent="0.2">
      <c r="A2" s="2455">
        <f>'Single Audit Cover'!E7</f>
        <v>53102006026</v>
      </c>
      <c r="B2" s="2455"/>
      <c r="C2" s="2455"/>
      <c r="D2" s="2455"/>
      <c r="E2" s="2455"/>
      <c r="F2" s="2455"/>
      <c r="G2" s="1272"/>
    </row>
    <row r="3" spans="1:7" ht="15.75" customHeight="1" x14ac:dyDescent="0.2">
      <c r="A3" s="2468" t="s">
        <v>1271</v>
      </c>
      <c r="B3" s="2468"/>
      <c r="C3" s="2468"/>
      <c r="D3" s="2468"/>
      <c r="E3" s="2468"/>
      <c r="F3" s="2468"/>
    </row>
    <row r="4" spans="1:7" ht="13.5" customHeight="1" x14ac:dyDescent="0.2">
      <c r="A4" s="2469" t="str">
        <f>'Single Audit Cover'!A4</f>
        <v>Year Ending June 30, 2019</v>
      </c>
      <c r="B4" s="2469"/>
      <c r="C4" s="2469"/>
      <c r="D4" s="2469"/>
      <c r="E4" s="2469"/>
      <c r="F4" s="2469"/>
    </row>
    <row r="5" spans="1:7" ht="8.25" customHeight="1" x14ac:dyDescent="0.2">
      <c r="C5" s="317"/>
      <c r="D5" s="317"/>
    </row>
    <row r="6" spans="1:7" ht="13.5" customHeight="1" x14ac:dyDescent="0.2">
      <c r="A6" s="1273" t="s">
        <v>1728</v>
      </c>
      <c r="C6" s="317"/>
      <c r="D6" s="317"/>
    </row>
    <row r="7" spans="1:7" ht="60.95" customHeight="1" x14ac:dyDescent="0.2">
      <c r="A7" s="2466" t="s">
        <v>2190</v>
      </c>
      <c r="B7" s="2466"/>
      <c r="C7" s="2466"/>
      <c r="D7" s="2466"/>
      <c r="E7" s="2466"/>
      <c r="F7" s="246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2069</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66" t="s">
        <v>2191</v>
      </c>
      <c r="B13" s="2466"/>
      <c r="C13" s="2466"/>
      <c r="D13" s="2466"/>
      <c r="E13" s="2466"/>
      <c r="F13" s="2466"/>
    </row>
    <row r="14" spans="1:7" ht="9.75" customHeight="1" x14ac:dyDescent="0.2">
      <c r="C14" s="1257"/>
      <c r="D14" s="1257"/>
    </row>
    <row r="15" spans="1:7" ht="13.5" customHeight="1" x14ac:dyDescent="0.2">
      <c r="C15" s="1844" t="s">
        <v>1270</v>
      </c>
      <c r="D15" s="2464" t="s">
        <v>1269</v>
      </c>
      <c r="E15" s="2464"/>
      <c r="F15" s="2464"/>
    </row>
    <row r="16" spans="1:7" ht="13.5" customHeight="1" x14ac:dyDescent="0.2">
      <c r="A16" s="1279"/>
      <c r="B16" s="1273" t="s">
        <v>1268</v>
      </c>
      <c r="C16" s="1844" t="s">
        <v>1267</v>
      </c>
      <c r="D16" s="2465" t="s">
        <v>1588</v>
      </c>
      <c r="E16" s="2465"/>
      <c r="F16" s="2465"/>
    </row>
    <row r="17" spans="1:6" ht="20.45" customHeight="1" x14ac:dyDescent="0.2">
      <c r="A17" s="1280"/>
      <c r="B17" s="1281"/>
      <c r="C17" s="1282"/>
      <c r="D17" s="2459"/>
      <c r="E17" s="2459"/>
      <c r="F17" s="2459"/>
    </row>
    <row r="18" spans="1:6" ht="20.65" customHeight="1" x14ac:dyDescent="0.2">
      <c r="A18" s="1280"/>
      <c r="B18" s="1281"/>
      <c r="C18" s="1282"/>
      <c r="D18" s="2459"/>
      <c r="E18" s="2459"/>
      <c r="F18" s="2459"/>
    </row>
    <row r="19" spans="1:6" ht="20.65" customHeight="1" x14ac:dyDescent="0.2">
      <c r="A19" s="1280"/>
      <c r="B19" s="1281"/>
      <c r="C19" s="1282"/>
      <c r="D19" s="2459"/>
      <c r="E19" s="2459"/>
      <c r="F19" s="2459"/>
    </row>
    <row r="20" spans="1:6" ht="20.65" customHeight="1" x14ac:dyDescent="0.2">
      <c r="A20" s="1280"/>
      <c r="B20" s="1281"/>
      <c r="C20" s="1282"/>
      <c r="D20" s="2459"/>
      <c r="E20" s="2459"/>
      <c r="F20" s="2459"/>
    </row>
    <row r="21" spans="1:6" ht="20.65" customHeight="1" x14ac:dyDescent="0.2">
      <c r="A21" s="1280"/>
      <c r="B21" s="1281"/>
      <c r="C21" s="1282"/>
      <c r="D21" s="2459"/>
      <c r="E21" s="2459"/>
      <c r="F21" s="2459"/>
    </row>
    <row r="22" spans="1:6" ht="20.65" customHeight="1" x14ac:dyDescent="0.2">
      <c r="A22" s="1280"/>
      <c r="B22" s="1281"/>
      <c r="C22" s="1282"/>
      <c r="D22" s="2459"/>
      <c r="E22" s="2459"/>
      <c r="F22" s="2459"/>
    </row>
    <row r="23" spans="1:6" ht="20.65" customHeight="1" x14ac:dyDescent="0.2">
      <c r="A23" s="1280"/>
      <c r="B23" s="1281"/>
      <c r="C23" s="1282"/>
      <c r="D23" s="2459"/>
      <c r="E23" s="2459"/>
      <c r="F23" s="2459"/>
    </row>
    <row r="24" spans="1:6" ht="20.65" customHeight="1" x14ac:dyDescent="0.2">
      <c r="A24" s="1280"/>
      <c r="B24" s="1281"/>
      <c r="C24" s="1282"/>
      <c r="D24" s="2459"/>
      <c r="E24" s="2459"/>
      <c r="F24" s="2459"/>
    </row>
    <row r="25" spans="1:6" ht="20.65" customHeight="1" x14ac:dyDescent="0.2">
      <c r="A25" s="1280"/>
      <c r="B25" s="1281"/>
      <c r="C25" s="1282"/>
      <c r="D25" s="2459"/>
      <c r="E25" s="2459"/>
      <c r="F25" s="2459"/>
    </row>
    <row r="26" spans="1:6" ht="20.65" customHeight="1" x14ac:dyDescent="0.2">
      <c r="A26" s="1280"/>
      <c r="B26" s="1281"/>
      <c r="C26" s="1282"/>
      <c r="D26" s="2459"/>
      <c r="E26" s="2459"/>
      <c r="F26" s="2459"/>
    </row>
    <row r="27" spans="1:6" ht="20.65" customHeight="1" x14ac:dyDescent="0.2">
      <c r="A27" s="1280"/>
      <c r="B27" s="1281"/>
      <c r="C27" s="1282"/>
      <c r="D27" s="2459"/>
      <c r="E27" s="2459"/>
      <c r="F27" s="2459"/>
    </row>
    <row r="28" spans="1:6" ht="20.65" customHeight="1" x14ac:dyDescent="0.2">
      <c r="A28" s="1280"/>
      <c r="B28" s="1281"/>
      <c r="C28" s="1282"/>
      <c r="D28" s="2459"/>
      <c r="E28" s="2459"/>
      <c r="F28" s="2459"/>
    </row>
    <row r="29" spans="1:6" ht="20.65" customHeight="1" x14ac:dyDescent="0.2">
      <c r="A29" s="1280"/>
      <c r="B29" s="1281"/>
      <c r="C29" s="1282"/>
      <c r="D29" s="2459"/>
      <c r="E29" s="2459"/>
      <c r="F29" s="2459"/>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60" t="s">
        <v>2192</v>
      </c>
      <c r="B32" s="2460"/>
      <c r="C32" s="2460"/>
      <c r="D32" s="2460"/>
      <c r="E32" s="2460"/>
      <c r="F32" s="2460"/>
    </row>
    <row r="33" spans="1:6" ht="13.5" customHeight="1" x14ac:dyDescent="0.2">
      <c r="A33" s="328" t="s">
        <v>1434</v>
      </c>
      <c r="B33" s="328"/>
      <c r="C33" s="1285">
        <f>+' SEFA'!F18</f>
        <v>19519</v>
      </c>
      <c r="D33" s="1901"/>
      <c r="E33" s="1283"/>
    </row>
    <row r="34" spans="1:6" ht="13.5" customHeight="1" x14ac:dyDescent="0.2">
      <c r="A34" s="328" t="s">
        <v>1835</v>
      </c>
      <c r="B34" s="328"/>
      <c r="C34" s="1286">
        <f>+' SEFA'!F20</f>
        <v>11180</v>
      </c>
      <c r="D34" s="1901" t="s">
        <v>1589</v>
      </c>
      <c r="E34" s="2461">
        <f>+C33+C34</f>
        <v>30699</v>
      </c>
      <c r="F34" s="2462"/>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t="s">
        <v>383</v>
      </c>
      <c r="D38" s="1901"/>
      <c r="E38" s="1283"/>
    </row>
    <row r="39" spans="1:6" ht="14.25" customHeight="1" x14ac:dyDescent="0.2">
      <c r="A39" s="328"/>
      <c r="B39" s="328" t="s">
        <v>1436</v>
      </c>
      <c r="C39" s="1289" t="s">
        <v>383</v>
      </c>
      <c r="D39" s="1901"/>
      <c r="E39" s="1283"/>
    </row>
    <row r="40" spans="1:6" ht="14.25" customHeight="1" x14ac:dyDescent="0.2">
      <c r="A40" s="328"/>
      <c r="B40" s="328" t="s">
        <v>1437</v>
      </c>
      <c r="C40" s="1289" t="s">
        <v>383</v>
      </c>
      <c r="D40" s="1901"/>
      <c r="E40" s="1283"/>
    </row>
    <row r="41" spans="1:6" ht="14.25" customHeight="1" x14ac:dyDescent="0.2">
      <c r="A41" s="328"/>
      <c r="B41" s="328" t="s">
        <v>1438</v>
      </c>
      <c r="C41" s="1289" t="s">
        <v>383</v>
      </c>
      <c r="D41" s="1901"/>
      <c r="E41" s="1283"/>
    </row>
    <row r="42" spans="1:6" ht="14.25" customHeight="1" x14ac:dyDescent="0.2">
      <c r="A42" s="328" t="s">
        <v>1439</v>
      </c>
      <c r="B42" s="328"/>
      <c r="C42" s="1899" t="s">
        <v>383</v>
      </c>
      <c r="D42" s="1901"/>
      <c r="E42" s="1283"/>
    </row>
    <row r="43" spans="1:6" ht="14.25" customHeight="1" x14ac:dyDescent="0.2">
      <c r="A43" s="328" t="s">
        <v>1440</v>
      </c>
      <c r="B43" s="328"/>
      <c r="C43" s="1290" t="s">
        <v>383</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3" t="s">
        <v>1590</v>
      </c>
      <c r="C49" s="2463"/>
      <c r="D49" s="2463"/>
      <c r="E49" s="1396"/>
    </row>
    <row r="50" spans="1:5" s="1297" customFormat="1" ht="3.75" customHeight="1" x14ac:dyDescent="0.2">
      <c r="A50" s="1296"/>
      <c r="B50" s="1843"/>
      <c r="C50" s="1843"/>
      <c r="D50" s="1843"/>
      <c r="E50" s="1396"/>
    </row>
    <row r="51" spans="1:5" s="1297" customFormat="1" ht="20.25" customHeight="1" x14ac:dyDescent="0.2">
      <c r="A51" s="1298">
        <v>6</v>
      </c>
      <c r="B51" s="2458" t="s">
        <v>1551</v>
      </c>
      <c r="C51" s="2458"/>
      <c r="D51" s="2458"/>
    </row>
    <row r="52" spans="1:5" ht="14.25" customHeight="1" x14ac:dyDescent="0.2">
      <c r="A52" s="1298"/>
      <c r="B52" s="2458"/>
      <c r="C52" s="2458"/>
      <c r="D52" s="24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topLeftCell="A4" zoomScale="110" zoomScaleNormal="110" workbookViewId="0">
      <selection activeCell="B7" sqref="B7:I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1" t="str">
        <f>'Single Audit Cover'!A7</f>
        <v>Fieldcrest CUSD 6</v>
      </c>
      <c r="C1" s="2482"/>
      <c r="D1" s="2482"/>
      <c r="E1" s="2482"/>
      <c r="F1" s="2482"/>
      <c r="G1" s="2482"/>
      <c r="H1" s="2482"/>
      <c r="I1" s="2482"/>
      <c r="J1" s="1406"/>
    </row>
    <row r="2" spans="2:10" s="317" customFormat="1" ht="12.75" customHeight="1" x14ac:dyDescent="0.2">
      <c r="B2" s="2483">
        <f>'Single Audit Cover'!E7</f>
        <v>53102006026</v>
      </c>
      <c r="C2" s="2484"/>
      <c r="D2" s="2484"/>
      <c r="E2" s="2484"/>
      <c r="F2" s="2484"/>
      <c r="G2" s="2484"/>
      <c r="H2" s="2484"/>
      <c r="I2" s="2484"/>
      <c r="J2" s="1406"/>
    </row>
    <row r="3" spans="2:10" s="317" customFormat="1" ht="12.75" customHeight="1" x14ac:dyDescent="0.2">
      <c r="B3" s="2485" t="s">
        <v>1285</v>
      </c>
      <c r="C3" s="2486"/>
      <c r="D3" s="2486"/>
      <c r="E3" s="2486"/>
      <c r="F3" s="2486"/>
      <c r="G3" s="2486"/>
      <c r="H3" s="2486"/>
      <c r="I3" s="2486"/>
      <c r="J3" s="1407"/>
    </row>
    <row r="4" spans="2:10" s="317" customFormat="1" ht="12.75" customHeight="1" x14ac:dyDescent="0.2">
      <c r="B4" s="2485" t="str">
        <f>'Single Audit Cover'!A4</f>
        <v>Year Ending June 30, 2019</v>
      </c>
      <c r="C4" s="2486"/>
      <c r="D4" s="2486"/>
      <c r="E4" s="2486"/>
      <c r="F4" s="2486"/>
      <c r="G4" s="2486"/>
      <c r="H4" s="2486"/>
      <c r="I4" s="248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85" t="s">
        <v>1284</v>
      </c>
      <c r="C7" s="2486"/>
      <c r="D7" s="2486"/>
      <c r="E7" s="2486"/>
      <c r="F7" s="2486"/>
      <c r="G7" s="2486"/>
      <c r="H7" s="2486"/>
      <c r="I7" s="248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87" t="s">
        <v>1164</v>
      </c>
      <c r="D11" s="248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2069</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t="s">
        <v>2069</v>
      </c>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2069</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2069</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88" t="s">
        <v>2173</v>
      </c>
      <c r="E29" s="2488"/>
      <c r="F29" s="2488"/>
      <c r="G29" s="2488"/>
      <c r="H29" s="2488"/>
      <c r="I29" s="248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2069</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89" t="s">
        <v>1748</v>
      </c>
      <c r="D37" s="2490"/>
      <c r="E37" s="2490"/>
      <c r="F37" s="2491"/>
      <c r="G37" s="2489" t="s">
        <v>1592</v>
      </c>
      <c r="H37" s="2490"/>
      <c r="I37" s="2491"/>
    </row>
    <row r="38" spans="2:9" ht="16.5" customHeight="1" x14ac:dyDescent="0.2">
      <c r="B38" s="1428" t="s">
        <v>2193</v>
      </c>
      <c r="C38" s="2477" t="s">
        <v>2176</v>
      </c>
      <c r="D38" s="2478"/>
      <c r="E38" s="2478"/>
      <c r="F38" s="2479"/>
      <c r="G38" s="2492">
        <f>' SEFA'!I21</f>
        <v>267372</v>
      </c>
      <c r="H38" s="2493"/>
      <c r="I38" s="2494"/>
    </row>
    <row r="39" spans="2:9" ht="16.5" customHeight="1" x14ac:dyDescent="0.2">
      <c r="B39" s="1428">
        <v>84.367000000000004</v>
      </c>
      <c r="C39" s="2477" t="s">
        <v>758</v>
      </c>
      <c r="D39" s="2478"/>
      <c r="E39" s="2478"/>
      <c r="F39" s="2479"/>
      <c r="G39" s="2480">
        <f>' SEFA.1'!I20</f>
        <v>32601</v>
      </c>
      <c r="H39" s="2480"/>
      <c r="I39" s="2480"/>
    </row>
    <row r="40" spans="2:9" ht="16.5" customHeight="1" x14ac:dyDescent="0.2">
      <c r="B40" s="1428">
        <v>84.424000000000007</v>
      </c>
      <c r="C40" s="2477" t="s">
        <v>2177</v>
      </c>
      <c r="D40" s="2478"/>
      <c r="E40" s="2478"/>
      <c r="F40" s="2479"/>
      <c r="G40" s="2480">
        <f>' SEFA.1'!I22</f>
        <v>11325</v>
      </c>
      <c r="H40" s="2480"/>
      <c r="I40" s="2480"/>
    </row>
    <row r="41" spans="2:9" ht="16.5" customHeight="1" x14ac:dyDescent="0.2">
      <c r="B41" s="1428"/>
      <c r="C41" s="2477"/>
      <c r="D41" s="2478"/>
      <c r="E41" s="2478"/>
      <c r="F41" s="2479"/>
      <c r="G41" s="2480"/>
      <c r="H41" s="2480"/>
      <c r="I41" s="2480"/>
    </row>
    <row r="42" spans="2:9" ht="16.5" customHeight="1" x14ac:dyDescent="0.2">
      <c r="B42" s="1428"/>
      <c r="C42" s="2477"/>
      <c r="D42" s="2478"/>
      <c r="E42" s="2478"/>
      <c r="F42" s="2479"/>
      <c r="G42" s="2480"/>
      <c r="H42" s="2480"/>
      <c r="I42" s="2480"/>
    </row>
    <row r="43" spans="2:9" ht="16.5" customHeight="1" x14ac:dyDescent="0.2">
      <c r="B43" s="1428"/>
      <c r="C43" s="2470" t="s">
        <v>1593</v>
      </c>
      <c r="D43" s="2471"/>
      <c r="E43" s="2471"/>
      <c r="F43" s="2472"/>
      <c r="G43" s="2473">
        <f>SUM(G38:I42)</f>
        <v>311298</v>
      </c>
      <c r="H43" s="2473"/>
      <c r="I43" s="2473"/>
    </row>
    <row r="44" spans="2:9" ht="12.75" customHeight="1" x14ac:dyDescent="0.2"/>
    <row r="45" spans="2:9" ht="12.75" customHeight="1" x14ac:dyDescent="0.2">
      <c r="B45" s="1419" t="s">
        <v>2116</v>
      </c>
      <c r="D45" s="2474">
        <f>' SEFA'!I25</f>
        <v>756606</v>
      </c>
      <c r="E45" s="2475"/>
    </row>
    <row r="46" spans="2:9" ht="5.25" customHeight="1" x14ac:dyDescent="0.2">
      <c r="B46" s="1429"/>
      <c r="D46" s="1430"/>
      <c r="E46" s="1431"/>
    </row>
    <row r="47" spans="2:9" ht="12.75" customHeight="1" x14ac:dyDescent="0.2">
      <c r="B47" s="1297" t="s">
        <v>1594</v>
      </c>
      <c r="C47" s="1297"/>
      <c r="D47" s="1432">
        <f>+G43/D45</f>
        <v>0.41144003616148961</v>
      </c>
      <c r="E47" s="1433"/>
      <c r="F47" s="1434"/>
      <c r="I47" s="1435"/>
    </row>
    <row r="48" spans="2:9" ht="9.9499999999999993" customHeight="1" x14ac:dyDescent="0.2"/>
    <row r="49" spans="1:9" x14ac:dyDescent="0.2">
      <c r="B49" s="1365" t="s">
        <v>1273</v>
      </c>
      <c r="C49" s="1279"/>
      <c r="D49" s="1279"/>
      <c r="E49" s="2476">
        <v>750000</v>
      </c>
      <c r="F49" s="2476"/>
      <c r="G49" s="2476"/>
      <c r="H49" s="322"/>
    </row>
    <row r="51" spans="1:9" ht="13.5" customHeight="1" x14ac:dyDescent="0.2">
      <c r="B51" s="1365" t="s">
        <v>1272</v>
      </c>
      <c r="C51" s="1279"/>
      <c r="E51" s="1422"/>
      <c r="F51" s="1297" t="s">
        <v>885</v>
      </c>
      <c r="G51" s="1422" t="s">
        <v>2069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F25" sqref="F2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Fieldcrest CUSD 6</v>
      </c>
      <c r="C1" s="2481"/>
      <c r="D1" s="2481"/>
      <c r="E1" s="2481"/>
      <c r="F1" s="2481"/>
      <c r="G1" s="2481"/>
      <c r="H1" s="2481"/>
      <c r="I1" s="2481"/>
      <c r="J1" s="2481"/>
      <c r="K1" s="2481"/>
      <c r="L1" s="1371"/>
      <c r="M1" s="1371"/>
    </row>
    <row r="2" spans="1:13" ht="12" customHeight="1" x14ac:dyDescent="0.2">
      <c r="B2" s="2483">
        <f>'Single Audit Cover'!E7</f>
        <v>53102006026</v>
      </c>
      <c r="C2" s="2483"/>
      <c r="D2" s="2483"/>
      <c r="E2" s="2483"/>
      <c r="F2" s="2483"/>
      <c r="G2" s="2483"/>
      <c r="H2" s="2483"/>
      <c r="I2" s="2483"/>
      <c r="J2" s="2483"/>
      <c r="K2" s="2483"/>
      <c r="L2" s="1372"/>
      <c r="M2" s="1373"/>
    </row>
    <row r="3" spans="1:13" ht="10.35" customHeight="1" x14ac:dyDescent="0.2">
      <c r="B3" s="2497" t="s">
        <v>1285</v>
      </c>
      <c r="C3" s="2497"/>
      <c r="D3" s="2497"/>
      <c r="E3" s="2497"/>
      <c r="F3" s="2497"/>
      <c r="G3" s="2497"/>
      <c r="H3" s="2497"/>
      <c r="I3" s="2497"/>
      <c r="J3" s="2497"/>
      <c r="K3" s="2497"/>
      <c r="L3" s="1933"/>
      <c r="M3" s="1933"/>
    </row>
    <row r="4" spans="1:13" ht="14.25" customHeight="1" x14ac:dyDescent="0.2">
      <c r="B4" s="2498" t="str">
        <f>'Single Audit Cover'!A4</f>
        <v>Year Ending June 30, 2019</v>
      </c>
      <c r="C4" s="2498"/>
      <c r="D4" s="2498"/>
      <c r="E4" s="2498"/>
      <c r="F4" s="2498"/>
      <c r="G4" s="2498"/>
      <c r="H4" s="2498"/>
      <c r="I4" s="2498"/>
      <c r="J4" s="2498"/>
      <c r="K4" s="249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8" t="s">
        <v>1296</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t="s">
        <v>2069</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6" t="s">
        <v>2203</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6" t="s">
        <v>2070</v>
      </c>
      <c r="C17" s="2496"/>
      <c r="D17" s="2496"/>
      <c r="E17" s="2496"/>
      <c r="F17" s="2496"/>
      <c r="G17" s="2496"/>
      <c r="H17" s="2496"/>
      <c r="I17" s="2496"/>
      <c r="J17" s="2496"/>
      <c r="K17" s="249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00" t="s">
        <v>2204</v>
      </c>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6" t="s">
        <v>2071</v>
      </c>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6" t="s">
        <v>2205</v>
      </c>
      <c r="C26" s="2496"/>
      <c r="D26" s="2496"/>
      <c r="E26" s="2496"/>
      <c r="F26" s="2496"/>
      <c r="G26" s="2496"/>
      <c r="H26" s="2496"/>
      <c r="I26" s="2496"/>
      <c r="J26" s="2496"/>
      <c r="K26" s="249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5" t="s">
        <v>2072</v>
      </c>
      <c r="C29" s="2495"/>
      <c r="D29" s="2496"/>
      <c r="E29" s="2496"/>
      <c r="F29" s="2496"/>
      <c r="G29" s="2496"/>
      <c r="H29" s="2496"/>
      <c r="I29" s="2496"/>
      <c r="J29" s="2496"/>
      <c r="K29" s="249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5" t="s">
        <v>2207</v>
      </c>
      <c r="C32" s="2495"/>
      <c r="D32" s="2496"/>
      <c r="E32" s="2496"/>
      <c r="F32" s="2496"/>
      <c r="G32" s="2496"/>
      <c r="H32" s="2496"/>
      <c r="I32" s="2496"/>
      <c r="J32" s="2496"/>
      <c r="K32" s="249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view="pageLayout" topLeftCell="A22"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1" t="str">
        <f>'Single Audit Cover'!A7</f>
        <v>Fieldcrest CUSD 6</v>
      </c>
      <c r="C1" s="2481"/>
      <c r="D1" s="2481"/>
      <c r="E1" s="2481"/>
      <c r="F1" s="2481"/>
      <c r="G1" s="2481"/>
      <c r="H1" s="2481"/>
      <c r="I1" s="2481"/>
      <c r="J1" s="2481"/>
      <c r="K1" s="2481"/>
      <c r="L1" s="1371"/>
      <c r="M1" s="1371"/>
    </row>
    <row r="2" spans="1:13" ht="12" customHeight="1" x14ac:dyDescent="0.2">
      <c r="B2" s="2483">
        <f>'Single Audit Cover'!E7</f>
        <v>53102006026</v>
      </c>
      <c r="C2" s="2483"/>
      <c r="D2" s="2483"/>
      <c r="E2" s="2483"/>
      <c r="F2" s="2483"/>
      <c r="G2" s="2483"/>
      <c r="H2" s="2483"/>
      <c r="I2" s="2483"/>
      <c r="J2" s="2483"/>
      <c r="K2" s="2483"/>
      <c r="L2" s="1372"/>
      <c r="M2" s="1373"/>
    </row>
    <row r="3" spans="1:13" ht="10.35" customHeight="1" x14ac:dyDescent="0.2">
      <c r="B3" s="2497" t="s">
        <v>1285</v>
      </c>
      <c r="C3" s="2497"/>
      <c r="D3" s="2497"/>
      <c r="E3" s="2497"/>
      <c r="F3" s="2497"/>
      <c r="G3" s="2497"/>
      <c r="H3" s="2497"/>
      <c r="I3" s="2497"/>
      <c r="J3" s="2497"/>
      <c r="K3" s="2497"/>
      <c r="L3" s="1943"/>
      <c r="M3" s="1943"/>
    </row>
    <row r="4" spans="1:13" ht="14.25" customHeight="1" x14ac:dyDescent="0.2">
      <c r="B4" s="2498" t="str">
        <f>'Single Audit Cover'!A4</f>
        <v>Year Ending June 30, 2019</v>
      </c>
      <c r="C4" s="2498"/>
      <c r="D4" s="2498"/>
      <c r="E4" s="2498"/>
      <c r="F4" s="2498"/>
      <c r="G4" s="2498"/>
      <c r="H4" s="2498"/>
      <c r="I4" s="2498"/>
      <c r="J4" s="2498"/>
      <c r="K4" s="249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98" t="s">
        <v>1296</v>
      </c>
      <c r="C7" s="2498"/>
      <c r="D7" s="2499"/>
      <c r="E7" s="2499"/>
      <c r="F7" s="2499"/>
      <c r="G7" s="2499"/>
      <c r="H7" s="2499"/>
      <c r="I7" s="2499"/>
      <c r="J7" s="2499"/>
      <c r="K7" s="249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2</v>
      </c>
      <c r="E10" s="322"/>
      <c r="F10" s="1384" t="s">
        <v>1295</v>
      </c>
      <c r="G10" s="1385"/>
      <c r="H10" s="1386" t="s">
        <v>1294</v>
      </c>
      <c r="I10" s="1385" t="s">
        <v>2069</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96" t="s">
        <v>2194</v>
      </c>
      <c r="C14" s="2496"/>
      <c r="D14" s="2496"/>
      <c r="E14" s="2496"/>
      <c r="F14" s="2496"/>
      <c r="G14" s="2496"/>
      <c r="H14" s="2496"/>
      <c r="I14" s="2496"/>
      <c r="J14" s="2496"/>
      <c r="K14" s="249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96" t="s">
        <v>2195</v>
      </c>
      <c r="C17" s="2496"/>
      <c r="D17" s="2496"/>
      <c r="E17" s="2496"/>
      <c r="F17" s="2496"/>
      <c r="G17" s="2496"/>
      <c r="H17" s="2496"/>
      <c r="I17" s="2496"/>
      <c r="J17" s="2496"/>
      <c r="K17" s="2496"/>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500" t="s">
        <v>2196</v>
      </c>
      <c r="C20" s="2500"/>
      <c r="D20" s="2496"/>
      <c r="E20" s="2496"/>
      <c r="F20" s="2496"/>
      <c r="G20" s="2496"/>
      <c r="H20" s="2496"/>
      <c r="I20" s="2496"/>
      <c r="J20" s="2496"/>
      <c r="K20" s="249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96" t="s">
        <v>2197</v>
      </c>
      <c r="C23" s="2496"/>
      <c r="D23" s="2496"/>
      <c r="E23" s="2496"/>
      <c r="F23" s="2496"/>
      <c r="G23" s="2496"/>
      <c r="H23" s="2496"/>
      <c r="I23" s="2496"/>
      <c r="J23" s="2496"/>
      <c r="K23" s="249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96" t="s">
        <v>2198</v>
      </c>
      <c r="C26" s="2496"/>
      <c r="D26" s="2496"/>
      <c r="E26" s="2496"/>
      <c r="F26" s="2496"/>
      <c r="G26" s="2496"/>
      <c r="H26" s="2496"/>
      <c r="I26" s="2496"/>
      <c r="J26" s="2496"/>
      <c r="K26" s="249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95" t="s">
        <v>2199</v>
      </c>
      <c r="C29" s="2495"/>
      <c r="D29" s="2496"/>
      <c r="E29" s="2496"/>
      <c r="F29" s="2496"/>
      <c r="G29" s="2496"/>
      <c r="H29" s="2496"/>
      <c r="I29" s="2496"/>
      <c r="J29" s="2496"/>
      <c r="K29" s="249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95" t="s">
        <v>2208</v>
      </c>
      <c r="C32" s="2495"/>
      <c r="D32" s="2496"/>
      <c r="E32" s="2496"/>
      <c r="F32" s="2496"/>
      <c r="G32" s="2496"/>
      <c r="H32" s="2496"/>
      <c r="I32" s="2496"/>
      <c r="J32" s="2496"/>
      <c r="K32" s="249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43.1&amp;R&amp;8Page 43.1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Fieldcrest CUSD 6</v>
      </c>
      <c r="C1" s="2504"/>
      <c r="D1" s="2504"/>
      <c r="E1" s="2504"/>
      <c r="F1" s="2504"/>
      <c r="G1" s="2504"/>
      <c r="H1" s="2504"/>
      <c r="I1" s="2504"/>
      <c r="J1" s="2504"/>
      <c r="K1" s="2504"/>
      <c r="L1" s="1449"/>
    </row>
    <row r="2" spans="1:12" ht="12.75" customHeight="1" x14ac:dyDescent="0.2">
      <c r="B2" s="2505">
        <f>'Single Audit Cover'!E7</f>
        <v>53102006026</v>
      </c>
      <c r="C2" s="2505"/>
      <c r="D2" s="2505"/>
      <c r="E2" s="2505"/>
      <c r="F2" s="2505"/>
      <c r="G2" s="2505"/>
      <c r="H2" s="2505"/>
      <c r="I2" s="2505"/>
      <c r="J2" s="2505"/>
      <c r="K2" s="2505"/>
      <c r="L2" s="1450"/>
    </row>
    <row r="3" spans="1:12" ht="12.75" customHeight="1" x14ac:dyDescent="0.2">
      <c r="B3" s="2497" t="s">
        <v>1285</v>
      </c>
      <c r="C3" s="2497"/>
      <c r="D3" s="2497"/>
      <c r="E3" s="2497"/>
      <c r="F3" s="2497"/>
      <c r="G3" s="2497"/>
      <c r="H3" s="2497"/>
      <c r="I3" s="2497"/>
      <c r="J3" s="2497"/>
      <c r="K3" s="2497"/>
      <c r="L3" s="1374"/>
    </row>
    <row r="4" spans="1:12" ht="12.75" customHeight="1" x14ac:dyDescent="0.2">
      <c r="B4" s="2497" t="str">
        <f>'Single Audit Cover'!A4</f>
        <v>Year Ending June 30, 2019</v>
      </c>
      <c r="C4" s="2497"/>
      <c r="D4" s="2497"/>
      <c r="E4" s="2497"/>
      <c r="F4" s="2497"/>
      <c r="G4" s="2497"/>
      <c r="H4" s="2497"/>
      <c r="I4" s="2497"/>
      <c r="J4" s="2497"/>
      <c r="K4" s="2497"/>
      <c r="L4" s="1374"/>
    </row>
    <row r="5" spans="1:12" ht="5.25" customHeight="1" x14ac:dyDescent="0.2">
      <c r="B5" s="1257" t="s">
        <v>1169</v>
      </c>
      <c r="C5" s="1257"/>
      <c r="L5" s="322"/>
    </row>
    <row r="6" spans="1:12" ht="30.75" customHeight="1" x14ac:dyDescent="0.2">
      <c r="A6" s="322"/>
      <c r="B6" s="2506" t="s">
        <v>1308</v>
      </c>
      <c r="C6" s="2506"/>
      <c r="D6" s="2506"/>
      <c r="E6" s="2506"/>
      <c r="F6" s="2506"/>
      <c r="G6" s="2506"/>
      <c r="H6" s="2506"/>
      <c r="I6" s="2506"/>
      <c r="J6" s="2506"/>
      <c r="K6" s="2506"/>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t="s">
        <v>2145</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88"/>
      <c r="G12" s="2488"/>
      <c r="H12" s="2488"/>
      <c r="I12" s="2488"/>
      <c r="J12" s="2488"/>
      <c r="K12" s="248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501"/>
      <c r="E14" s="2501"/>
      <c r="F14" s="2501"/>
      <c r="H14" s="1459" t="s">
        <v>1303</v>
      </c>
      <c r="I14" s="2502"/>
      <c r="J14" s="2502"/>
      <c r="K14" s="250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502"/>
      <c r="E16" s="2502"/>
      <c r="F16" s="2502"/>
      <c r="G16" s="2502"/>
      <c r="H16" s="2502"/>
      <c r="I16" s="2502"/>
      <c r="J16" s="2502"/>
      <c r="K16" s="2502"/>
      <c r="L16" s="322"/>
    </row>
    <row r="17" spans="2:12" ht="13.5" customHeight="1" x14ac:dyDescent="0.2">
      <c r="B17" s="1384" t="s">
        <v>1301</v>
      </c>
      <c r="C17" s="1384"/>
      <c r="D17" s="2503"/>
      <c r="E17" s="2503"/>
      <c r="F17" s="2503"/>
      <c r="G17" s="2503"/>
      <c r="H17" s="2503"/>
      <c r="I17" s="2503"/>
      <c r="J17" s="2503"/>
      <c r="K17" s="250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96"/>
      <c r="C20" s="2496"/>
      <c r="D20" s="2496"/>
      <c r="E20" s="2496"/>
      <c r="F20" s="2496"/>
      <c r="G20" s="2496"/>
      <c r="H20" s="2496"/>
      <c r="I20" s="2496"/>
      <c r="J20" s="2496"/>
      <c r="K20" s="249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96"/>
      <c r="C23" s="2496"/>
      <c r="D23" s="2496"/>
      <c r="E23" s="2496"/>
      <c r="F23" s="2496"/>
      <c r="G23" s="2496"/>
      <c r="H23" s="2496"/>
      <c r="I23" s="2496"/>
      <c r="J23" s="2496"/>
      <c r="K23" s="249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96"/>
      <c r="C26" s="2496"/>
      <c r="D26" s="2496"/>
      <c r="E26" s="2496"/>
      <c r="F26" s="2496"/>
      <c r="G26" s="2496"/>
      <c r="H26" s="2496"/>
      <c r="I26" s="2496"/>
      <c r="J26" s="2496"/>
      <c r="K26" s="249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96"/>
      <c r="C29" s="2496"/>
      <c r="D29" s="2496"/>
      <c r="E29" s="2496"/>
      <c r="F29" s="2496"/>
      <c r="G29" s="2496"/>
      <c r="H29" s="2496"/>
      <c r="I29" s="2496"/>
      <c r="J29" s="2496"/>
      <c r="K29" s="249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96"/>
      <c r="C32" s="2496"/>
      <c r="D32" s="2496"/>
      <c r="E32" s="2496"/>
      <c r="F32" s="2496"/>
      <c r="G32" s="2496"/>
      <c r="H32" s="2496"/>
      <c r="I32" s="2496"/>
      <c r="J32" s="2496"/>
      <c r="K32" s="249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96"/>
      <c r="C35" s="2496"/>
      <c r="D35" s="2496"/>
      <c r="E35" s="2496"/>
      <c r="F35" s="2496"/>
      <c r="G35" s="2496"/>
      <c r="H35" s="2496"/>
      <c r="I35" s="2496"/>
      <c r="J35" s="2496"/>
      <c r="K35" s="249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96"/>
      <c r="C38" s="2496"/>
      <c r="D38" s="2496"/>
      <c r="E38" s="2496"/>
      <c r="F38" s="2496"/>
      <c r="G38" s="2496"/>
      <c r="H38" s="2496"/>
      <c r="I38" s="2496"/>
      <c r="J38" s="2496"/>
      <c r="K38" s="249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96"/>
      <c r="C41" s="2496"/>
      <c r="D41" s="2496"/>
      <c r="E41" s="2496"/>
      <c r="F41" s="2496"/>
      <c r="G41" s="2496"/>
      <c r="H41" s="2496"/>
      <c r="I41" s="2496"/>
      <c r="J41" s="2496"/>
      <c r="K41" s="249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1" t="str">
        <f>'Single Audit Cover'!A7</f>
        <v>Fieldcrest CUSD 6</v>
      </c>
      <c r="C1" s="2481"/>
      <c r="D1" s="2481"/>
      <c r="E1" s="1469"/>
    </row>
    <row r="2" spans="2:5" s="1279" customFormat="1" ht="12.75" customHeight="1" x14ac:dyDescent="0.2">
      <c r="B2" s="2483">
        <f>'Single Audit Cover'!E7</f>
        <v>53102006026</v>
      </c>
      <c r="C2" s="2483"/>
      <c r="D2" s="2483"/>
      <c r="E2" s="1470"/>
    </row>
    <row r="3" spans="2:5" ht="12.75" customHeight="1" x14ac:dyDescent="0.2">
      <c r="B3" s="2497" t="s">
        <v>1763</v>
      </c>
      <c r="C3" s="2497"/>
      <c r="D3" s="2497"/>
      <c r="E3" s="1271"/>
    </row>
    <row r="4" spans="2:5" s="1279" customFormat="1" ht="12.75" customHeight="1" x14ac:dyDescent="0.2">
      <c r="B4" s="2507" t="str">
        <f>'Single Audit Cover'!A4</f>
        <v>Year Ending June 30, 2019</v>
      </c>
      <c r="C4" s="2507"/>
      <c r="D4" s="2507"/>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2113</v>
      </c>
      <c r="C7" s="324" t="s">
        <v>2114</v>
      </c>
      <c r="D7" s="324" t="s">
        <v>2115</v>
      </c>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B7" sqref="B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386</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169321766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3.6249999999999998E-2</v>
      </c>
      <c r="E10" s="356" t="s">
        <v>1005</v>
      </c>
      <c r="F10" s="355">
        <v>4.9500000000000004E-3</v>
      </c>
      <c r="G10" s="356" t="s">
        <v>1005</v>
      </c>
      <c r="H10" s="355">
        <v>2E-3</v>
      </c>
      <c r="I10" s="356" t="s">
        <v>1006</v>
      </c>
      <c r="J10" s="1730">
        <f>ROUND(D10+F10+H10,5)</f>
        <v>4.3200000000000002E-2</v>
      </c>
      <c r="K10" s="222"/>
      <c r="L10" s="355">
        <v>5.0000000000000001E-4</v>
      </c>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12018148</v>
      </c>
      <c r="E16" s="356"/>
      <c r="F16" s="1731">
        <f>SUM('Acct Summary 7-8'!C17,'Acct Summary 7-8'!D17,'Acct Summary 7-8'!F17)</f>
        <v>11861128</v>
      </c>
      <c r="G16" s="356"/>
      <c r="H16" s="1731">
        <f>SUM(D16-F16)</f>
        <v>157020</v>
      </c>
      <c r="I16" s="222"/>
      <c r="J16" s="1731">
        <f>SUM('Acct Summary 7-8'!C81,'Acct Summary 7-8'!D81,'Acct Summary 7-8'!F81,'Acct Summary 7-8'!I81)</f>
        <v>3174641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23366403.708000001</v>
      </c>
      <c r="I31" s="368"/>
      <c r="J31" s="222"/>
      <c r="K31" s="222"/>
      <c r="L31" s="222"/>
      <c r="M31" s="222"/>
    </row>
    <row r="32" spans="1:13" ht="13.35" customHeight="1" x14ac:dyDescent="0.2">
      <c r="B32" s="369" t="s">
        <v>2069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3403211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7" sqref="B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556</v>
      </c>
      <c r="B2" s="2124"/>
      <c r="C2" s="2124"/>
      <c r="D2" s="2124"/>
      <c r="E2" s="2124"/>
      <c r="F2" s="2124"/>
      <c r="G2" s="2124"/>
      <c r="H2" s="2124"/>
      <c r="I2" s="2124"/>
      <c r="J2" s="2124"/>
      <c r="K2" s="2124"/>
      <c r="L2" s="2124"/>
      <c r="M2" s="2124"/>
      <c r="N2" s="2124"/>
      <c r="O2" s="2124"/>
      <c r="P2" s="2124"/>
      <c r="Q2" s="2124"/>
      <c r="R2" s="2124"/>
    </row>
    <row r="3" spans="1:18" ht="12.75" x14ac:dyDescent="0.2">
      <c r="A3" s="2125" t="s">
        <v>1413</v>
      </c>
      <c r="B3" s="2125"/>
      <c r="C3" s="2125"/>
      <c r="D3" s="2125"/>
      <c r="E3" s="2125"/>
      <c r="F3" s="2125"/>
      <c r="G3" s="2125"/>
      <c r="H3" s="2125"/>
      <c r="I3" s="2125"/>
      <c r="J3" s="2125"/>
      <c r="K3" s="2125"/>
      <c r="L3" s="2125"/>
      <c r="M3" s="2125"/>
      <c r="N3" s="2125"/>
      <c r="O3" s="2125"/>
      <c r="P3" s="2125"/>
      <c r="Q3" s="2125"/>
      <c r="R3" s="2125"/>
    </row>
    <row r="4" spans="1:18" x14ac:dyDescent="0.2">
      <c r="A4" s="2126" t="s">
        <v>1554</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Fieldcrest CUSD 6</v>
      </c>
      <c r="E7" s="391"/>
      <c r="G7" s="252"/>
      <c r="H7" s="387"/>
      <c r="I7" s="387"/>
      <c r="J7" s="387"/>
      <c r="K7" s="387"/>
      <c r="L7" s="329"/>
      <c r="M7" s="329"/>
      <c r="N7" s="329"/>
      <c r="O7" s="329"/>
      <c r="P7" s="329"/>
    </row>
    <row r="8" spans="1:18" ht="12.75" x14ac:dyDescent="0.2">
      <c r="A8" s="329"/>
      <c r="B8" s="329"/>
      <c r="C8" s="389" t="s">
        <v>1125</v>
      </c>
      <c r="D8" s="392">
        <f>COVER!A13</f>
        <v>53102006026</v>
      </c>
      <c r="E8" s="393"/>
      <c r="G8" s="329"/>
      <c r="H8" s="329"/>
      <c r="I8" s="329"/>
      <c r="J8" s="329"/>
      <c r="K8" s="329"/>
      <c r="L8" s="329"/>
      <c r="M8" s="329"/>
      <c r="N8" s="329"/>
      <c r="O8" s="329"/>
      <c r="P8" s="329"/>
    </row>
    <row r="9" spans="1:18" ht="12.75" x14ac:dyDescent="0.2">
      <c r="A9" s="329"/>
      <c r="B9" s="329"/>
      <c r="C9" s="389" t="s">
        <v>713</v>
      </c>
      <c r="D9" s="394" t="str">
        <f>COVER!A15</f>
        <v>Woodford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3174641</v>
      </c>
      <c r="I12" s="404"/>
      <c r="J12" s="404"/>
      <c r="K12" s="405">
        <f>TRUNC((H12/H13*100000),5)/100000</f>
        <v>0.26415392779999997</v>
      </c>
      <c r="L12" s="406"/>
      <c r="M12" s="360" t="s">
        <v>1144</v>
      </c>
      <c r="N12" s="360"/>
      <c r="O12" s="407">
        <v>0.35</v>
      </c>
      <c r="P12" s="218"/>
      <c r="Q12" s="218"/>
    </row>
    <row r="13" spans="1:18" s="408" customFormat="1" ht="12.75" x14ac:dyDescent="0.2">
      <c r="A13" s="218"/>
      <c r="B13" s="401"/>
      <c r="C13" s="2122" t="s">
        <v>1324</v>
      </c>
      <c r="D13" s="2123"/>
      <c r="E13" s="218"/>
      <c r="F13" s="409" t="s">
        <v>793</v>
      </c>
      <c r="G13" s="402"/>
      <c r="H13" s="403">
        <f>SUM('Acct Summary 7-8'!C8+'Acct Summary 7-8'!D8+'Acct Summary 7-8'!F8+'Acct Summary 7-8'!I8)+H14</f>
        <v>12018148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11861128</v>
      </c>
      <c r="I17" s="404"/>
      <c r="J17" s="416"/>
      <c r="K17" s="405">
        <f>TRUNC((H17/H18*100000),5)/100000</f>
        <v>0.98693475890000004</v>
      </c>
      <c r="L17" s="406"/>
      <c r="M17" s="417" t="s">
        <v>1171</v>
      </c>
      <c r="O17" s="418" t="str">
        <f>IF(AND(O16="2", J20 &gt; 2),"1",IF(AND(O16 = "1", J20 &gt; 2),"2",IF(AND(O16="1", J20 &gt;1),"1","0")))</f>
        <v>0</v>
      </c>
      <c r="P17" s="218"/>
    </row>
    <row r="18" spans="1:18" s="408" customFormat="1" ht="11.25" x14ac:dyDescent="0.2">
      <c r="A18" s="218"/>
      <c r="B18" s="401"/>
      <c r="C18" s="2122" t="s">
        <v>1317</v>
      </c>
      <c r="D18" s="2123"/>
      <c r="E18" s="218"/>
      <c r="F18" s="419" t="s">
        <v>794</v>
      </c>
      <c r="G18" s="402"/>
      <c r="H18" s="403">
        <f>SUM('Acct Summary 7-8'!C8+'Acct Summary 7-8'!D8+'Acct Summary 7-8'!F8+'Acct Summary 7-8'!I8)+H19</f>
        <v>12018148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9" t="s">
        <v>1412</v>
      </c>
      <c r="D24" s="2119"/>
      <c r="E24" s="218"/>
      <c r="F24" s="218" t="s">
        <v>445</v>
      </c>
      <c r="G24" s="402"/>
      <c r="H24" s="403">
        <f>SUM('Assets-Liab 5-6'!C4+'Assets-Liab 5-6'!D4+'Assets-Liab 5-6'!F4+'Assets-Liab 5-6'!I4+'Assets-Liab 5-6'!C5+'Assets-Liab 5-6'!D5+'Assets-Liab 5-6'!F5+'Assets-Liab 5-6'!I5)</f>
        <v>3174641</v>
      </c>
      <c r="I24" s="422"/>
      <c r="J24" s="422"/>
      <c r="K24" s="423">
        <f>TRUNC(((H24/H25*100000)/100000),2)</f>
        <v>96.35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32947.57778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6217495.2475199997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3403211</v>
      </c>
      <c r="I32" s="420"/>
      <c r="J32" s="420"/>
      <c r="K32" s="423">
        <f>TRUNC(100-((((H32/H33*100))*100)/100),2)</f>
        <v>85.43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23366403.708000001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B7" sqref="B7"/>
      <selection pane="bottomLeft" activeCell="B7" sqref="B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9" t="s">
        <v>973</v>
      </c>
      <c r="B3" s="2130"/>
      <c r="C3" s="1559"/>
      <c r="D3" s="1560"/>
      <c r="E3" s="1560"/>
      <c r="F3" s="1560"/>
      <c r="G3" s="1560"/>
      <c r="H3" s="1560"/>
      <c r="I3" s="1560"/>
      <c r="J3" s="1560"/>
      <c r="K3" s="1560"/>
      <c r="L3" s="1560"/>
      <c r="M3" s="1561"/>
      <c r="N3" s="1562"/>
    </row>
    <row r="4" spans="1:14" ht="13.5" customHeight="1" x14ac:dyDescent="0.2">
      <c r="A4" s="463" t="s">
        <v>1651</v>
      </c>
      <c r="B4" s="464"/>
      <c r="C4" s="465">
        <v>2170083</v>
      </c>
      <c r="D4" s="466">
        <v>247548</v>
      </c>
      <c r="E4" s="466">
        <v>304455</v>
      </c>
      <c r="F4" s="466">
        <v>510202</v>
      </c>
      <c r="G4" s="466">
        <v>435873</v>
      </c>
      <c r="H4" s="466"/>
      <c r="I4" s="466">
        <v>246808</v>
      </c>
      <c r="J4" s="467">
        <v>165806</v>
      </c>
      <c r="K4" s="466">
        <v>737161</v>
      </c>
      <c r="L4" s="466">
        <v>152155</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2170083</v>
      </c>
      <c r="D13" s="1735">
        <f t="shared" ref="D13:L13" si="0">SUM(D4:D12)</f>
        <v>247548</v>
      </c>
      <c r="E13" s="1735">
        <f t="shared" si="0"/>
        <v>304455</v>
      </c>
      <c r="F13" s="1735">
        <f t="shared" si="0"/>
        <v>510202</v>
      </c>
      <c r="G13" s="1735">
        <f t="shared" si="0"/>
        <v>435873</v>
      </c>
      <c r="H13" s="1735">
        <f t="shared" si="0"/>
        <v>0</v>
      </c>
      <c r="I13" s="1735">
        <f t="shared" si="0"/>
        <v>246808</v>
      </c>
      <c r="J13" s="1735">
        <f t="shared" si="0"/>
        <v>165806</v>
      </c>
      <c r="K13" s="1735">
        <f t="shared" si="0"/>
        <v>737161</v>
      </c>
      <c r="L13" s="1735">
        <f t="shared" si="0"/>
        <v>152155</v>
      </c>
      <c r="M13" s="468"/>
      <c r="N13" s="469"/>
    </row>
    <row r="14" spans="1:14" ht="18" customHeight="1" thickTop="1" x14ac:dyDescent="0.2">
      <c r="A14" s="2131" t="s">
        <v>147</v>
      </c>
      <c r="B14" s="213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132071</v>
      </c>
      <c r="N16" s="484"/>
    </row>
    <row r="17" spans="1:14" s="485" customFormat="1" ht="12.75" customHeight="1" x14ac:dyDescent="0.2">
      <c r="A17" s="482" t="s">
        <v>1403</v>
      </c>
      <c r="B17" s="483">
        <v>230</v>
      </c>
      <c r="C17" s="477"/>
      <c r="D17" s="477"/>
      <c r="E17" s="477"/>
      <c r="F17" s="477"/>
      <c r="G17" s="477"/>
      <c r="H17" s="477"/>
      <c r="I17" s="477"/>
      <c r="J17" s="477"/>
      <c r="K17" s="477"/>
      <c r="L17" s="477"/>
      <c r="M17" s="467">
        <v>12137985</v>
      </c>
      <c r="N17" s="484"/>
    </row>
    <row r="18" spans="1:14" s="485" customFormat="1" ht="12.75" customHeight="1" x14ac:dyDescent="0.2">
      <c r="A18" s="482" t="s">
        <v>1404</v>
      </c>
      <c r="B18" s="483">
        <v>240</v>
      </c>
      <c r="C18" s="477"/>
      <c r="D18" s="477"/>
      <c r="E18" s="477"/>
      <c r="F18" s="477"/>
      <c r="G18" s="477"/>
      <c r="H18" s="477"/>
      <c r="I18" s="477"/>
      <c r="J18" s="477"/>
      <c r="K18" s="477"/>
      <c r="L18" s="477"/>
      <c r="M18" s="467">
        <v>94100</v>
      </c>
      <c r="N18" s="484"/>
    </row>
    <row r="19" spans="1:14" s="485" customFormat="1" ht="12.75" customHeight="1" x14ac:dyDescent="0.2">
      <c r="A19" s="482" t="s">
        <v>1405</v>
      </c>
      <c r="B19" s="483">
        <v>250</v>
      </c>
      <c r="C19" s="477"/>
      <c r="D19" s="477"/>
      <c r="E19" s="477"/>
      <c r="F19" s="477"/>
      <c r="G19" s="477"/>
      <c r="H19" s="477"/>
      <c r="I19" s="477"/>
      <c r="J19" s="477"/>
      <c r="K19" s="477"/>
      <c r="L19" s="477"/>
      <c r="M19" s="467">
        <v>2900805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304455</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3098756</v>
      </c>
    </row>
    <row r="23" spans="1:14" ht="13.5" customHeight="1" thickBot="1" x14ac:dyDescent="0.25">
      <c r="A23" s="1734" t="s">
        <v>643</v>
      </c>
      <c r="B23" s="1739"/>
      <c r="C23" s="468"/>
      <c r="D23" s="468"/>
      <c r="E23" s="468"/>
      <c r="F23" s="468"/>
      <c r="G23" s="468"/>
      <c r="H23" s="468"/>
      <c r="I23" s="468"/>
      <c r="J23" s="468"/>
      <c r="K23" s="468"/>
      <c r="L23" s="468"/>
      <c r="M23" s="1686">
        <f>SUM(M15:M22)</f>
        <v>15264961</v>
      </c>
      <c r="N23" s="1686">
        <f>SUM(N21:N22)</f>
        <v>3403211</v>
      </c>
    </row>
    <row r="24" spans="1:14" ht="18" customHeight="1" thickTop="1" x14ac:dyDescent="0.2">
      <c r="A24" s="2133" t="s">
        <v>598</v>
      </c>
      <c r="B24" s="213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152155</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152155</v>
      </c>
      <c r="M34" s="468"/>
      <c r="N34" s="480"/>
    </row>
    <row r="35" spans="1:14" ht="18" customHeight="1" thickTop="1" x14ac:dyDescent="0.2">
      <c r="A35" s="2135" t="s">
        <v>529</v>
      </c>
      <c r="B35" s="213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3403211</v>
      </c>
    </row>
    <row r="37" spans="1:14" ht="13.5" thickBot="1" x14ac:dyDescent="0.25">
      <c r="A37" s="1734" t="s">
        <v>653</v>
      </c>
      <c r="B37" s="1739"/>
      <c r="C37" s="477"/>
      <c r="D37" s="477"/>
      <c r="E37" s="477"/>
      <c r="F37" s="477"/>
      <c r="G37" s="477"/>
      <c r="H37" s="477"/>
      <c r="I37" s="477"/>
      <c r="J37" s="477"/>
      <c r="K37" s="477"/>
      <c r="L37" s="480"/>
      <c r="M37" s="468"/>
      <c r="N37" s="1686">
        <f>SUM(N36:N36)</f>
        <v>3403211</v>
      </c>
    </row>
    <row r="38" spans="1:14" s="329" customFormat="1" ht="13.5" customHeight="1" thickTop="1" x14ac:dyDescent="0.2">
      <c r="A38" s="496" t="s">
        <v>420</v>
      </c>
      <c r="B38" s="483">
        <v>714</v>
      </c>
      <c r="C38" s="466"/>
      <c r="D38" s="466"/>
      <c r="E38" s="466">
        <f>349+80941</f>
        <v>81290</v>
      </c>
      <c r="F38" s="466"/>
      <c r="G38" s="466"/>
      <c r="H38" s="466"/>
      <c r="I38" s="466"/>
      <c r="J38" s="467"/>
      <c r="K38" s="466">
        <v>544429</v>
      </c>
      <c r="L38" s="481"/>
      <c r="M38" s="497"/>
      <c r="N38" s="497"/>
    </row>
    <row r="39" spans="1:14" s="329" customFormat="1" ht="13.5" customHeight="1" x14ac:dyDescent="0.2">
      <c r="A39" s="496" t="s">
        <v>342</v>
      </c>
      <c r="B39" s="483">
        <v>730</v>
      </c>
      <c r="C39" s="466">
        <f>+'Acct Summary 7-8'!C81-C38</f>
        <v>2170083</v>
      </c>
      <c r="D39" s="466">
        <f>+'Acct Summary 7-8'!D81-D38</f>
        <v>247548</v>
      </c>
      <c r="E39" s="466">
        <f>+'Acct Summary 7-8'!E81-E38</f>
        <v>223165</v>
      </c>
      <c r="F39" s="466">
        <f>+'Acct Summary 7-8'!F81-F38</f>
        <v>510202</v>
      </c>
      <c r="G39" s="466">
        <f>+'Acct Summary 7-8'!G81-G38</f>
        <v>435873</v>
      </c>
      <c r="H39" s="466">
        <f>+'Acct Summary 7-8'!H81-H38</f>
        <v>0</v>
      </c>
      <c r="I39" s="466">
        <f>+'Acct Summary 7-8'!I81-I38</f>
        <v>246808</v>
      </c>
      <c r="J39" s="466">
        <f>+'Acct Summary 7-8'!J81-J38</f>
        <v>165806</v>
      </c>
      <c r="K39" s="466">
        <f>+'Acct Summary 7-8'!K81-K38</f>
        <v>192732</v>
      </c>
      <c r="L39" s="466">
        <f>+'Acct Summary 7-8'!L81</f>
        <v>0</v>
      </c>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26'!F16</f>
        <v>15264961</v>
      </c>
      <c r="N40" s="497"/>
    </row>
    <row r="41" spans="1:14" ht="13.5" customHeight="1" thickBot="1" x14ac:dyDescent="0.25">
      <c r="A41" s="1734" t="s">
        <v>655</v>
      </c>
      <c r="B41" s="1704"/>
      <c r="C41" s="1686">
        <f>(SUM(C34,C37,C38,C39))</f>
        <v>2170083</v>
      </c>
      <c r="D41" s="1686">
        <f>SUM(D34,D37,D38:D39)</f>
        <v>247548</v>
      </c>
      <c r="E41" s="1686">
        <f t="shared" ref="E41:L41" si="2">SUM(E34,E37,E38:E39)</f>
        <v>304455</v>
      </c>
      <c r="F41" s="1686">
        <f t="shared" si="2"/>
        <v>510202</v>
      </c>
      <c r="G41" s="1686">
        <f t="shared" si="2"/>
        <v>435873</v>
      </c>
      <c r="H41" s="1686">
        <f t="shared" si="2"/>
        <v>0</v>
      </c>
      <c r="I41" s="1686">
        <f t="shared" si="2"/>
        <v>246808</v>
      </c>
      <c r="J41" s="1686">
        <f t="shared" si="2"/>
        <v>165806</v>
      </c>
      <c r="K41" s="1686">
        <f t="shared" si="2"/>
        <v>737161</v>
      </c>
      <c r="L41" s="1686">
        <f t="shared" si="2"/>
        <v>152155</v>
      </c>
      <c r="M41" s="1686">
        <f>SUM(M40)</f>
        <v>15264961</v>
      </c>
      <c r="N41" s="1686">
        <f>SUM(N37)</f>
        <v>3403211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7" sqref="B7"/>
      <selection pane="bottomLeft" activeCell="B7" sqref="B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7" t="s">
        <v>1175</v>
      </c>
      <c r="B3" s="2158"/>
      <c r="C3" s="1573"/>
      <c r="D3" s="1574"/>
      <c r="E3" s="1574"/>
      <c r="F3" s="1574"/>
      <c r="G3" s="1574"/>
      <c r="H3" s="1574"/>
      <c r="I3" s="1574"/>
      <c r="J3" s="1574"/>
      <c r="K3" s="1575"/>
      <c r="L3" s="506"/>
    </row>
    <row r="4" spans="1:13" ht="15.75" customHeight="1" x14ac:dyDescent="0.2">
      <c r="A4" s="1926" t="s">
        <v>1499</v>
      </c>
      <c r="B4" s="1927">
        <v>1000</v>
      </c>
      <c r="C4" s="1740">
        <f>'Revenues 9-14'!C109</f>
        <v>6684050</v>
      </c>
      <c r="D4" s="1740">
        <f>'Revenues 9-14'!D109</f>
        <v>846914</v>
      </c>
      <c r="E4" s="1740">
        <f>'Revenues 9-14'!E109</f>
        <v>239511</v>
      </c>
      <c r="F4" s="1740">
        <f>'Revenues 9-14'!F109</f>
        <v>333548</v>
      </c>
      <c r="G4" s="1740">
        <f>'Revenues 9-14'!G109</f>
        <v>388339</v>
      </c>
      <c r="H4" s="1740">
        <f>'Revenues 9-14'!H109</f>
        <v>0</v>
      </c>
      <c r="I4" s="1740">
        <f>'Revenues 9-14'!I109</f>
        <v>83085</v>
      </c>
      <c r="J4" s="1740">
        <f>'Revenues 9-14'!J109</f>
        <v>309970</v>
      </c>
      <c r="K4" s="1740">
        <f>'Revenues 9-14'!K109</f>
        <v>88562</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2383810</v>
      </c>
      <c r="D6" s="1741">
        <f>'Revenues 9-14'!D170</f>
        <v>259005</v>
      </c>
      <c r="E6" s="1741">
        <f>'Revenues 9-14'!E170</f>
        <v>0</v>
      </c>
      <c r="F6" s="1741">
        <f>'Revenues 9-14'!F170</f>
        <v>779466</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648270</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9716130</v>
      </c>
      <c r="D8" s="1686">
        <f t="shared" ref="D8:K8" si="0">SUM(D4:D7)</f>
        <v>1105919</v>
      </c>
      <c r="E8" s="1686">
        <f t="shared" si="0"/>
        <v>239511</v>
      </c>
      <c r="F8" s="1686">
        <f t="shared" si="0"/>
        <v>1113014</v>
      </c>
      <c r="G8" s="1686">
        <f t="shared" si="0"/>
        <v>388339</v>
      </c>
      <c r="H8" s="1686">
        <f t="shared" si="0"/>
        <v>0</v>
      </c>
      <c r="I8" s="1686">
        <f t="shared" si="0"/>
        <v>83085</v>
      </c>
      <c r="J8" s="1686">
        <f t="shared" si="0"/>
        <v>309970</v>
      </c>
      <c r="K8" s="1686">
        <f t="shared" si="0"/>
        <v>88562</v>
      </c>
      <c r="L8" s="347"/>
    </row>
    <row r="9" spans="1:13" ht="15.75" thickTop="1" x14ac:dyDescent="0.2">
      <c r="A9" s="514" t="s">
        <v>1653</v>
      </c>
      <c r="B9" s="515">
        <v>3998</v>
      </c>
      <c r="C9" s="481">
        <v>3953112</v>
      </c>
      <c r="D9" s="516"/>
      <c r="E9" s="481"/>
      <c r="F9" s="481"/>
      <c r="G9" s="517"/>
      <c r="H9" s="481"/>
      <c r="I9" s="509" t="s">
        <v>1169</v>
      </c>
      <c r="J9" s="478"/>
      <c r="K9" s="481"/>
      <c r="L9" s="347"/>
    </row>
    <row r="10" spans="1:13" s="519" customFormat="1" ht="13.5" thickBot="1" x14ac:dyDescent="0.25">
      <c r="A10" s="1734" t="s">
        <v>1173</v>
      </c>
      <c r="B10" s="1707"/>
      <c r="C10" s="1686">
        <f>SUM(C8:C9)</f>
        <v>13669242</v>
      </c>
      <c r="D10" s="1686">
        <f t="shared" ref="D10:K10" si="1">SUM(D8:D9)</f>
        <v>1105919</v>
      </c>
      <c r="E10" s="1686">
        <f t="shared" si="1"/>
        <v>239511</v>
      </c>
      <c r="F10" s="1686">
        <f t="shared" si="1"/>
        <v>1113014</v>
      </c>
      <c r="G10" s="1686">
        <f t="shared" si="1"/>
        <v>388339</v>
      </c>
      <c r="H10" s="1686">
        <f t="shared" si="1"/>
        <v>0</v>
      </c>
      <c r="I10" s="1686">
        <f t="shared" si="1"/>
        <v>83085</v>
      </c>
      <c r="J10" s="1686">
        <f t="shared" si="1"/>
        <v>309970</v>
      </c>
      <c r="K10" s="1686">
        <f t="shared" si="1"/>
        <v>88562</v>
      </c>
      <c r="L10" s="518"/>
    </row>
    <row r="11" spans="1:13" s="519" customFormat="1" ht="16.7" customHeight="1" thickTop="1" x14ac:dyDescent="0.2">
      <c r="A11" s="2131" t="s">
        <v>1176</v>
      </c>
      <c r="B11" s="2132"/>
      <c r="C11" s="1570"/>
      <c r="D11" s="1571"/>
      <c r="E11" s="1571"/>
      <c r="F11" s="1571"/>
      <c r="G11" s="1571"/>
      <c r="H11" s="1571"/>
      <c r="I11" s="1571"/>
      <c r="J11" s="1571"/>
      <c r="K11" s="1572"/>
      <c r="L11" s="518"/>
    </row>
    <row r="12" spans="1:13" ht="15.75" customHeight="1" x14ac:dyDescent="0.2">
      <c r="A12" s="1576" t="s">
        <v>456</v>
      </c>
      <c r="B12" s="1578">
        <v>1000</v>
      </c>
      <c r="C12" s="1740">
        <f>'Expenditures 15-22'!K33</f>
        <v>5998023</v>
      </c>
      <c r="D12" s="520" t="s">
        <v>1169</v>
      </c>
      <c r="E12" s="468" t="s">
        <v>1169</v>
      </c>
      <c r="F12" s="468" t="s">
        <v>1169</v>
      </c>
      <c r="G12" s="1740">
        <f>'Expenditures 15-22'!K229</f>
        <v>149571</v>
      </c>
      <c r="H12" s="521"/>
      <c r="I12" s="468" t="s">
        <v>1169</v>
      </c>
      <c r="J12" s="468" t="s">
        <v>1169</v>
      </c>
      <c r="K12" s="521" t="s">
        <v>1169</v>
      </c>
      <c r="L12" s="347"/>
    </row>
    <row r="13" spans="1:13" ht="15.75" customHeight="1" x14ac:dyDescent="0.2">
      <c r="A13" s="1576" t="s">
        <v>457</v>
      </c>
      <c r="B13" s="1578">
        <v>2000</v>
      </c>
      <c r="C13" s="1741">
        <f>'Expenditures 15-22'!K74</f>
        <v>2523853</v>
      </c>
      <c r="D13" s="1741">
        <f>'Expenditures 15-22'!K129</f>
        <v>1261088</v>
      </c>
      <c r="E13" s="469" t="s">
        <v>1169</v>
      </c>
      <c r="F13" s="1741">
        <f>'Expenditures 15-22'!K184</f>
        <v>1025401</v>
      </c>
      <c r="G13" s="1741">
        <f>'Expenditures 15-22'!K279</f>
        <v>282779</v>
      </c>
      <c r="H13" s="1741">
        <f>'Expenditures 15-22'!K303</f>
        <v>0</v>
      </c>
      <c r="I13" s="468" t="s">
        <v>1169</v>
      </c>
      <c r="J13" s="1741">
        <f>'Expenditures 15-22'!K330</f>
        <v>310652</v>
      </c>
      <c r="K13" s="1745">
        <f>'Expenditures 15-22'!K352</f>
        <v>2120245</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1052763</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440455</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9574639</v>
      </c>
      <c r="D17" s="1686">
        <f t="shared" si="2"/>
        <v>1261088</v>
      </c>
      <c r="E17" s="1686">
        <f t="shared" si="2"/>
        <v>440455</v>
      </c>
      <c r="F17" s="1686">
        <f t="shared" si="2"/>
        <v>1025401</v>
      </c>
      <c r="G17" s="1686">
        <f t="shared" si="2"/>
        <v>432350</v>
      </c>
      <c r="H17" s="1686">
        <f t="shared" si="2"/>
        <v>0</v>
      </c>
      <c r="I17" s="468"/>
      <c r="J17" s="1686">
        <f>SUM(J12:J16)</f>
        <v>310652</v>
      </c>
      <c r="K17" s="1686">
        <f>SUM(K12:K16)</f>
        <v>2120245</v>
      </c>
      <c r="L17" s="347"/>
    </row>
    <row r="18" spans="1:12" ht="15" customHeight="1" thickTop="1" x14ac:dyDescent="0.2">
      <c r="A18" s="1742" t="s">
        <v>1654</v>
      </c>
      <c r="B18" s="1743">
        <v>4180</v>
      </c>
      <c r="C18" s="1740">
        <f t="shared" ref="C18:H18" si="3">C9</f>
        <v>3953112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13527751</v>
      </c>
      <c r="D19" s="1686">
        <f t="shared" si="4"/>
        <v>1261088</v>
      </c>
      <c r="E19" s="1686">
        <f t="shared" si="4"/>
        <v>440455</v>
      </c>
      <c r="F19" s="1686">
        <f t="shared" si="4"/>
        <v>1025401</v>
      </c>
      <c r="G19" s="1686">
        <f t="shared" si="4"/>
        <v>432350</v>
      </c>
      <c r="H19" s="1686">
        <f t="shared" si="4"/>
        <v>0</v>
      </c>
      <c r="I19" s="468"/>
      <c r="J19" s="1686">
        <f>SUM(J17:J18)</f>
        <v>310652</v>
      </c>
      <c r="K19" s="1686">
        <f>SUM(K17:K18)</f>
        <v>2120245</v>
      </c>
      <c r="L19" s="347"/>
    </row>
    <row r="20" spans="1:12" ht="16.5" thickTop="1" thickBot="1" x14ac:dyDescent="0.25">
      <c r="A20" s="2147" t="s">
        <v>1655</v>
      </c>
      <c r="B20" s="2148"/>
      <c r="C20" s="1744">
        <f>C8-C17</f>
        <v>141491</v>
      </c>
      <c r="D20" s="1744">
        <f t="shared" ref="D20:K20" si="5">D8-D17</f>
        <v>-155169</v>
      </c>
      <c r="E20" s="1744">
        <f t="shared" si="5"/>
        <v>-200944</v>
      </c>
      <c r="F20" s="1744">
        <f t="shared" si="5"/>
        <v>87613</v>
      </c>
      <c r="G20" s="1744">
        <f t="shared" si="5"/>
        <v>-44011</v>
      </c>
      <c r="H20" s="1744">
        <f t="shared" si="5"/>
        <v>0</v>
      </c>
      <c r="I20" s="1744">
        <f t="shared" si="5"/>
        <v>83085</v>
      </c>
      <c r="J20" s="1744">
        <f t="shared" si="5"/>
        <v>-682</v>
      </c>
      <c r="K20" s="1744">
        <f t="shared" si="5"/>
        <v>-2031683</v>
      </c>
      <c r="L20" s="347"/>
    </row>
    <row r="21" spans="1:12" ht="16.7" customHeight="1" thickTop="1" x14ac:dyDescent="0.2">
      <c r="A21" s="2159" t="s">
        <v>595</v>
      </c>
      <c r="B21" s="2160"/>
      <c r="C21" s="1570"/>
      <c r="D21" s="1571"/>
      <c r="E21" s="1571"/>
      <c r="F21" s="1571"/>
      <c r="G21" s="1571"/>
      <c r="H21" s="1571"/>
      <c r="I21" s="1571"/>
      <c r="J21" s="1571"/>
      <c r="K21" s="1572"/>
      <c r="L21" s="524"/>
    </row>
    <row r="22" spans="1:12" ht="15.75" customHeight="1" collapsed="1" x14ac:dyDescent="0.2">
      <c r="A22" s="2155" t="s">
        <v>596</v>
      </c>
      <c r="B22" s="2156"/>
      <c r="C22" s="477"/>
      <c r="D22" s="477"/>
      <c r="E22" s="477"/>
      <c r="F22" s="477"/>
      <c r="G22" s="477"/>
      <c r="H22" s="477"/>
      <c r="I22" s="477"/>
      <c r="J22" s="477"/>
      <c r="K22" s="477"/>
      <c r="L22" s="347"/>
    </row>
    <row r="23" spans="1:12" s="485" customFormat="1" ht="15.75" customHeight="1" x14ac:dyDescent="0.2">
      <c r="A23" s="2151" t="s">
        <v>293</v>
      </c>
      <c r="B23" s="215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53" t="s">
        <v>981</v>
      </c>
      <c r="B32" s="215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606</v>
      </c>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61" t="s">
        <v>374</v>
      </c>
      <c r="B44" s="2162"/>
      <c r="C44" s="1701">
        <f>SUM(C24:C43)</f>
        <v>0</v>
      </c>
      <c r="D44" s="1701">
        <f t="shared" ref="D44:K44" si="6">SUM(D24:D43)</f>
        <v>0</v>
      </c>
      <c r="E44" s="1701">
        <f t="shared" si="6"/>
        <v>0</v>
      </c>
      <c r="F44" s="1701">
        <f t="shared" si="6"/>
        <v>606</v>
      </c>
      <c r="G44" s="1701">
        <f t="shared" si="6"/>
        <v>0</v>
      </c>
      <c r="H44" s="1701">
        <f t="shared" si="6"/>
        <v>0</v>
      </c>
      <c r="I44" s="1701">
        <f t="shared" si="6"/>
        <v>0</v>
      </c>
      <c r="J44" s="1701">
        <f t="shared" si="6"/>
        <v>0</v>
      </c>
      <c r="K44" s="1701">
        <f t="shared" si="6"/>
        <v>0</v>
      </c>
      <c r="L44" s="524"/>
    </row>
    <row r="45" spans="1:12" ht="15.75" customHeight="1" thickTop="1" x14ac:dyDescent="0.2">
      <c r="A45" s="2155" t="s">
        <v>108</v>
      </c>
      <c r="B45" s="2156"/>
      <c r="C45" s="528"/>
      <c r="D45" s="528"/>
      <c r="E45" s="528"/>
      <c r="F45" s="528"/>
      <c r="G45" s="528"/>
      <c r="H45" s="528"/>
      <c r="I45" s="528"/>
      <c r="J45" s="528"/>
      <c r="K45" s="528"/>
      <c r="L45" s="347"/>
    </row>
    <row r="46" spans="1:12" s="485" customFormat="1" ht="15.75" customHeight="1" x14ac:dyDescent="0.2">
      <c r="A46" s="2163" t="s">
        <v>109</v>
      </c>
      <c r="B46" s="216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1">
        <f>D30</f>
        <v>0</v>
      </c>
      <c r="L52" s="524"/>
    </row>
    <row r="53" spans="1:12" s="485" customFormat="1" ht="26.25" x14ac:dyDescent="0.2">
      <c r="A53" s="1490" t="s">
        <v>1793</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37" t="s">
        <v>440</v>
      </c>
      <c r="B76" s="2138"/>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39" t="s">
        <v>1177</v>
      </c>
      <c r="B77" s="2140"/>
      <c r="C77" s="1701">
        <f t="shared" ref="C77:K77" si="8">C44-C76</f>
        <v>0</v>
      </c>
      <c r="D77" s="1701">
        <f t="shared" si="8"/>
        <v>0</v>
      </c>
      <c r="E77" s="1701">
        <f t="shared" si="8"/>
        <v>0</v>
      </c>
      <c r="F77" s="1701">
        <f t="shared" si="8"/>
        <v>606</v>
      </c>
      <c r="G77" s="1701">
        <f t="shared" si="8"/>
        <v>0</v>
      </c>
      <c r="H77" s="1701">
        <f t="shared" si="8"/>
        <v>0</v>
      </c>
      <c r="I77" s="1701">
        <f t="shared" si="8"/>
        <v>0</v>
      </c>
      <c r="J77" s="1701">
        <f t="shared" si="8"/>
        <v>0</v>
      </c>
      <c r="K77" s="1701">
        <f t="shared" si="8"/>
        <v>0</v>
      </c>
      <c r="L77" s="347"/>
    </row>
    <row r="78" spans="1:12" ht="21.75" customHeight="1" thickTop="1" thickBot="1" x14ac:dyDescent="0.25">
      <c r="A78" s="2143" t="s">
        <v>597</v>
      </c>
      <c r="B78" s="2144"/>
      <c r="C78" s="1700">
        <f t="shared" ref="C78:K78" si="9">C20+C77</f>
        <v>141491</v>
      </c>
      <c r="D78" s="1700">
        <f t="shared" si="9"/>
        <v>-155169</v>
      </c>
      <c r="E78" s="1700">
        <f t="shared" si="9"/>
        <v>-200944</v>
      </c>
      <c r="F78" s="1700">
        <f t="shared" si="9"/>
        <v>88219</v>
      </c>
      <c r="G78" s="1700">
        <f t="shared" si="9"/>
        <v>-44011</v>
      </c>
      <c r="H78" s="1700">
        <f t="shared" si="9"/>
        <v>0</v>
      </c>
      <c r="I78" s="1700">
        <f t="shared" si="9"/>
        <v>83085</v>
      </c>
      <c r="J78" s="1700">
        <f t="shared" si="9"/>
        <v>-682</v>
      </c>
      <c r="K78" s="1700">
        <f t="shared" si="9"/>
        <v>-2031683</v>
      </c>
      <c r="L78" s="533"/>
    </row>
    <row r="79" spans="1:12" ht="13.5" thickTop="1" x14ac:dyDescent="0.2">
      <c r="A79" s="1494" t="s">
        <v>1945</v>
      </c>
      <c r="B79" s="534"/>
      <c r="C79" s="478">
        <v>2028592</v>
      </c>
      <c r="D79" s="535">
        <v>402717</v>
      </c>
      <c r="E79" s="535">
        <v>505399</v>
      </c>
      <c r="F79" s="535">
        <v>421983</v>
      </c>
      <c r="G79" s="535">
        <v>479884</v>
      </c>
      <c r="H79" s="535"/>
      <c r="I79" s="535">
        <v>163723</v>
      </c>
      <c r="J79" s="535">
        <v>166488</v>
      </c>
      <c r="K79" s="535">
        <v>2768844</v>
      </c>
      <c r="L79" s="347"/>
    </row>
    <row r="80" spans="1:12" x14ac:dyDescent="0.2">
      <c r="A80" s="2149" t="s">
        <v>1792</v>
      </c>
      <c r="B80" s="2150"/>
      <c r="C80" s="467"/>
      <c r="D80" s="467"/>
      <c r="E80" s="467"/>
      <c r="F80" s="467"/>
      <c r="G80" s="467"/>
      <c r="H80" s="467"/>
      <c r="I80" s="467"/>
      <c r="J80" s="467"/>
      <c r="K80" s="467"/>
      <c r="L80" s="347"/>
    </row>
    <row r="81" spans="1:12" ht="13.5" thickBot="1" x14ac:dyDescent="0.25">
      <c r="A81" s="2141" t="s">
        <v>1946</v>
      </c>
      <c r="B81" s="2142"/>
      <c r="C81" s="1686">
        <f>(SUM(C78:C80))</f>
        <v>2170083</v>
      </c>
      <c r="D81" s="1686">
        <f>SUM(D78:D80)</f>
        <v>247548</v>
      </c>
      <c r="E81" s="1686">
        <f t="shared" ref="E81:K81" si="10">SUM(E78:E80)</f>
        <v>304455</v>
      </c>
      <c r="F81" s="1686">
        <f t="shared" si="10"/>
        <v>510202</v>
      </c>
      <c r="G81" s="1686">
        <f t="shared" si="10"/>
        <v>435873</v>
      </c>
      <c r="H81" s="1686">
        <f t="shared" si="10"/>
        <v>0</v>
      </c>
      <c r="I81" s="1686">
        <f t="shared" si="10"/>
        <v>246808</v>
      </c>
      <c r="J81" s="1686">
        <f t="shared" si="10"/>
        <v>165806</v>
      </c>
      <c r="K81" s="1686">
        <f t="shared" si="10"/>
        <v>737161</v>
      </c>
      <c r="L81" s="347"/>
    </row>
    <row r="82" spans="1:12" ht="0.75" customHeight="1" thickTop="1" thickBot="1" x14ac:dyDescent="0.25">
      <c r="A82" s="536" t="s">
        <v>343</v>
      </c>
      <c r="B82" s="537"/>
      <c r="C82" s="538">
        <f>(C81-C79)</f>
        <v>141491</v>
      </c>
      <c r="D82" s="538">
        <f t="shared" ref="D82:K82" si="11">(D81-D79)</f>
        <v>-155169</v>
      </c>
      <c r="E82" s="538">
        <f t="shared" si="11"/>
        <v>-200944</v>
      </c>
      <c r="F82" s="538">
        <f t="shared" si="11"/>
        <v>88219</v>
      </c>
      <c r="G82" s="538">
        <f t="shared" si="11"/>
        <v>-44011</v>
      </c>
      <c r="H82" s="538">
        <f t="shared" si="11"/>
        <v>0</v>
      </c>
      <c r="I82" s="538">
        <f t="shared" si="11"/>
        <v>83085</v>
      </c>
      <c r="J82" s="538">
        <f t="shared" si="11"/>
        <v>-682</v>
      </c>
      <c r="K82" s="538">
        <f t="shared" si="11"/>
        <v>-2031683</v>
      </c>
    </row>
    <row r="83" spans="1:12" ht="14.25" hidden="1" thickTop="1" thickBot="1" x14ac:dyDescent="0.25">
      <c r="A83" s="539" t="s">
        <v>344</v>
      </c>
      <c r="B83" s="464"/>
      <c r="C83" s="540">
        <f>C82/C81</f>
        <v>6.5200731953570443E-2</v>
      </c>
      <c r="D83" s="540">
        <f t="shared" ref="D83:K83" si="12">D82/D81</f>
        <v>-0.62682388870037331</v>
      </c>
      <c r="E83" s="540">
        <f t="shared" si="12"/>
        <v>-0.66001215286331316</v>
      </c>
      <c r="F83" s="540">
        <f t="shared" si="12"/>
        <v>0.17290994547257754</v>
      </c>
      <c r="G83" s="540">
        <f t="shared" si="12"/>
        <v>-0.1009720721402794</v>
      </c>
      <c r="H83" s="540" t="e">
        <f t="shared" si="12"/>
        <v>#DIV/0!</v>
      </c>
      <c r="I83" s="540">
        <f t="shared" si="12"/>
        <v>0.33663819649282034</v>
      </c>
      <c r="J83" s="540">
        <f t="shared" si="12"/>
        <v>-4.1132407753639794E-3</v>
      </c>
      <c r="K83" s="540">
        <f t="shared" si="12"/>
        <v>-2.7560912744977015</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activeCell="B7" sqref="B7"/>
      <selection pane="bottomLeft" activeCell="C72" sqref="C7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5" t="s">
        <v>1799</v>
      </c>
      <c r="B1" s="452"/>
      <c r="C1" s="453" t="s">
        <v>425</v>
      </c>
      <c r="D1" s="453" t="s">
        <v>426</v>
      </c>
      <c r="E1" s="453" t="s">
        <v>427</v>
      </c>
      <c r="F1" s="453" t="s">
        <v>428</v>
      </c>
      <c r="G1" s="453" t="s">
        <v>429</v>
      </c>
      <c r="H1" s="453" t="s">
        <v>430</v>
      </c>
      <c r="I1" s="453" t="s">
        <v>431</v>
      </c>
      <c r="J1" s="453" t="s">
        <v>432</v>
      </c>
      <c r="K1" s="453" t="s">
        <v>756</v>
      </c>
    </row>
    <row r="2" spans="1:12" ht="36" x14ac:dyDescent="0.2">
      <c r="A2" s="214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5841966</v>
      </c>
      <c r="D5" s="481">
        <v>797731</v>
      </c>
      <c r="E5" s="466">
        <v>154716</v>
      </c>
      <c r="F5" s="548">
        <v>322316</v>
      </c>
      <c r="G5" s="466">
        <v>174534</v>
      </c>
      <c r="H5" s="466"/>
      <c r="I5" s="466">
        <v>80577</v>
      </c>
      <c r="J5" s="467">
        <v>299235</v>
      </c>
      <c r="K5" s="466">
        <v>80577</v>
      </c>
    </row>
    <row r="6" spans="1:12" ht="15" x14ac:dyDescent="0.2">
      <c r="A6" s="463" t="s">
        <v>1662</v>
      </c>
      <c r="B6" s="470">
        <v>1130</v>
      </c>
      <c r="C6" s="466">
        <v>80577</v>
      </c>
      <c r="D6" s="466"/>
      <c r="E6" s="475"/>
      <c r="F6" s="475"/>
      <c r="G6" s="468"/>
      <c r="H6" s="468"/>
      <c r="I6" s="468"/>
      <c r="J6" s="468"/>
      <c r="K6" s="468"/>
    </row>
    <row r="7" spans="1:12" x14ac:dyDescent="0.2">
      <c r="A7" s="463" t="s">
        <v>110</v>
      </c>
      <c r="B7" s="549">
        <v>1140</v>
      </c>
      <c r="C7" s="466">
        <v>64461</v>
      </c>
      <c r="D7" s="466"/>
      <c r="E7" s="468"/>
      <c r="F7" s="467"/>
      <c r="G7" s="467"/>
      <c r="H7" s="467"/>
      <c r="I7" s="468"/>
      <c r="J7" s="468"/>
      <c r="K7" s="468"/>
    </row>
    <row r="8" spans="1:12" x14ac:dyDescent="0.2">
      <c r="A8" s="463" t="s">
        <v>413</v>
      </c>
      <c r="B8" s="470">
        <v>1150</v>
      </c>
      <c r="C8" s="475"/>
      <c r="D8" s="475"/>
      <c r="E8" s="477"/>
      <c r="F8" s="477"/>
      <c r="G8" s="481">
        <v>124701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5987004</v>
      </c>
      <c r="D12" s="1705">
        <f t="shared" si="0"/>
        <v>797731</v>
      </c>
      <c r="E12" s="1705">
        <f t="shared" si="0"/>
        <v>154716</v>
      </c>
      <c r="F12" s="1705">
        <f t="shared" si="0"/>
        <v>322316</v>
      </c>
      <c r="G12" s="1705">
        <f t="shared" si="0"/>
        <v>299235</v>
      </c>
      <c r="H12" s="1705">
        <f t="shared" si="0"/>
        <v>0</v>
      </c>
      <c r="I12" s="1705">
        <f t="shared" si="0"/>
        <v>80577</v>
      </c>
      <c r="J12" s="1705">
        <f t="shared" si="0"/>
        <v>299235</v>
      </c>
      <c r="K12" s="1686">
        <f t="shared" si="0"/>
        <v>80577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339254</v>
      </c>
      <c r="D16" s="466"/>
      <c r="E16" s="466"/>
      <c r="F16" s="466"/>
      <c r="G16" s="466">
        <v>84000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339254</v>
      </c>
      <c r="D18" s="1708">
        <f t="shared" ref="D18:K18" si="1">SUM(D14:D17)</f>
        <v>0</v>
      </c>
      <c r="E18" s="1708">
        <f t="shared" si="1"/>
        <v>0</v>
      </c>
      <c r="F18" s="1708">
        <f t="shared" si="1"/>
        <v>0</v>
      </c>
      <c r="G18" s="1708">
        <f t="shared" si="1"/>
        <v>84000</v>
      </c>
      <c r="H18" s="1708">
        <f t="shared" si="1"/>
        <v>0</v>
      </c>
      <c r="I18" s="1708">
        <f t="shared" si="1"/>
        <v>0</v>
      </c>
      <c r="J18" s="1708">
        <f t="shared" si="1"/>
        <v>0</v>
      </c>
      <c r="K18" s="1709">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33430</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33430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14741</v>
      </c>
      <c r="D65" s="466">
        <v>3972</v>
      </c>
      <c r="E65" s="466">
        <v>3854</v>
      </c>
      <c r="F65" s="467">
        <v>3734</v>
      </c>
      <c r="G65" s="466">
        <v>5104</v>
      </c>
      <c r="H65" s="466"/>
      <c r="I65" s="466">
        <v>2508</v>
      </c>
      <c r="J65" s="467">
        <v>2045</v>
      </c>
      <c r="K65" s="466">
        <v>7985</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14741</v>
      </c>
      <c r="D67" s="1686">
        <f t="shared" ref="D67:K67" si="2">SUM(D65:D66)</f>
        <v>3972</v>
      </c>
      <c r="E67" s="1686">
        <f t="shared" si="2"/>
        <v>3854</v>
      </c>
      <c r="F67" s="1686">
        <f t="shared" si="2"/>
        <v>3734</v>
      </c>
      <c r="G67" s="1686">
        <f t="shared" si="2"/>
        <v>5104</v>
      </c>
      <c r="H67" s="1686">
        <f t="shared" si="2"/>
        <v>0</v>
      </c>
      <c r="I67" s="1686">
        <f t="shared" si="2"/>
        <v>2508</v>
      </c>
      <c r="J67" s="1686">
        <f t="shared" si="2"/>
        <v>2045</v>
      </c>
      <c r="K67" s="1686">
        <f t="shared" si="2"/>
        <v>7985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124279</v>
      </c>
      <c r="D69" s="468"/>
      <c r="E69" s="468"/>
      <c r="F69" s="468"/>
      <c r="G69" s="468"/>
      <c r="H69" s="468"/>
      <c r="I69" s="468"/>
      <c r="J69" s="468"/>
      <c r="K69" s="468"/>
    </row>
    <row r="70" spans="1:11" ht="12.75" customHeight="1" x14ac:dyDescent="0.2">
      <c r="A70" s="463" t="s">
        <v>997</v>
      </c>
      <c r="B70" s="470">
        <v>1612</v>
      </c>
      <c r="C70" s="551">
        <v>11594</v>
      </c>
      <c r="D70" s="468"/>
      <c r="E70" s="468"/>
      <c r="F70" s="468"/>
      <c r="G70" s="468"/>
      <c r="H70" s="468"/>
      <c r="I70" s="468"/>
      <c r="J70" s="468"/>
      <c r="K70" s="468"/>
    </row>
    <row r="71" spans="1:11" ht="12.75" customHeight="1" x14ac:dyDescent="0.2">
      <c r="A71" s="463" t="s">
        <v>273</v>
      </c>
      <c r="B71" s="470">
        <v>1613</v>
      </c>
      <c r="C71" s="551">
        <v>5496</v>
      </c>
      <c r="D71" s="468"/>
      <c r="E71" s="468"/>
      <c r="F71" s="468"/>
      <c r="G71" s="468"/>
      <c r="H71" s="468"/>
      <c r="I71" s="468"/>
      <c r="J71" s="468"/>
      <c r="K71" s="468"/>
    </row>
    <row r="72" spans="1:11" ht="12.75" customHeight="1" x14ac:dyDescent="0.2">
      <c r="A72" s="463" t="s">
        <v>24</v>
      </c>
      <c r="B72" s="470">
        <v>1614</v>
      </c>
      <c r="C72" s="551">
        <v>463</v>
      </c>
      <c r="D72" s="468"/>
      <c r="E72" s="468"/>
      <c r="F72" s="468"/>
      <c r="G72" s="468"/>
      <c r="H72" s="468"/>
      <c r="I72" s="468"/>
      <c r="J72" s="468"/>
      <c r="K72" s="468"/>
    </row>
    <row r="73" spans="1:11" ht="12.75" customHeight="1" x14ac:dyDescent="0.2">
      <c r="A73" s="463" t="s">
        <v>998</v>
      </c>
      <c r="B73" s="470">
        <v>1620</v>
      </c>
      <c r="C73" s="551">
        <v>4356</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146188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16288</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4650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29333</v>
      </c>
      <c r="D81" s="466"/>
      <c r="E81" s="468"/>
      <c r="F81" s="468"/>
      <c r="G81" s="468"/>
      <c r="H81" s="468"/>
      <c r="I81" s="468"/>
      <c r="J81" s="468"/>
      <c r="K81" s="468"/>
    </row>
    <row r="82" spans="1:11" ht="12.75" customHeight="1" thickBot="1" x14ac:dyDescent="0.25">
      <c r="A82" s="1706" t="s">
        <v>241</v>
      </c>
      <c r="B82" s="1707"/>
      <c r="C82" s="1705">
        <f>SUM(C77:C81)</f>
        <v>50271</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82510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v>5529</v>
      </c>
      <c r="D92" s="468"/>
      <c r="E92" s="468"/>
      <c r="F92" s="468"/>
      <c r="G92" s="468"/>
      <c r="H92" s="468"/>
      <c r="I92" s="468"/>
      <c r="J92" s="468"/>
      <c r="K92" s="468"/>
    </row>
    <row r="93" spans="1:11" ht="12.75" customHeight="1" thickBot="1" x14ac:dyDescent="0.25">
      <c r="A93" s="1706" t="s">
        <v>243</v>
      </c>
      <c r="B93" s="1707"/>
      <c r="C93" s="1686">
        <f>SUM(C84:C92)</f>
        <v>88039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v>41673</v>
      </c>
      <c r="E100" s="489"/>
      <c r="F100" s="489"/>
      <c r="G100" s="489"/>
      <c r="H100" s="489"/>
      <c r="I100" s="467"/>
      <c r="J100" s="489"/>
      <c r="K100" s="467"/>
    </row>
    <row r="101" spans="1:12" ht="12.75" customHeight="1" x14ac:dyDescent="0.2">
      <c r="A101" s="463" t="s">
        <v>246</v>
      </c>
      <c r="B101" s="470">
        <v>1970</v>
      </c>
      <c r="C101" s="489">
        <v>2476</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80941</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22076+571</f>
        <v>22647</v>
      </c>
      <c r="D107" s="466">
        <v>3538</v>
      </c>
      <c r="E107" s="466"/>
      <c r="F107" s="466">
        <v>7498</v>
      </c>
      <c r="G107" s="466"/>
      <c r="H107" s="466"/>
      <c r="I107" s="466"/>
      <c r="J107" s="467">
        <v>8690</v>
      </c>
      <c r="K107" s="466"/>
    </row>
    <row r="108" spans="1:12" ht="12.75" customHeight="1" thickBot="1" x14ac:dyDescent="0.25">
      <c r="A108" s="1706" t="s">
        <v>487</v>
      </c>
      <c r="B108" s="1710"/>
      <c r="C108" s="1705">
        <f>SUM(C95:C107)</f>
        <v>25123</v>
      </c>
      <c r="D108" s="1705">
        <f t="shared" ref="D108:K108" si="3">SUM(D95:D107)</f>
        <v>45211</v>
      </c>
      <c r="E108" s="1705">
        <f t="shared" si="3"/>
        <v>80941</v>
      </c>
      <c r="F108" s="1705">
        <f t="shared" si="3"/>
        <v>7498</v>
      </c>
      <c r="G108" s="1705">
        <f t="shared" si="3"/>
        <v>0</v>
      </c>
      <c r="H108" s="1705">
        <f t="shared" si="3"/>
        <v>0</v>
      </c>
      <c r="I108" s="1705">
        <f t="shared" si="3"/>
        <v>0</v>
      </c>
      <c r="J108" s="1705">
        <f t="shared" si="3"/>
        <v>8690</v>
      </c>
      <c r="K108" s="1686">
        <f t="shared" si="3"/>
        <v>0</v>
      </c>
    </row>
    <row r="109" spans="1:12" ht="14.25" thickTop="1" thickBot="1" x14ac:dyDescent="0.25">
      <c r="A109" s="1711" t="s">
        <v>248</v>
      </c>
      <c r="B109" s="1712" t="s">
        <v>570</v>
      </c>
      <c r="C109" s="1713">
        <f t="shared" ref="C109:K109" si="4">SUM(C12,C18,C40,C63,C67,C75,C82,C93,C108,)</f>
        <v>6684050</v>
      </c>
      <c r="D109" s="1713">
        <f t="shared" si="4"/>
        <v>846914</v>
      </c>
      <c r="E109" s="1713">
        <f t="shared" si="4"/>
        <v>239511</v>
      </c>
      <c r="F109" s="1713">
        <f t="shared" si="4"/>
        <v>333548</v>
      </c>
      <c r="G109" s="1713">
        <f t="shared" si="4"/>
        <v>388339</v>
      </c>
      <c r="H109" s="1713">
        <f t="shared" si="4"/>
        <v>0</v>
      </c>
      <c r="I109" s="1713">
        <f t="shared" si="4"/>
        <v>83085</v>
      </c>
      <c r="J109" s="1713">
        <f t="shared" si="4"/>
        <v>309970</v>
      </c>
      <c r="K109" s="1700">
        <f t="shared" si="4"/>
        <v>88562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2250019</v>
      </c>
      <c r="D117" s="481">
        <v>250000</v>
      </c>
      <c r="E117" s="466"/>
      <c r="F117" s="481">
        <v>100000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8"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2250019</v>
      </c>
      <c r="D122" s="1705">
        <f t="shared" si="5"/>
        <v>250000</v>
      </c>
      <c r="E122" s="1705">
        <f t="shared" si="5"/>
        <v>0</v>
      </c>
      <c r="F122" s="1705">
        <f t="shared" si="5"/>
        <v>100000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63666</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27497</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91163</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15375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5547</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20922</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3947</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15112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483118</v>
      </c>
      <c r="G152" s="467"/>
      <c r="H152" s="468"/>
      <c r="I152" s="468"/>
      <c r="J152" s="468"/>
      <c r="K152" s="468"/>
    </row>
    <row r="153" spans="1:11" ht="12.75" customHeight="1" x14ac:dyDescent="0.2">
      <c r="A153" s="463" t="s">
        <v>1057</v>
      </c>
      <c r="B153" s="562">
        <v>3510</v>
      </c>
      <c r="C153" s="551"/>
      <c r="D153" s="466"/>
      <c r="E153" s="561"/>
      <c r="F153" s="466">
        <v>196348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679466</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v>9005</v>
      </c>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2647</v>
      </c>
      <c r="D168" s="580"/>
      <c r="E168" s="580"/>
      <c r="F168" s="580"/>
      <c r="G168" s="581"/>
      <c r="H168" s="582"/>
      <c r="I168" s="581"/>
      <c r="J168" s="581"/>
      <c r="K168" s="582"/>
    </row>
    <row r="169" spans="1:11" ht="12.75" customHeight="1" thickTop="1" thickBot="1" x14ac:dyDescent="0.25">
      <c r="A169" s="2165" t="s">
        <v>398</v>
      </c>
      <c r="B169" s="2166"/>
      <c r="C169" s="1720">
        <f t="shared" ref="C169:K169" si="6">SUM(C132,C141,C145,C146:C150,C155,C156:C167,C168)</f>
        <v>133791</v>
      </c>
      <c r="D169" s="1720">
        <f t="shared" si="6"/>
        <v>9005</v>
      </c>
      <c r="E169" s="1720">
        <f t="shared" si="6"/>
        <v>0</v>
      </c>
      <c r="F169" s="1720">
        <f t="shared" si="6"/>
        <v>679466</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2383810</v>
      </c>
      <c r="D170" s="1713">
        <f t="shared" si="7"/>
        <v>259005</v>
      </c>
      <c r="E170" s="1713">
        <f t="shared" si="7"/>
        <v>0</v>
      </c>
      <c r="F170" s="1713">
        <f t="shared" si="7"/>
        <v>779466</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67" t="s">
        <v>1492</v>
      </c>
      <c r="B172" s="216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71" t="s">
        <v>1665</v>
      </c>
      <c r="B175" s="2172"/>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75" t="s">
        <v>1664</v>
      </c>
      <c r="B176" s="217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73" t="s">
        <v>785</v>
      </c>
      <c r="B181" s="2174"/>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69" t="s">
        <v>1800</v>
      </c>
      <c r="B182" s="217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184556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52117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236673</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110590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110590</v>
      </c>
      <c r="D204" s="1705">
        <f>SUM(D200:D203)</f>
        <v>0</v>
      </c>
      <c r="E204" s="468"/>
      <c r="F204" s="1705">
        <f>SUM(F200:F203)</f>
        <v>0</v>
      </c>
      <c r="G204" s="1705">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4421</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4421</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250210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250210</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9486</v>
      </c>
      <c r="D220" s="466"/>
      <c r="E220" s="468"/>
      <c r="F220" s="468"/>
      <c r="G220" s="466"/>
      <c r="H220" s="468"/>
      <c r="I220" s="468"/>
      <c r="J220" s="468"/>
      <c r="K220" s="468"/>
    </row>
    <row r="221" spans="1:11" ht="12.75" customHeight="1" thickBot="1" x14ac:dyDescent="0.25">
      <c r="A221" s="1721" t="s">
        <v>1085</v>
      </c>
      <c r="B221" s="1722"/>
      <c r="C221" s="1705">
        <f>SUM(C219:C220)</f>
        <v>9486</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16716</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1933</v>
      </c>
      <c r="B261" s="470">
        <v>4981</v>
      </c>
      <c r="C261" s="575"/>
      <c r="D261" s="576"/>
      <c r="E261" s="468"/>
      <c r="F261" s="576"/>
      <c r="G261" s="576"/>
      <c r="H261" s="468"/>
      <c r="I261" s="468"/>
      <c r="J261" s="468"/>
      <c r="K261" s="468"/>
    </row>
    <row r="262" spans="1:11" ht="12.75" customHeight="1" thickTop="1" thickBot="1" x14ac:dyDescent="0.25">
      <c r="A262" s="1929"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12711</v>
      </c>
      <c r="D263" s="576"/>
      <c r="E263" s="468"/>
      <c r="F263" s="576"/>
      <c r="G263" s="576"/>
      <c r="H263" s="468"/>
      <c r="I263" s="468"/>
      <c r="J263" s="468"/>
      <c r="K263" s="468"/>
    </row>
    <row r="264" spans="1:11" ht="12.75" customHeight="1" thickTop="1" thickBot="1" x14ac:dyDescent="0.25">
      <c r="A264" s="463" t="s">
        <v>377</v>
      </c>
      <c r="B264" s="470">
        <v>4992</v>
      </c>
      <c r="C264" s="575">
        <v>7463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648270</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648270</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9716130</v>
      </c>
      <c r="D268" s="1713">
        <f t="shared" si="12"/>
        <v>1105919</v>
      </c>
      <c r="E268" s="1713">
        <f t="shared" si="12"/>
        <v>239511</v>
      </c>
      <c r="F268" s="1713">
        <f t="shared" si="12"/>
        <v>1113014</v>
      </c>
      <c r="G268" s="1713">
        <f t="shared" si="12"/>
        <v>388339</v>
      </c>
      <c r="H268" s="1713">
        <f t="shared" si="12"/>
        <v>0</v>
      </c>
      <c r="I268" s="1713">
        <f t="shared" si="12"/>
        <v>83085</v>
      </c>
      <c r="J268" s="1713">
        <f t="shared" si="12"/>
        <v>309970</v>
      </c>
      <c r="K268" s="1700">
        <f t="shared" si="12"/>
        <v>88562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7" sqref="B7"/>
      <selection pane="bottomLeft" activeCell="B7" sqref="B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3" t="s">
        <v>297</v>
      </c>
      <c r="B3" s="218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3315314</v>
      </c>
      <c r="D5" s="466">
        <v>634862</v>
      </c>
      <c r="E5" s="466"/>
      <c r="F5" s="466">
        <v>75208</v>
      </c>
      <c r="G5" s="466">
        <v>4948</v>
      </c>
      <c r="H5" s="466"/>
      <c r="I5" s="467"/>
      <c r="J5" s="467"/>
      <c r="K5" s="1669">
        <f>SUM(C5:J5)</f>
        <v>4030332</v>
      </c>
      <c r="L5" s="466">
        <v>4172678</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1017906</v>
      </c>
      <c r="D8" s="466">
        <v>133295</v>
      </c>
      <c r="E8" s="466"/>
      <c r="F8" s="466">
        <v>11</v>
      </c>
      <c r="G8" s="466"/>
      <c r="H8" s="466"/>
      <c r="I8" s="467"/>
      <c r="J8" s="467"/>
      <c r="K8" s="1669">
        <f t="shared" si="0"/>
        <v>1151212</v>
      </c>
      <c r="L8" s="466">
        <v>1175357</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141851</v>
      </c>
      <c r="D10" s="466">
        <v>32025</v>
      </c>
      <c r="E10" s="466"/>
      <c r="F10" s="466">
        <v>3007</v>
      </c>
      <c r="G10" s="466">
        <v>7628</v>
      </c>
      <c r="H10" s="466"/>
      <c r="I10" s="467"/>
      <c r="J10" s="467"/>
      <c r="K10" s="1669">
        <f t="shared" si="0"/>
        <v>184511</v>
      </c>
      <c r="L10" s="466">
        <v>127398</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v>167212</v>
      </c>
      <c r="D13" s="466">
        <v>38360</v>
      </c>
      <c r="E13" s="466">
        <v>33250</v>
      </c>
      <c r="F13" s="466"/>
      <c r="G13" s="466">
        <v>5655</v>
      </c>
      <c r="H13" s="466"/>
      <c r="I13" s="467"/>
      <c r="J13" s="467"/>
      <c r="K13" s="1669">
        <f t="shared" si="0"/>
        <v>244477</v>
      </c>
      <c r="L13" s="466">
        <v>263120</v>
      </c>
    </row>
    <row r="14" spans="1:14" x14ac:dyDescent="0.2">
      <c r="A14" s="1504" t="s">
        <v>963</v>
      </c>
      <c r="B14" s="614">
        <v>1500</v>
      </c>
      <c r="C14" s="466">
        <v>200333</v>
      </c>
      <c r="D14" s="466">
        <v>38271</v>
      </c>
      <c r="E14" s="466">
        <v>26239</v>
      </c>
      <c r="F14" s="466">
        <v>13718</v>
      </c>
      <c r="G14" s="466">
        <v>6731</v>
      </c>
      <c r="H14" s="466">
        <v>13775</v>
      </c>
      <c r="I14" s="467"/>
      <c r="J14" s="467"/>
      <c r="K14" s="1669">
        <f t="shared" si="0"/>
        <v>299067</v>
      </c>
      <c r="L14" s="466">
        <v>311788</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v>73072</v>
      </c>
      <c r="D17" s="467">
        <v>10137</v>
      </c>
      <c r="E17" s="467">
        <v>5215</v>
      </c>
      <c r="F17" s="467"/>
      <c r="G17" s="467"/>
      <c r="H17" s="467"/>
      <c r="I17" s="467"/>
      <c r="J17" s="467"/>
      <c r="K17" s="1669">
        <f t="shared" si="0"/>
        <v>88424</v>
      </c>
      <c r="L17" s="466">
        <v>92665</v>
      </c>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4915688</v>
      </c>
      <c r="D33" s="1668">
        <f t="shared" ref="D33:L33" si="1">SUM(D5:D32)</f>
        <v>886950</v>
      </c>
      <c r="E33" s="1668">
        <f t="shared" si="1"/>
        <v>64704</v>
      </c>
      <c r="F33" s="1668">
        <f t="shared" si="1"/>
        <v>91944</v>
      </c>
      <c r="G33" s="1668">
        <f t="shared" si="1"/>
        <v>24962</v>
      </c>
      <c r="H33" s="1668">
        <f t="shared" si="1"/>
        <v>13775</v>
      </c>
      <c r="I33" s="1668">
        <f t="shared" si="1"/>
        <v>0</v>
      </c>
      <c r="J33" s="1668">
        <f t="shared" si="1"/>
        <v>0</v>
      </c>
      <c r="K33" s="1668">
        <f t="shared" si="1"/>
        <v>5998023</v>
      </c>
      <c r="L33" s="1668">
        <f t="shared" si="1"/>
        <v>6143006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v>181395</v>
      </c>
      <c r="D37" s="466">
        <v>27526</v>
      </c>
      <c r="E37" s="466"/>
      <c r="F37" s="466">
        <v>1433</v>
      </c>
      <c r="G37" s="466"/>
      <c r="H37" s="466"/>
      <c r="I37" s="467"/>
      <c r="J37" s="467"/>
      <c r="K37" s="1669">
        <f t="shared" si="2"/>
        <v>210354</v>
      </c>
      <c r="L37" s="466">
        <v>217935</v>
      </c>
    </row>
    <row r="38" spans="1:14" x14ac:dyDescent="0.2">
      <c r="A38" s="1504" t="s">
        <v>198</v>
      </c>
      <c r="B38" s="614">
        <v>2130</v>
      </c>
      <c r="C38" s="466"/>
      <c r="D38" s="466"/>
      <c r="E38" s="466">
        <v>42253</v>
      </c>
      <c r="F38" s="466">
        <v>3926</v>
      </c>
      <c r="G38" s="466"/>
      <c r="H38" s="466"/>
      <c r="I38" s="467"/>
      <c r="J38" s="467"/>
      <c r="K38" s="1669">
        <f t="shared" si="2"/>
        <v>46179</v>
      </c>
      <c r="L38" s="466">
        <v>58000</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v>46228</v>
      </c>
      <c r="D40" s="466">
        <v>10605</v>
      </c>
      <c r="E40" s="466">
        <v>15807</v>
      </c>
      <c r="F40" s="466">
        <v>532</v>
      </c>
      <c r="G40" s="466"/>
      <c r="H40" s="466"/>
      <c r="I40" s="467"/>
      <c r="J40" s="467"/>
      <c r="K40" s="1669">
        <f t="shared" si="2"/>
        <v>73172</v>
      </c>
      <c r="L40" s="466">
        <v>79270</v>
      </c>
    </row>
    <row r="41" spans="1:14" x14ac:dyDescent="0.2">
      <c r="A41" s="1504" t="s">
        <v>1669</v>
      </c>
      <c r="B41" s="614">
        <v>2190</v>
      </c>
      <c r="C41" s="466">
        <v>3264</v>
      </c>
      <c r="D41" s="466">
        <v>581</v>
      </c>
      <c r="E41" s="466">
        <v>4470</v>
      </c>
      <c r="F41" s="466"/>
      <c r="G41" s="466"/>
      <c r="H41" s="466"/>
      <c r="I41" s="467"/>
      <c r="J41" s="467"/>
      <c r="K41" s="1669">
        <f t="shared" si="2"/>
        <v>8315</v>
      </c>
      <c r="L41" s="466">
        <v>8940</v>
      </c>
    </row>
    <row r="42" spans="1:14" ht="12.75" customHeight="1" thickBot="1" x14ac:dyDescent="0.25">
      <c r="A42" s="1666" t="s">
        <v>560</v>
      </c>
      <c r="B42" s="1667" t="s">
        <v>716</v>
      </c>
      <c r="C42" s="1668">
        <f>SUM(C36:C41)</f>
        <v>230887</v>
      </c>
      <c r="D42" s="1668">
        <f t="shared" ref="D42:L42" si="3">SUM(D36:D41)</f>
        <v>38712</v>
      </c>
      <c r="E42" s="1668">
        <f t="shared" si="3"/>
        <v>62530</v>
      </c>
      <c r="F42" s="1668">
        <f t="shared" si="3"/>
        <v>5891</v>
      </c>
      <c r="G42" s="1668">
        <f t="shared" si="3"/>
        <v>0</v>
      </c>
      <c r="H42" s="1668">
        <f t="shared" si="3"/>
        <v>0</v>
      </c>
      <c r="I42" s="1668">
        <f t="shared" si="3"/>
        <v>0</v>
      </c>
      <c r="J42" s="1668">
        <f t="shared" si="3"/>
        <v>0</v>
      </c>
      <c r="K42" s="1668">
        <f t="shared" si="3"/>
        <v>338020</v>
      </c>
      <c r="L42" s="1668">
        <f t="shared" si="3"/>
        <v>364145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7959</v>
      </c>
      <c r="D44" s="481">
        <v>1390</v>
      </c>
      <c r="E44" s="481">
        <v>23772</v>
      </c>
      <c r="F44" s="481"/>
      <c r="G44" s="481"/>
      <c r="H44" s="481">
        <v>3000</v>
      </c>
      <c r="I44" s="467"/>
      <c r="J44" s="467"/>
      <c r="K44" s="1670">
        <f>SUM(C44:J44)</f>
        <v>36121</v>
      </c>
      <c r="L44" s="481">
        <v>67597</v>
      </c>
    </row>
    <row r="45" spans="1:14" x14ac:dyDescent="0.2">
      <c r="A45" s="1504" t="s">
        <v>815</v>
      </c>
      <c r="B45" s="614">
        <v>2220</v>
      </c>
      <c r="C45" s="466">
        <v>102654</v>
      </c>
      <c r="D45" s="466">
        <v>10255</v>
      </c>
      <c r="E45" s="466">
        <v>12862</v>
      </c>
      <c r="F45" s="466">
        <v>7121</v>
      </c>
      <c r="G45" s="466"/>
      <c r="H45" s="466"/>
      <c r="I45" s="467"/>
      <c r="J45" s="467"/>
      <c r="K45" s="1670">
        <f>SUM(C45:J45)</f>
        <v>132892</v>
      </c>
      <c r="L45" s="466">
        <v>135960</v>
      </c>
    </row>
    <row r="46" spans="1:14" x14ac:dyDescent="0.2">
      <c r="A46" s="1504" t="s">
        <v>816</v>
      </c>
      <c r="B46" s="614">
        <v>2230</v>
      </c>
      <c r="C46" s="466"/>
      <c r="D46" s="466"/>
      <c r="E46" s="466">
        <v>20177</v>
      </c>
      <c r="F46" s="466"/>
      <c r="G46" s="466"/>
      <c r="H46" s="466"/>
      <c r="I46" s="467"/>
      <c r="J46" s="467"/>
      <c r="K46" s="1670">
        <f>SUM(C46:J46)</f>
        <v>20177</v>
      </c>
      <c r="L46" s="466">
        <v>20000</v>
      </c>
    </row>
    <row r="47" spans="1:14" ht="12.75" customHeight="1" thickBot="1" x14ac:dyDescent="0.25">
      <c r="A47" s="1666" t="s">
        <v>561</v>
      </c>
      <c r="B47" s="1667" t="s">
        <v>32</v>
      </c>
      <c r="C47" s="1668">
        <f>SUM(C44:C46)</f>
        <v>110613</v>
      </c>
      <c r="D47" s="1668">
        <f t="shared" ref="D47:K47" si="4">SUM(D44:D46)</f>
        <v>11645</v>
      </c>
      <c r="E47" s="1668">
        <f t="shared" si="4"/>
        <v>56811</v>
      </c>
      <c r="F47" s="1668">
        <f t="shared" si="4"/>
        <v>7121</v>
      </c>
      <c r="G47" s="1668">
        <f t="shared" si="4"/>
        <v>0</v>
      </c>
      <c r="H47" s="1668">
        <f t="shared" si="4"/>
        <v>3000</v>
      </c>
      <c r="I47" s="1668">
        <f t="shared" si="4"/>
        <v>0</v>
      </c>
      <c r="J47" s="1668">
        <f t="shared" si="4"/>
        <v>0</v>
      </c>
      <c r="K47" s="1668">
        <f t="shared" si="4"/>
        <v>189190</v>
      </c>
      <c r="L47" s="1668">
        <f>SUM(L44:L46)</f>
        <v>223557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v>14400</v>
      </c>
      <c r="E49" s="481">
        <v>74109</v>
      </c>
      <c r="F49" s="481"/>
      <c r="G49" s="481"/>
      <c r="H49" s="481">
        <v>6467</v>
      </c>
      <c r="I49" s="467"/>
      <c r="J49" s="467"/>
      <c r="K49" s="1670">
        <f>SUM(C49:J49)</f>
        <v>94976</v>
      </c>
      <c r="L49" s="481">
        <v>112900</v>
      </c>
    </row>
    <row r="50" spans="1:14" x14ac:dyDescent="0.2">
      <c r="A50" s="1504" t="s">
        <v>818</v>
      </c>
      <c r="B50" s="614">
        <v>2320</v>
      </c>
      <c r="C50" s="466">
        <v>139820</v>
      </c>
      <c r="D50" s="466">
        <v>25818</v>
      </c>
      <c r="E50" s="466"/>
      <c r="F50" s="466">
        <v>329</v>
      </c>
      <c r="G50" s="466"/>
      <c r="H50" s="466"/>
      <c r="I50" s="467"/>
      <c r="J50" s="467"/>
      <c r="K50" s="1670">
        <f>SUM(C50:J50)</f>
        <v>165967</v>
      </c>
      <c r="L50" s="466">
        <v>166095</v>
      </c>
    </row>
    <row r="51" spans="1:14" x14ac:dyDescent="0.2">
      <c r="A51" s="1504" t="s">
        <v>42</v>
      </c>
      <c r="B51" s="614">
        <v>2330</v>
      </c>
      <c r="C51" s="466"/>
      <c r="D51" s="466"/>
      <c r="E51" s="466">
        <f>-263+571</f>
        <v>308</v>
      </c>
      <c r="F51" s="466"/>
      <c r="G51" s="466"/>
      <c r="H51" s="466"/>
      <c r="I51" s="467"/>
      <c r="J51" s="467"/>
      <c r="K51" s="1670">
        <f>SUM(C51:J51)</f>
        <v>308</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139820</v>
      </c>
      <c r="D53" s="1668">
        <f t="shared" ref="D53:L53" si="5">SUM(D49:D52)</f>
        <v>40218</v>
      </c>
      <c r="E53" s="1668">
        <f t="shared" si="5"/>
        <v>74417</v>
      </c>
      <c r="F53" s="1668">
        <f t="shared" si="5"/>
        <v>329</v>
      </c>
      <c r="G53" s="1668">
        <f t="shared" si="5"/>
        <v>0</v>
      </c>
      <c r="H53" s="1668">
        <f t="shared" si="5"/>
        <v>6467</v>
      </c>
      <c r="I53" s="1668">
        <f t="shared" si="5"/>
        <v>0</v>
      </c>
      <c r="J53" s="1668">
        <f t="shared" si="5"/>
        <v>0</v>
      </c>
      <c r="K53" s="1668">
        <f t="shared" si="5"/>
        <v>261251</v>
      </c>
      <c r="L53" s="1668">
        <f t="shared" si="5"/>
        <v>278995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567582</v>
      </c>
      <c r="D55" s="481">
        <v>137800</v>
      </c>
      <c r="E55" s="481">
        <v>7690</v>
      </c>
      <c r="F55" s="481"/>
      <c r="G55" s="481"/>
      <c r="H55" s="481">
        <v>2207</v>
      </c>
      <c r="I55" s="467"/>
      <c r="J55" s="467"/>
      <c r="K55" s="1670">
        <f>SUM(C55:J55)</f>
        <v>715279</v>
      </c>
      <c r="L55" s="481">
        <v>732573</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567582</v>
      </c>
      <c r="D57" s="1672">
        <f t="shared" ref="D57:K57" si="6">SUM(D55:D56)</f>
        <v>137800</v>
      </c>
      <c r="E57" s="1672">
        <f t="shared" si="6"/>
        <v>7690</v>
      </c>
      <c r="F57" s="1672">
        <f t="shared" si="6"/>
        <v>0</v>
      </c>
      <c r="G57" s="1672">
        <f t="shared" si="6"/>
        <v>0</v>
      </c>
      <c r="H57" s="1672">
        <f t="shared" si="6"/>
        <v>2207</v>
      </c>
      <c r="I57" s="1672">
        <f t="shared" si="6"/>
        <v>0</v>
      </c>
      <c r="J57" s="1672">
        <f t="shared" si="6"/>
        <v>0</v>
      </c>
      <c r="K57" s="1672">
        <f t="shared" si="6"/>
        <v>715279</v>
      </c>
      <c r="L57" s="1668">
        <f>SUM(L55:L56)</f>
        <v>732573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129705</v>
      </c>
      <c r="D60" s="466">
        <v>27340</v>
      </c>
      <c r="E60" s="466"/>
      <c r="F60" s="466">
        <v>10683</v>
      </c>
      <c r="G60" s="466"/>
      <c r="H60" s="466">
        <v>2909</v>
      </c>
      <c r="I60" s="467"/>
      <c r="J60" s="467"/>
      <c r="K60" s="1670">
        <f t="shared" si="7"/>
        <v>170637</v>
      </c>
      <c r="L60" s="466">
        <v>183523</v>
      </c>
      <c r="M60" s="609"/>
      <c r="N60" s="609"/>
    </row>
    <row r="61" spans="1:14" s="343" customFormat="1" x14ac:dyDescent="0.2">
      <c r="A61" s="1504" t="s">
        <v>197</v>
      </c>
      <c r="B61" s="614">
        <v>2540</v>
      </c>
      <c r="C61" s="466"/>
      <c r="D61" s="466"/>
      <c r="E61" s="466">
        <v>45368</v>
      </c>
      <c r="F61" s="466"/>
      <c r="G61" s="466"/>
      <c r="H61" s="466"/>
      <c r="I61" s="467"/>
      <c r="J61" s="467"/>
      <c r="K61" s="1670">
        <f t="shared" si="7"/>
        <v>45368</v>
      </c>
      <c r="L61" s="466">
        <v>50000</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231966</v>
      </c>
      <c r="D63" s="466">
        <v>45745</v>
      </c>
      <c r="E63" s="466">
        <v>1958</v>
      </c>
      <c r="F63" s="466">
        <v>213360</v>
      </c>
      <c r="G63" s="466"/>
      <c r="H63" s="466">
        <v>1396</v>
      </c>
      <c r="I63" s="467"/>
      <c r="J63" s="467"/>
      <c r="K63" s="1670">
        <f t="shared" si="7"/>
        <v>494425</v>
      </c>
      <c r="L63" s="466">
        <v>524188</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361671</v>
      </c>
      <c r="D65" s="1668">
        <f t="shared" ref="D65:L65" si="8">SUM(D59:D64)</f>
        <v>73085</v>
      </c>
      <c r="E65" s="1668">
        <f t="shared" si="8"/>
        <v>47326</v>
      </c>
      <c r="F65" s="1668">
        <f t="shared" si="8"/>
        <v>224043</v>
      </c>
      <c r="G65" s="1668">
        <f t="shared" si="8"/>
        <v>0</v>
      </c>
      <c r="H65" s="1668">
        <f t="shared" si="8"/>
        <v>4305</v>
      </c>
      <c r="I65" s="1668">
        <f t="shared" si="8"/>
        <v>0</v>
      </c>
      <c r="J65" s="1668">
        <f t="shared" si="8"/>
        <v>0</v>
      </c>
      <c r="K65" s="1668">
        <f t="shared" si="8"/>
        <v>710430</v>
      </c>
      <c r="L65" s="1668">
        <f t="shared" si="8"/>
        <v>757711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v>106288</v>
      </c>
      <c r="D71" s="466">
        <v>19835</v>
      </c>
      <c r="E71" s="466"/>
      <c r="F71" s="466">
        <v>58715</v>
      </c>
      <c r="G71" s="466">
        <v>90777</v>
      </c>
      <c r="H71" s="466">
        <v>34068</v>
      </c>
      <c r="I71" s="467"/>
      <c r="J71" s="467"/>
      <c r="K71" s="1670">
        <f>SUM(C71:J71)</f>
        <v>309683</v>
      </c>
      <c r="L71" s="466">
        <v>368902</v>
      </c>
      <c r="M71" s="609"/>
      <c r="N71" s="609"/>
    </row>
    <row r="72" spans="1:14" s="343" customFormat="1" ht="12.75" customHeight="1" thickBot="1" x14ac:dyDescent="0.25">
      <c r="A72" s="1666" t="s">
        <v>37</v>
      </c>
      <c r="B72" s="1673" t="s">
        <v>36</v>
      </c>
      <c r="C72" s="1668">
        <f>SUM(C67:C71)</f>
        <v>106288</v>
      </c>
      <c r="D72" s="1668">
        <f t="shared" ref="D72:K72" si="9">SUM(D67:D71)</f>
        <v>19835</v>
      </c>
      <c r="E72" s="1668">
        <f t="shared" si="9"/>
        <v>0</v>
      </c>
      <c r="F72" s="1668">
        <f t="shared" si="9"/>
        <v>58715</v>
      </c>
      <c r="G72" s="1668">
        <f t="shared" si="9"/>
        <v>90777</v>
      </c>
      <c r="H72" s="1668">
        <f t="shared" si="9"/>
        <v>34068</v>
      </c>
      <c r="I72" s="1668">
        <f t="shared" si="9"/>
        <v>0</v>
      </c>
      <c r="J72" s="1668">
        <f t="shared" si="9"/>
        <v>0</v>
      </c>
      <c r="K72" s="1668">
        <f t="shared" si="9"/>
        <v>309683</v>
      </c>
      <c r="L72" s="1668">
        <f>SUM(L67:L71)</f>
        <v>368902</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1516861</v>
      </c>
      <c r="D74" s="1675">
        <f t="shared" ref="D74:K74" si="10">SUM(D42,D47,D53,D57,D65,D72,D73)</f>
        <v>321295</v>
      </c>
      <c r="E74" s="1675">
        <f t="shared" si="10"/>
        <v>248774</v>
      </c>
      <c r="F74" s="1675">
        <f t="shared" si="10"/>
        <v>296099</v>
      </c>
      <c r="G74" s="1675">
        <f t="shared" si="10"/>
        <v>90777</v>
      </c>
      <c r="H74" s="1675">
        <f t="shared" si="10"/>
        <v>50047</v>
      </c>
      <c r="I74" s="1675">
        <f t="shared" si="10"/>
        <v>0</v>
      </c>
      <c r="J74" s="1675">
        <f t="shared" si="10"/>
        <v>0</v>
      </c>
      <c r="K74" s="1675">
        <f t="shared" si="10"/>
        <v>2523853</v>
      </c>
      <c r="L74" s="1675">
        <f>SUM(L42,L47,L53,L57,L65,L72,L73)</f>
        <v>2725883</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911780</v>
      </c>
      <c r="F79" s="616"/>
      <c r="G79" s="616"/>
      <c r="H79" s="466">
        <v>140079</v>
      </c>
      <c r="I79" s="477"/>
      <c r="J79" s="477"/>
      <c r="K79" s="1669">
        <f t="shared" si="11"/>
        <v>1051859</v>
      </c>
      <c r="L79" s="466">
        <v>1240110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v>904</v>
      </c>
      <c r="F81" s="616"/>
      <c r="G81" s="616"/>
      <c r="H81" s="466"/>
      <c r="I81" s="477"/>
      <c r="J81" s="477"/>
      <c r="K81" s="1669">
        <f t="shared" si="11"/>
        <v>904</v>
      </c>
      <c r="L81" s="466">
        <v>9569</v>
      </c>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912684</v>
      </c>
      <c r="F84" s="616"/>
      <c r="G84" s="616"/>
      <c r="H84" s="1668">
        <f>SUM(H78:H83)</f>
        <v>140079</v>
      </c>
      <c r="I84" s="477"/>
      <c r="J84" s="477"/>
      <c r="K84" s="1668">
        <f>SUM(K78:K83)</f>
        <v>1052763</v>
      </c>
      <c r="L84" s="1668">
        <f>SUM(L78:L83)</f>
        <v>1249679</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c r="I86" s="477"/>
      <c r="J86" s="477"/>
      <c r="K86" s="1675">
        <f t="shared" ref="K86:K98" si="12">H86</f>
        <v>0</v>
      </c>
      <c r="L86" s="530"/>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912684</v>
      </c>
      <c r="F102" s="616"/>
      <c r="G102" s="616"/>
      <c r="H102" s="1675">
        <f>SUM(H84,H92,H100,H101)</f>
        <v>140079</v>
      </c>
      <c r="I102" s="477"/>
      <c r="J102" s="477"/>
      <c r="K102" s="1675">
        <f>SUM(K84,K92,K100,K101)</f>
        <v>1052763</v>
      </c>
      <c r="L102" s="1675">
        <f>SUM(L84,L92,L100,L101)</f>
        <v>1249679</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6432549</v>
      </c>
      <c r="D114" s="1668">
        <f t="shared" ref="D114:K114" si="13">SUM(D33,D74,D75,D102,D112,D113)</f>
        <v>1208245</v>
      </c>
      <c r="E114" s="1668">
        <f t="shared" si="13"/>
        <v>1226162</v>
      </c>
      <c r="F114" s="1668">
        <f t="shared" si="13"/>
        <v>388043</v>
      </c>
      <c r="G114" s="1668">
        <f t="shared" si="13"/>
        <v>115739</v>
      </c>
      <c r="H114" s="1668">
        <f>SUM(H33,H74,H75,H102,H112,H113)</f>
        <v>203901</v>
      </c>
      <c r="I114" s="1668">
        <f t="shared" si="13"/>
        <v>0</v>
      </c>
      <c r="J114" s="1668">
        <f t="shared" si="13"/>
        <v>0</v>
      </c>
      <c r="K114" s="1668">
        <f t="shared" si="13"/>
        <v>9574639</v>
      </c>
      <c r="L114" s="1668">
        <f>SUM(L33,L74,L75,L102,L112,L113)</f>
        <v>10118568</v>
      </c>
    </row>
    <row r="115" spans="1:14" ht="13.5" thickTop="1" x14ac:dyDescent="0.2">
      <c r="A115" s="2202" t="s">
        <v>996</v>
      </c>
      <c r="B115" s="2203"/>
      <c r="C115" s="618"/>
      <c r="D115" s="618"/>
      <c r="E115" s="618"/>
      <c r="F115" s="618"/>
      <c r="G115" s="618"/>
      <c r="H115" s="618"/>
      <c r="I115" s="618"/>
      <c r="J115" s="618"/>
      <c r="K115" s="1682">
        <f>'Revenues 9-14'!C268-'Expenditures 15-22'!K114</f>
        <v>141491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0" t="s">
        <v>296</v>
      </c>
      <c r="B117" s="218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v>474854</v>
      </c>
      <c r="D124" s="466">
        <v>69384</v>
      </c>
      <c r="E124" s="466">
        <v>291085</v>
      </c>
      <c r="F124" s="466">
        <v>336372</v>
      </c>
      <c r="G124" s="466">
        <v>89393</v>
      </c>
      <c r="H124" s="466"/>
      <c r="I124" s="467"/>
      <c r="J124" s="467"/>
      <c r="K124" s="1668">
        <f>SUM(C124:J124)</f>
        <v>1261088</v>
      </c>
      <c r="L124" s="466">
        <v>1412030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474854</v>
      </c>
      <c r="D127" s="1668">
        <f t="shared" ref="D127:L127" si="14">SUM(D122:D126)</f>
        <v>69384</v>
      </c>
      <c r="E127" s="1668">
        <f t="shared" si="14"/>
        <v>291085</v>
      </c>
      <c r="F127" s="1668">
        <f t="shared" si="14"/>
        <v>336372</v>
      </c>
      <c r="G127" s="1668">
        <f t="shared" si="14"/>
        <v>89393</v>
      </c>
      <c r="H127" s="1668">
        <f t="shared" si="14"/>
        <v>0</v>
      </c>
      <c r="I127" s="1668">
        <f t="shared" si="14"/>
        <v>0</v>
      </c>
      <c r="J127" s="1668">
        <f t="shared" si="14"/>
        <v>0</v>
      </c>
      <c r="K127" s="1668">
        <f t="shared" si="14"/>
        <v>1261088</v>
      </c>
      <c r="L127" s="1668">
        <f t="shared" si="14"/>
        <v>1412030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474854</v>
      </c>
      <c r="D129" s="1675">
        <f t="shared" ref="D129:L129" si="15">SUM(D120,D127,D128)</f>
        <v>69384</v>
      </c>
      <c r="E129" s="1675">
        <f t="shared" si="15"/>
        <v>291085</v>
      </c>
      <c r="F129" s="1675">
        <f t="shared" si="15"/>
        <v>336372</v>
      </c>
      <c r="G129" s="1675">
        <f t="shared" si="15"/>
        <v>89393</v>
      </c>
      <c r="H129" s="1675">
        <f t="shared" si="15"/>
        <v>0</v>
      </c>
      <c r="I129" s="1675">
        <f t="shared" si="15"/>
        <v>0</v>
      </c>
      <c r="J129" s="1675">
        <f t="shared" si="15"/>
        <v>0</v>
      </c>
      <c r="K129" s="1675">
        <f t="shared" si="15"/>
        <v>1261088</v>
      </c>
      <c r="L129" s="1675">
        <f t="shared" si="15"/>
        <v>1412030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1841</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92" t="s">
        <v>620</v>
      </c>
      <c r="B151" s="2174"/>
      <c r="C151" s="1668">
        <f>SUM(C129,C130,C139,C149,C150)</f>
        <v>474854</v>
      </c>
      <c r="D151" s="1668">
        <f t="shared" ref="D151:K151" si="16">SUM(D129,D130,D139,D149,D150)</f>
        <v>69384</v>
      </c>
      <c r="E151" s="1668">
        <f t="shared" si="16"/>
        <v>291085</v>
      </c>
      <c r="F151" s="1668">
        <f t="shared" si="16"/>
        <v>336372</v>
      </c>
      <c r="G151" s="1668">
        <f t="shared" si="16"/>
        <v>89393</v>
      </c>
      <c r="H151" s="1668">
        <f t="shared" si="16"/>
        <v>0</v>
      </c>
      <c r="I151" s="1668">
        <f t="shared" si="16"/>
        <v>0</v>
      </c>
      <c r="J151" s="1668">
        <f t="shared" si="16"/>
        <v>0</v>
      </c>
      <c r="K151" s="1668">
        <f t="shared" si="16"/>
        <v>1261088</v>
      </c>
      <c r="L151" s="1668">
        <f>SUM(L129,L130,L139,L149,L150)</f>
        <v>1412030</v>
      </c>
    </row>
    <row r="152" spans="1:14" ht="12.75" customHeight="1" thickTop="1" x14ac:dyDescent="0.2">
      <c r="A152" s="2195" t="s">
        <v>1178</v>
      </c>
      <c r="B152" s="2196"/>
      <c r="C152" s="618"/>
      <c r="D152" s="618"/>
      <c r="E152" s="618"/>
      <c r="F152" s="618"/>
      <c r="G152" s="618"/>
      <c r="H152" s="618"/>
      <c r="I152" s="618"/>
      <c r="J152" s="616"/>
      <c r="K152" s="1682">
        <f>'Revenues 9-14'!D268-'Expenditures 15-22'!K151</f>
        <v>-155169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0" t="s">
        <v>621</v>
      </c>
      <c r="B154" s="218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1842</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1841</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1843</v>
      </c>
      <c r="C158" s="616"/>
      <c r="D158" s="616"/>
      <c r="E158" s="616"/>
      <c r="F158" s="616"/>
      <c r="G158" s="616"/>
      <c r="H158" s="467"/>
      <c r="I158" s="616"/>
      <c r="J158" s="616"/>
      <c r="K158" s="1669">
        <f>H158</f>
        <v>0</v>
      </c>
      <c r="L158" s="467"/>
      <c r="M158" s="619"/>
      <c r="N158" s="619"/>
    </row>
    <row r="159" spans="1:14" s="620" customFormat="1" ht="12" x14ac:dyDescent="0.2">
      <c r="A159" s="1824" t="s">
        <v>1844</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1845</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145455</v>
      </c>
      <c r="I169" s="616"/>
      <c r="J169" s="616"/>
      <c r="K169" s="1669">
        <f>SUM(C169:H169)</f>
        <v>145455</v>
      </c>
      <c r="L169" s="656">
        <v>175004</v>
      </c>
    </row>
    <row r="170" spans="1:14" ht="33.75" customHeight="1" x14ac:dyDescent="0.2">
      <c r="A170" s="669" t="s">
        <v>1670</v>
      </c>
      <c r="B170" s="671" t="s">
        <v>31</v>
      </c>
      <c r="C170" s="616"/>
      <c r="D170" s="616"/>
      <c r="E170" s="616"/>
      <c r="F170" s="616"/>
      <c r="G170" s="616"/>
      <c r="H170" s="569">
        <v>295000</v>
      </c>
      <c r="I170" s="616"/>
      <c r="J170" s="616"/>
      <c r="K170" s="1669">
        <f>SUM(C170:J170)</f>
        <v>295000</v>
      </c>
      <c r="L170" s="569">
        <v>295000</v>
      </c>
    </row>
    <row r="171" spans="1:14" ht="15.75" customHeight="1" x14ac:dyDescent="0.2">
      <c r="A171" s="621" t="s">
        <v>766</v>
      </c>
      <c r="B171" s="672" t="s">
        <v>84</v>
      </c>
      <c r="C171" s="616"/>
      <c r="D171" s="616"/>
      <c r="E171" s="466"/>
      <c r="F171" s="616"/>
      <c r="G171" s="616"/>
      <c r="H171" s="569"/>
      <c r="I171" s="477"/>
      <c r="J171" s="616"/>
      <c r="K171" s="1669">
        <f>SUM(C171:J171)</f>
        <v>0</v>
      </c>
      <c r="L171" s="569">
        <v>1000</v>
      </c>
    </row>
    <row r="172" spans="1:14" ht="12.75" customHeight="1" thickBot="1" x14ac:dyDescent="0.25">
      <c r="A172" s="1666" t="s">
        <v>638</v>
      </c>
      <c r="B172" s="1667" t="s">
        <v>492</v>
      </c>
      <c r="C172" s="616"/>
      <c r="D172" s="616"/>
      <c r="E172" s="1675">
        <f>SUM(E168,E169,E170,E171)</f>
        <v>0</v>
      </c>
      <c r="F172" s="616"/>
      <c r="G172" s="616"/>
      <c r="H172" s="1675">
        <f>SUM(H168,H169,H170,H171)</f>
        <v>440455</v>
      </c>
      <c r="I172" s="638"/>
      <c r="J172" s="616"/>
      <c r="K172" s="1675">
        <f>SUM(K168,K169,K170,K171)</f>
        <v>440455</v>
      </c>
      <c r="L172" s="1675">
        <f>SUM(L168,L169,L170,L171)</f>
        <v>471004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440455</v>
      </c>
      <c r="I174" s="638"/>
      <c r="J174" s="616"/>
      <c r="K174" s="1675">
        <f>SUM(K160,K172,K173)</f>
        <v>440455</v>
      </c>
      <c r="L174" s="1675">
        <f>SUM(L160,L172,L173)</f>
        <v>471004</v>
      </c>
    </row>
    <row r="175" spans="1:14" ht="13.5" thickTop="1" x14ac:dyDescent="0.2">
      <c r="A175" s="2202" t="s">
        <v>996</v>
      </c>
      <c r="B175" s="2203"/>
      <c r="C175" s="616"/>
      <c r="D175" s="616"/>
      <c r="E175" s="616"/>
      <c r="F175" s="616"/>
      <c r="G175" s="616"/>
      <c r="H175" s="618"/>
      <c r="I175" s="616"/>
      <c r="J175" s="616"/>
      <c r="K175" s="1682">
        <f>'Revenues 9-14'!E268-'Expenditures 15-22'!K174</f>
        <v>-200944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508703</v>
      </c>
      <c r="D182" s="466">
        <v>57115</v>
      </c>
      <c r="E182" s="466">
        <v>39118</v>
      </c>
      <c r="F182" s="466">
        <v>105590</v>
      </c>
      <c r="G182" s="466">
        <v>276848</v>
      </c>
      <c r="H182" s="466">
        <f>4571+33456</f>
        <v>38027</v>
      </c>
      <c r="I182" s="467"/>
      <c r="J182" s="467"/>
      <c r="K182" s="1669">
        <f>SUM(C182:J182)</f>
        <v>1025401</v>
      </c>
      <c r="L182" s="466">
        <v>1125985</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508703</v>
      </c>
      <c r="D184" s="1675">
        <f t="shared" ref="D184:J184" si="17">SUM(D180,D182,D183)</f>
        <v>57115</v>
      </c>
      <c r="E184" s="1675">
        <f t="shared" si="17"/>
        <v>39118</v>
      </c>
      <c r="F184" s="1675">
        <f t="shared" si="17"/>
        <v>105590</v>
      </c>
      <c r="G184" s="1675">
        <f t="shared" si="17"/>
        <v>276848</v>
      </c>
      <c r="H184" s="1675">
        <f t="shared" si="17"/>
        <v>38027</v>
      </c>
      <c r="I184" s="1675">
        <f t="shared" si="17"/>
        <v>0</v>
      </c>
      <c r="J184" s="1675">
        <f t="shared" si="17"/>
        <v>0</v>
      </c>
      <c r="K184" s="1675">
        <f>SUM(K180,K182,K183)</f>
        <v>1025401</v>
      </c>
      <c r="L184" s="1675">
        <f>SUM(L180, L182:L183)</f>
        <v>1125985</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508703</v>
      </c>
      <c r="D210" s="1668">
        <f>SUM(D184,D185)</f>
        <v>57115</v>
      </c>
      <c r="E210" s="1668">
        <f>SUM(E184,E185,E196)</f>
        <v>39118</v>
      </c>
      <c r="F210" s="1668">
        <f>SUM(F184,F185)</f>
        <v>105590</v>
      </c>
      <c r="G210" s="1668">
        <f>SUM(G184,G185)</f>
        <v>276848</v>
      </c>
      <c r="H210" s="1668">
        <f>SUM(H184,H185,H196,H208,H209)</f>
        <v>38027</v>
      </c>
      <c r="I210" s="1668">
        <f>SUM(I184,I185)</f>
        <v>0</v>
      </c>
      <c r="J210" s="1668">
        <f>SUM(J184,J185)</f>
        <v>0</v>
      </c>
      <c r="K210" s="1669">
        <f>SUM(K184,K185,K196,K208,K209)</f>
        <v>1025401</v>
      </c>
      <c r="L210" s="1668">
        <f>SUM(L184,L185,L196,L208,L209)</f>
        <v>1125985</v>
      </c>
    </row>
    <row r="211" spans="1:14" ht="13.5" thickTop="1" x14ac:dyDescent="0.2">
      <c r="A211" s="2202" t="s">
        <v>996</v>
      </c>
      <c r="B211" s="2203"/>
      <c r="C211" s="618"/>
      <c r="D211" s="618"/>
      <c r="E211" s="618"/>
      <c r="F211" s="618"/>
      <c r="G211" s="618"/>
      <c r="H211" s="618"/>
      <c r="I211" s="616"/>
      <c r="J211" s="616"/>
      <c r="K211" s="1682">
        <f>'Revenues 9-14'!F268-'Expenditures 15-22'!K210</f>
        <v>87613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7" t="s">
        <v>965</v>
      </c>
      <c r="B213" s="219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47992</v>
      </c>
      <c r="E215" s="616"/>
      <c r="F215" s="616"/>
      <c r="G215" s="616"/>
      <c r="H215" s="616"/>
      <c r="I215" s="616"/>
      <c r="J215" s="616"/>
      <c r="K215" s="1669">
        <f>D215</f>
        <v>47992</v>
      </c>
      <c r="L215" s="466">
        <v>53873</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90101</v>
      </c>
      <c r="E217" s="616"/>
      <c r="F217" s="616"/>
      <c r="G217" s="616"/>
      <c r="H217" s="616"/>
      <c r="I217" s="616"/>
      <c r="J217" s="616"/>
      <c r="K217" s="1669">
        <f t="shared" si="19"/>
        <v>90101</v>
      </c>
      <c r="L217" s="466">
        <v>95470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1735</v>
      </c>
      <c r="E219" s="616"/>
      <c r="F219" s="616"/>
      <c r="G219" s="616"/>
      <c r="H219" s="616"/>
      <c r="I219" s="616"/>
      <c r="J219" s="616"/>
      <c r="K219" s="1669">
        <f t="shared" si="19"/>
        <v>1735</v>
      </c>
      <c r="L219" s="466">
        <v>1636</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v>2244</v>
      </c>
      <c r="E222" s="616"/>
      <c r="F222" s="616"/>
      <c r="G222" s="616"/>
      <c r="H222" s="616"/>
      <c r="I222" s="616"/>
      <c r="J222" s="616"/>
      <c r="K222" s="1669">
        <f t="shared" si="19"/>
        <v>2244</v>
      </c>
      <c r="L222" s="466">
        <v>2563</v>
      </c>
    </row>
    <row r="223" spans="1:14" x14ac:dyDescent="0.2">
      <c r="A223" s="1504" t="s">
        <v>963</v>
      </c>
      <c r="B223" s="614">
        <v>1500</v>
      </c>
      <c r="C223" s="616"/>
      <c r="D223" s="466">
        <v>6426</v>
      </c>
      <c r="E223" s="616"/>
      <c r="F223" s="616"/>
      <c r="G223" s="616"/>
      <c r="H223" s="616"/>
      <c r="I223" s="616"/>
      <c r="J223" s="616"/>
      <c r="K223" s="1669">
        <f t="shared" si="19"/>
        <v>6426</v>
      </c>
      <c r="L223" s="466">
        <v>6055</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v>1073</v>
      </c>
      <c r="E226" s="616"/>
      <c r="F226" s="616"/>
      <c r="G226" s="616"/>
      <c r="H226" s="616"/>
      <c r="I226" s="616"/>
      <c r="J226" s="616"/>
      <c r="K226" s="1669">
        <f t="shared" si="19"/>
        <v>1073</v>
      </c>
      <c r="L226" s="466">
        <v>1072</v>
      </c>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149571</v>
      </c>
      <c r="E229" s="616"/>
      <c r="F229" s="616"/>
      <c r="G229" s="616"/>
      <c r="H229" s="616"/>
      <c r="I229" s="616"/>
      <c r="J229" s="616"/>
      <c r="K229" s="1668">
        <f>SUM(K215:K228)</f>
        <v>149571</v>
      </c>
      <c r="L229" s="1668">
        <f>SUM(L215:L228)</f>
        <v>160669</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v>2473</v>
      </c>
      <c r="E233" s="616"/>
      <c r="F233" s="616"/>
      <c r="G233" s="616"/>
      <c r="H233" s="616"/>
      <c r="I233" s="616"/>
      <c r="J233" s="616"/>
      <c r="K233" s="1669">
        <f t="shared" si="20"/>
        <v>2473</v>
      </c>
      <c r="L233" s="466">
        <v>2667</v>
      </c>
    </row>
    <row r="234" spans="1:12" x14ac:dyDescent="0.2">
      <c r="A234" s="1504" t="s">
        <v>198</v>
      </c>
      <c r="B234" s="614">
        <v>2130</v>
      </c>
      <c r="C234" s="616"/>
      <c r="D234" s="466"/>
      <c r="E234" s="616"/>
      <c r="F234" s="616"/>
      <c r="G234" s="616"/>
      <c r="H234" s="616"/>
      <c r="I234" s="616"/>
      <c r="J234" s="616"/>
      <c r="K234" s="1669">
        <f t="shared" si="20"/>
        <v>0</v>
      </c>
      <c r="L234" s="466"/>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v>624</v>
      </c>
      <c r="E236" s="616"/>
      <c r="F236" s="616"/>
      <c r="G236" s="616"/>
      <c r="H236" s="616"/>
      <c r="I236" s="616"/>
      <c r="J236" s="616"/>
      <c r="K236" s="1669">
        <f t="shared" si="20"/>
        <v>624</v>
      </c>
      <c r="L236" s="466">
        <v>674</v>
      </c>
    </row>
    <row r="237" spans="1:12" x14ac:dyDescent="0.2">
      <c r="A237" s="1504" t="s">
        <v>165</v>
      </c>
      <c r="B237" s="614">
        <v>2190</v>
      </c>
      <c r="C237" s="616"/>
      <c r="D237" s="466">
        <v>241</v>
      </c>
      <c r="E237" s="616"/>
      <c r="F237" s="616"/>
      <c r="G237" s="616"/>
      <c r="H237" s="616"/>
      <c r="I237" s="616"/>
      <c r="J237" s="616"/>
      <c r="K237" s="1669">
        <f t="shared" si="20"/>
        <v>241</v>
      </c>
      <c r="L237" s="466">
        <v>3165</v>
      </c>
    </row>
    <row r="238" spans="1:12" ht="12.75" customHeight="1" thickBot="1" x14ac:dyDescent="0.25">
      <c r="A238" s="1666" t="s">
        <v>560</v>
      </c>
      <c r="B238" s="1673" t="s">
        <v>716</v>
      </c>
      <c r="C238" s="616"/>
      <c r="D238" s="1668">
        <f>SUM(D232:D237)</f>
        <v>3338</v>
      </c>
      <c r="E238" s="616"/>
      <c r="F238" s="616"/>
      <c r="G238" s="616"/>
      <c r="H238" s="616"/>
      <c r="I238" s="616"/>
      <c r="J238" s="616"/>
      <c r="K238" s="1668">
        <f>SUM(K232:K237)</f>
        <v>3338</v>
      </c>
      <c r="L238" s="1668">
        <f>SUM(L232:L237)</f>
        <v>6506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111</v>
      </c>
      <c r="E240" s="616"/>
      <c r="F240" s="616"/>
      <c r="G240" s="616"/>
      <c r="H240" s="616"/>
      <c r="I240" s="616"/>
      <c r="J240" s="616"/>
      <c r="K240" s="1670">
        <f>D240</f>
        <v>111</v>
      </c>
      <c r="L240" s="481">
        <v>106</v>
      </c>
    </row>
    <row r="241" spans="1:12" x14ac:dyDescent="0.2">
      <c r="A241" s="1504" t="s">
        <v>815</v>
      </c>
      <c r="B241" s="614">
        <v>2220</v>
      </c>
      <c r="C241" s="616"/>
      <c r="D241" s="466">
        <v>4392</v>
      </c>
      <c r="E241" s="616"/>
      <c r="F241" s="616"/>
      <c r="G241" s="616"/>
      <c r="H241" s="616"/>
      <c r="I241" s="616"/>
      <c r="J241" s="616"/>
      <c r="K241" s="1670">
        <f>D241</f>
        <v>4392</v>
      </c>
      <c r="L241" s="466">
        <v>5686</v>
      </c>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4503</v>
      </c>
      <c r="E243" s="616"/>
      <c r="F243" s="616"/>
      <c r="G243" s="616"/>
      <c r="H243" s="616"/>
      <c r="I243" s="616"/>
      <c r="J243" s="616"/>
      <c r="K243" s="1668">
        <f>SUM(K240:K242)</f>
        <v>4503</v>
      </c>
      <c r="L243" s="1668">
        <f>SUM(L240:L242)</f>
        <v>5792</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0">
        <f>D245</f>
        <v>0</v>
      </c>
      <c r="L245" s="481"/>
    </row>
    <row r="246" spans="1:12" x14ac:dyDescent="0.2">
      <c r="A246" s="1504" t="s">
        <v>818</v>
      </c>
      <c r="B246" s="614">
        <v>2320</v>
      </c>
      <c r="C246" s="616"/>
      <c r="D246" s="466">
        <v>4037</v>
      </c>
      <c r="E246" s="616"/>
      <c r="F246" s="616"/>
      <c r="G246" s="616"/>
      <c r="H246" s="616"/>
      <c r="I246" s="616"/>
      <c r="J246" s="616"/>
      <c r="K246" s="1670">
        <f t="shared" ref="K246:K256" si="21">D246</f>
        <v>4037</v>
      </c>
      <c r="L246" s="466">
        <v>4256</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1802</v>
      </c>
      <c r="B249" s="683" t="s">
        <v>282</v>
      </c>
      <c r="C249" s="616"/>
      <c r="D249" s="474"/>
      <c r="E249" s="616"/>
      <c r="F249" s="616"/>
      <c r="G249" s="616"/>
      <c r="H249" s="616"/>
      <c r="I249" s="616"/>
      <c r="J249" s="616"/>
      <c r="K249" s="1670">
        <f t="shared" si="21"/>
        <v>0</v>
      </c>
      <c r="L249" s="466"/>
    </row>
    <row r="250" spans="1:12" x14ac:dyDescent="0.2">
      <c r="A250" s="1505" t="s">
        <v>1803</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4037</v>
      </c>
      <c r="E257" s="616"/>
      <c r="F257" s="616"/>
      <c r="G257" s="616"/>
      <c r="H257" s="616"/>
      <c r="I257" s="616"/>
      <c r="J257" s="616"/>
      <c r="K257" s="1668">
        <f>SUM(K245:K256)</f>
        <v>4037</v>
      </c>
      <c r="L257" s="1668">
        <f>SUM(L245:L256)</f>
        <v>4256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28980</v>
      </c>
      <c r="E259" s="616"/>
      <c r="F259" s="616"/>
      <c r="G259" s="616"/>
      <c r="H259" s="616"/>
      <c r="I259" s="616"/>
      <c r="J259" s="616"/>
      <c r="K259" s="1670">
        <f>D259</f>
        <v>28980</v>
      </c>
      <c r="L259" s="481">
        <v>33996</v>
      </c>
    </row>
    <row r="260" spans="1:14" s="597" customFormat="1" x14ac:dyDescent="0.2">
      <c r="A260" s="1522" t="s">
        <v>1801</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28980</v>
      </c>
      <c r="E261" s="616"/>
      <c r="F261" s="616"/>
      <c r="G261" s="616"/>
      <c r="H261" s="616"/>
      <c r="I261" s="616"/>
      <c r="J261" s="616"/>
      <c r="K261" s="1668">
        <f>SUM(K259:K260)</f>
        <v>28980</v>
      </c>
      <c r="L261" s="1668">
        <f>SUM(L259:L260)</f>
        <v>33996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22444</v>
      </c>
      <c r="E264" s="616"/>
      <c r="F264" s="616"/>
      <c r="G264" s="616"/>
      <c r="H264" s="616"/>
      <c r="I264" s="616"/>
      <c r="J264" s="616"/>
      <c r="K264" s="1670">
        <f t="shared" ref="K264:K269" si="22">D264</f>
        <v>22444</v>
      </c>
      <c r="L264" s="466">
        <v>25314</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81090</v>
      </c>
      <c r="E266" s="616"/>
      <c r="F266" s="616"/>
      <c r="G266" s="616"/>
      <c r="H266" s="616"/>
      <c r="I266" s="616"/>
      <c r="J266" s="616"/>
      <c r="K266" s="1670">
        <f t="shared" si="22"/>
        <v>81090</v>
      </c>
      <c r="L266" s="466">
        <v>98457</v>
      </c>
    </row>
    <row r="267" spans="1:14" x14ac:dyDescent="0.2">
      <c r="A267" s="1504" t="s">
        <v>953</v>
      </c>
      <c r="B267" s="614">
        <v>2550</v>
      </c>
      <c r="C267" s="616"/>
      <c r="D267" s="466">
        <v>80660</v>
      </c>
      <c r="E267" s="616"/>
      <c r="F267" s="616"/>
      <c r="G267" s="616"/>
      <c r="H267" s="616"/>
      <c r="I267" s="616"/>
      <c r="J267" s="616"/>
      <c r="K267" s="1670">
        <f t="shared" si="22"/>
        <v>80660</v>
      </c>
      <c r="L267" s="466">
        <v>86996</v>
      </c>
    </row>
    <row r="268" spans="1:14" x14ac:dyDescent="0.2">
      <c r="A268" s="1504" t="s">
        <v>100</v>
      </c>
      <c r="B268" s="614">
        <v>2560</v>
      </c>
      <c r="C268" s="616"/>
      <c r="D268" s="466">
        <v>39050</v>
      </c>
      <c r="E268" s="616"/>
      <c r="F268" s="616"/>
      <c r="G268" s="616"/>
      <c r="H268" s="616"/>
      <c r="I268" s="616"/>
      <c r="J268" s="616"/>
      <c r="K268" s="1670">
        <f t="shared" si="22"/>
        <v>39050</v>
      </c>
      <c r="L268" s="466">
        <v>47468</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223244</v>
      </c>
      <c r="E270" s="616"/>
      <c r="F270" s="616"/>
      <c r="G270" s="616"/>
      <c r="H270" s="616"/>
      <c r="I270" s="616"/>
      <c r="J270" s="616"/>
      <c r="K270" s="1668">
        <f>SUM(K263:K269)</f>
        <v>223244</v>
      </c>
      <c r="L270" s="1668">
        <f>SUM(L263:L269)</f>
        <v>258235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v>18677</v>
      </c>
      <c r="E276" s="616"/>
      <c r="F276" s="616"/>
      <c r="G276" s="616"/>
      <c r="H276" s="616"/>
      <c r="I276" s="616"/>
      <c r="J276" s="616"/>
      <c r="K276" s="1670">
        <f>D276</f>
        <v>18677</v>
      </c>
      <c r="L276" s="466">
        <v>20822</v>
      </c>
    </row>
    <row r="277" spans="1:12" ht="12.75" customHeight="1" thickBot="1" x14ac:dyDescent="0.25">
      <c r="A277" s="1689" t="s">
        <v>37</v>
      </c>
      <c r="B277" s="1667" t="s">
        <v>36</v>
      </c>
      <c r="C277" s="616"/>
      <c r="D277" s="1668">
        <f>SUM(D272:D276)</f>
        <v>18677</v>
      </c>
      <c r="E277" s="616"/>
      <c r="F277" s="616"/>
      <c r="G277" s="616"/>
      <c r="H277" s="616"/>
      <c r="I277" s="616"/>
      <c r="J277" s="616"/>
      <c r="K277" s="1668">
        <f>SUM(K272:K276)</f>
        <v>18677</v>
      </c>
      <c r="L277" s="1668">
        <f>SUM(L272:L276)</f>
        <v>20822</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282779</v>
      </c>
      <c r="E279" s="616"/>
      <c r="F279" s="616"/>
      <c r="G279" s="616"/>
      <c r="H279" s="616"/>
      <c r="I279" s="616"/>
      <c r="J279" s="616"/>
      <c r="K279" s="1675">
        <f>SUM(K238,K243,K257,K261,K270,K277,K278)</f>
        <v>282779</v>
      </c>
      <c r="L279" s="1675">
        <f>SUM(L238,L243,L257,L261,L270,L277,L278)</f>
        <v>329607</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1841</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93" t="s">
        <v>505</v>
      </c>
      <c r="B295" s="2194"/>
      <c r="C295" s="616"/>
      <c r="D295" s="1668">
        <f>SUM(D229,D279,D280,D285)</f>
        <v>432350</v>
      </c>
      <c r="E295" s="616"/>
      <c r="F295" s="616"/>
      <c r="G295" s="616"/>
      <c r="H295" s="1668">
        <f>H293</f>
        <v>0</v>
      </c>
      <c r="I295" s="616"/>
      <c r="J295" s="616"/>
      <c r="K295" s="1668">
        <f>SUM(K229,K279,K280,K285,K293,K294)</f>
        <v>432350</v>
      </c>
      <c r="L295" s="1668">
        <f>SUM(L229,L279,L280,L285,L293,L294)</f>
        <v>490276</v>
      </c>
    </row>
    <row r="296" spans="1:14" ht="13.5" thickTop="1" x14ac:dyDescent="0.2">
      <c r="A296" s="2202" t="s">
        <v>996</v>
      </c>
      <c r="B296" s="2203"/>
      <c r="C296" s="616"/>
      <c r="D296" s="618"/>
      <c r="E296" s="616"/>
      <c r="F296" s="616"/>
      <c r="G296" s="616"/>
      <c r="H296" s="687"/>
      <c r="I296" s="616"/>
      <c r="J296" s="616"/>
      <c r="K296" s="1682">
        <f>'Revenues 9-14'!G268-'Expenditures 15-22'!K295</f>
        <v>-44011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5" t="s">
        <v>143</v>
      </c>
      <c r="B298" s="217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90" t="s">
        <v>277</v>
      </c>
      <c r="B312" s="2191"/>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86" t="s">
        <v>996</v>
      </c>
      <c r="B313" s="2187"/>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9" t="s">
        <v>149</v>
      </c>
      <c r="B315" s="220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1" t="s">
        <v>898</v>
      </c>
      <c r="B317" s="220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1802</v>
      </c>
      <c r="B320" s="698" t="s">
        <v>282</v>
      </c>
      <c r="C320" s="467"/>
      <c r="D320" s="467"/>
      <c r="E320" s="467">
        <v>145252</v>
      </c>
      <c r="F320" s="467"/>
      <c r="G320" s="467"/>
      <c r="H320" s="467"/>
      <c r="I320" s="467"/>
      <c r="J320" s="467"/>
      <c r="K320" s="1669">
        <f t="shared" ref="K320:K327" si="24">SUM(C320:J320)</f>
        <v>145252</v>
      </c>
      <c r="L320" s="467">
        <v>136000</v>
      </c>
      <c r="M320" s="665"/>
      <c r="N320" s="665"/>
    </row>
    <row r="321" spans="1:14" s="674" customFormat="1" x14ac:dyDescent="0.2">
      <c r="A321" s="1519" t="s">
        <v>300</v>
      </c>
      <c r="B321" s="697" t="s">
        <v>283</v>
      </c>
      <c r="C321" s="467"/>
      <c r="D321" s="467"/>
      <c r="E321" s="467"/>
      <c r="F321" s="467"/>
      <c r="G321" s="467"/>
      <c r="H321" s="467"/>
      <c r="I321" s="467"/>
      <c r="J321" s="467"/>
      <c r="K321" s="1669">
        <f t="shared" si="24"/>
        <v>0</v>
      </c>
      <c r="L321" s="467">
        <v>15000</v>
      </c>
      <c r="M321" s="665"/>
      <c r="N321" s="665"/>
    </row>
    <row r="322" spans="1:14" s="674" customFormat="1" x14ac:dyDescent="0.2">
      <c r="A322" s="1519" t="s">
        <v>238</v>
      </c>
      <c r="B322" s="697" t="s">
        <v>284</v>
      </c>
      <c r="C322" s="467"/>
      <c r="D322" s="467"/>
      <c r="E322" s="467">
        <v>4960</v>
      </c>
      <c r="F322" s="467"/>
      <c r="G322" s="467"/>
      <c r="H322" s="467"/>
      <c r="I322" s="467"/>
      <c r="J322" s="467"/>
      <c r="K322" s="1669">
        <f t="shared" si="24"/>
        <v>4960</v>
      </c>
      <c r="L322" s="467">
        <v>5500</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v>34092</v>
      </c>
      <c r="F327" s="467"/>
      <c r="G327" s="467"/>
      <c r="H327" s="467"/>
      <c r="I327" s="467"/>
      <c r="J327" s="467"/>
      <c r="K327" s="1669">
        <f t="shared" si="24"/>
        <v>34092</v>
      </c>
      <c r="L327" s="467">
        <v>45000</v>
      </c>
      <c r="M327" s="665"/>
      <c r="N327" s="665"/>
    </row>
    <row r="328" spans="1:14" s="674" customFormat="1" x14ac:dyDescent="0.2">
      <c r="A328" s="1520" t="s">
        <v>472</v>
      </c>
      <c r="B328" s="690" t="s">
        <v>1132</v>
      </c>
      <c r="C328" s="474"/>
      <c r="D328" s="474"/>
      <c r="E328" s="474">
        <v>105837</v>
      </c>
      <c r="F328" s="474"/>
      <c r="G328" s="474"/>
      <c r="H328" s="474"/>
      <c r="I328" s="474"/>
      <c r="J328" s="474"/>
      <c r="K328" s="1697">
        <f>SUM(C328:J328)</f>
        <v>105837</v>
      </c>
      <c r="L328" s="474">
        <v>102000</v>
      </c>
      <c r="M328" s="665"/>
      <c r="N328" s="665"/>
    </row>
    <row r="329" spans="1:14" s="674" customFormat="1" x14ac:dyDescent="0.2">
      <c r="A329" s="1520" t="s">
        <v>1133</v>
      </c>
      <c r="B329" s="690" t="s">
        <v>1134</v>
      </c>
      <c r="C329" s="474"/>
      <c r="D329" s="474"/>
      <c r="E329" s="474">
        <v>20511</v>
      </c>
      <c r="F329" s="474"/>
      <c r="G329" s="474"/>
      <c r="H329" s="474"/>
      <c r="I329" s="474"/>
      <c r="J329" s="474"/>
      <c r="K329" s="1697">
        <f>SUM(C329:J329)</f>
        <v>20511</v>
      </c>
      <c r="L329" s="474">
        <v>20000</v>
      </c>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310652</v>
      </c>
      <c r="F330" s="1668">
        <f t="shared" si="25"/>
        <v>0</v>
      </c>
      <c r="G330" s="1668">
        <f t="shared" si="25"/>
        <v>0</v>
      </c>
      <c r="H330" s="1668">
        <f t="shared" si="25"/>
        <v>0</v>
      </c>
      <c r="I330" s="1668">
        <f t="shared" si="25"/>
        <v>0</v>
      </c>
      <c r="J330" s="1668">
        <f t="shared" si="25"/>
        <v>0</v>
      </c>
      <c r="K330" s="1668">
        <f>SUM(K319:K329)</f>
        <v>310652</v>
      </c>
      <c r="L330" s="1668">
        <f>SUM(L319:L329)</f>
        <v>323500</v>
      </c>
      <c r="M330" s="665"/>
      <c r="N330" s="665"/>
    </row>
    <row r="331" spans="1:14" s="674" customFormat="1" ht="12.75" customHeight="1" thickTop="1" x14ac:dyDescent="0.2">
      <c r="A331" s="1829" t="s">
        <v>1847</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1841</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1843</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1848</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310652</v>
      </c>
      <c r="F342" s="1668">
        <f>SUM(F330)</f>
        <v>0</v>
      </c>
      <c r="G342" s="1668">
        <f>SUM(G330)</f>
        <v>0</v>
      </c>
      <c r="H342" s="1668">
        <f>SUM(H330,H334,H340)</f>
        <v>0</v>
      </c>
      <c r="I342" s="1668">
        <f>SUM(I330)</f>
        <v>0</v>
      </c>
      <c r="J342" s="1668">
        <f>SUM(J330)</f>
        <v>0</v>
      </c>
      <c r="K342" s="1668">
        <f>SUM(K330,K334,K340)</f>
        <v>310652</v>
      </c>
      <c r="L342" s="1675">
        <f>SUM(L330,L340,L341)</f>
        <v>323500</v>
      </c>
    </row>
    <row r="343" spans="1:14" ht="12.75" customHeight="1" thickTop="1" x14ac:dyDescent="0.2">
      <c r="A343" s="2188" t="s">
        <v>996</v>
      </c>
      <c r="B343" s="2189"/>
      <c r="C343" s="616"/>
      <c r="D343" s="616"/>
      <c r="E343" s="616"/>
      <c r="F343" s="616"/>
      <c r="G343" s="616"/>
      <c r="H343" s="616"/>
      <c r="I343" s="616"/>
      <c r="J343" s="616"/>
      <c r="K343" s="1682">
        <f>'Revenues 9-14'!J268-'Expenditures 15-22'!K342</f>
        <v>-682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8" t="s">
        <v>966</v>
      </c>
      <c r="B345" s="217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43036</v>
      </c>
      <c r="F348" s="466"/>
      <c r="G348" s="466">
        <v>2077209</v>
      </c>
      <c r="H348" s="466"/>
      <c r="I348" s="467"/>
      <c r="J348" s="467"/>
      <c r="K348" s="1669">
        <f>SUM(C348:J348)</f>
        <v>2120245</v>
      </c>
      <c r="L348" s="466">
        <v>2281195</v>
      </c>
    </row>
    <row r="349" spans="1:14" x14ac:dyDescent="0.2">
      <c r="A349" s="1504"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43036</v>
      </c>
      <c r="F350" s="1668">
        <f t="shared" si="26"/>
        <v>0</v>
      </c>
      <c r="G350" s="1668">
        <f t="shared" si="26"/>
        <v>2077209</v>
      </c>
      <c r="H350" s="1668">
        <f t="shared" si="26"/>
        <v>0</v>
      </c>
      <c r="I350" s="1668">
        <f t="shared" si="26"/>
        <v>0</v>
      </c>
      <c r="J350" s="1668">
        <f t="shared" si="26"/>
        <v>0</v>
      </c>
      <c r="K350" s="1668">
        <f t="shared" si="26"/>
        <v>2120245</v>
      </c>
      <c r="L350" s="1668">
        <f t="shared" si="26"/>
        <v>2281195</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43036</v>
      </c>
      <c r="F352" s="1668">
        <f t="shared" si="27"/>
        <v>0</v>
      </c>
      <c r="G352" s="1668">
        <f t="shared" si="27"/>
        <v>2077209</v>
      </c>
      <c r="H352" s="1668">
        <f t="shared" si="27"/>
        <v>0</v>
      </c>
      <c r="I352" s="1668">
        <f t="shared" si="27"/>
        <v>0</v>
      </c>
      <c r="J352" s="1668">
        <f t="shared" si="27"/>
        <v>0</v>
      </c>
      <c r="K352" s="1668">
        <f t="shared" si="27"/>
        <v>2120245</v>
      </c>
      <c r="L352" s="1668">
        <f t="shared" si="27"/>
        <v>2281195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1849</v>
      </c>
      <c r="B354" s="683" t="s">
        <v>1841</v>
      </c>
      <c r="C354" s="616"/>
      <c r="D354" s="616"/>
      <c r="E354" s="616"/>
      <c r="F354" s="616"/>
      <c r="G354" s="616"/>
      <c r="H354" s="474"/>
      <c r="I354" s="701"/>
      <c r="J354" s="616"/>
      <c r="K354" s="1697">
        <f>H354</f>
        <v>0</v>
      </c>
      <c r="L354" s="471"/>
    </row>
    <row r="355" spans="1:14" ht="12.75" customHeight="1" x14ac:dyDescent="0.2">
      <c r="A355" s="1513" t="s">
        <v>1850</v>
      </c>
      <c r="B355" s="690" t="s">
        <v>1843</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43036</v>
      </c>
      <c r="F367" s="1668">
        <f t="shared" si="28"/>
        <v>0</v>
      </c>
      <c r="G367" s="1668">
        <f t="shared" si="28"/>
        <v>2077209</v>
      </c>
      <c r="H367" s="1668">
        <f t="shared" si="28"/>
        <v>0</v>
      </c>
      <c r="I367" s="1668">
        <f t="shared" si="28"/>
        <v>0</v>
      </c>
      <c r="J367" s="1668">
        <f t="shared" si="28"/>
        <v>0</v>
      </c>
      <c r="K367" s="1668">
        <f t="shared" si="28"/>
        <v>2120245</v>
      </c>
      <c r="L367" s="1668">
        <f t="shared" si="28"/>
        <v>2281195</v>
      </c>
    </row>
    <row r="368" spans="1:14" ht="13.5" thickTop="1" x14ac:dyDescent="0.2">
      <c r="A368" s="2202" t="s">
        <v>996</v>
      </c>
      <c r="B368" s="2203"/>
      <c r="C368" s="654"/>
      <c r="D368" s="654"/>
      <c r="E368" s="626"/>
      <c r="F368" s="626"/>
      <c r="G368" s="626"/>
      <c r="H368" s="626"/>
      <c r="I368" s="626"/>
      <c r="J368" s="623"/>
      <c r="K368" s="1669">
        <f>'Revenues 9-14'!K268-'Expenditures 15-22'!K367</f>
        <v>-2031683</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office/2006/documentManagement/types"/>
    <ds:schemaRef ds:uri="http://schemas.microsoft.com/office/2006/metadata/properties"/>
    <ds:schemaRef ds:uri="http://purl.org/dc/elements/1.1/"/>
    <ds:schemaRef ds:uri="http://schemas.microsoft.com/sharepoint/v3"/>
    <ds:schemaRef ds:uri="6ce3111e-7420-4802-b50a-75d4e9a0b980"/>
    <ds:schemaRef ds:uri="http://purl.org/dc/terms/"/>
    <ds:schemaRef ds:uri="http://purl.org/dc/dcmitype/"/>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SEFA.1</vt:lpstr>
      <vt:lpstr> SEFA.2</vt:lpstr>
      <vt:lpstr>SEFA NOTES</vt:lpstr>
      <vt:lpstr>SF&amp;QC Sec-1</vt:lpstr>
      <vt:lpstr>SF&amp;QC Sec-2</vt:lpstr>
      <vt:lpstr>SF&amp;QC Sec-2.1</vt:lpstr>
      <vt:lpstr>SF&amp;QC Sec-3</vt:lpstr>
      <vt:lpstr>SSPAF</vt:lpstr>
      <vt:lpstr>' SEFA'!Print_Area</vt:lpstr>
      <vt:lpstr>' SEFA.1'!Print_Area</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2019-10-08T16:38:35Z</cp:lastPrinted>
  <dcterms:created xsi:type="dcterms:W3CDTF">2003-10-29T19:06:34Z</dcterms:created>
  <dcterms:modified xsi:type="dcterms:W3CDTF">2019-12-02T18:05:04Z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