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EFC55F0-71CB-4A64-A28E-3254F6EB8F9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5" i="127"/>
  <c r="B66" i="127"/>
  <c r="D26" i="108"/>
  <c r="F26" i="108"/>
  <c r="E27" i="108"/>
  <c r="G27" i="108"/>
  <c r="F31" i="108"/>
  <c r="G28" i="108"/>
  <c r="E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J22" i="37"/>
  <c r="D24" i="37"/>
  <c r="B4270" i="106" s="1"/>
  <c r="D4270" i="106" s="1"/>
  <c r="F72" i="34" l="1"/>
  <c r="G33" i="108"/>
  <c r="D54" i="36"/>
  <c r="F71" i="34"/>
  <c r="J49" i="8"/>
  <c r="B4172" i="106" s="1"/>
  <c r="D4172" i="106" s="1"/>
  <c r="B7078" i="106"/>
  <c r="D7078" i="106" s="1"/>
  <c r="G14" i="4"/>
  <c r="B2609" i="106" s="1"/>
  <c r="D2609" i="106" s="1"/>
  <c r="F64" i="34"/>
  <c r="F36" i="34"/>
  <c r="B6289" i="106"/>
  <c r="D6289" i="106" s="1"/>
  <c r="L5" i="11"/>
  <c r="B2056" i="106" s="1"/>
  <c r="D2056" i="106" s="1"/>
  <c r="D68" i="36"/>
  <c r="F42" i="34"/>
  <c r="I210" i="29"/>
  <c r="B7071" i="106" s="1"/>
  <c r="D7071" i="106" s="1"/>
  <c r="F67" i="34"/>
  <c r="F50" i="34"/>
  <c r="J210" i="29"/>
  <c r="B7072" i="106" s="1"/>
  <c r="D7072" i="106" s="1"/>
  <c r="B1124" i="106"/>
  <c r="D1124" i="106" s="1"/>
  <c r="F46" i="34"/>
  <c r="B2724" i="106"/>
  <c r="D2724" i="106" s="1"/>
  <c r="G30" i="108"/>
  <c r="F36" i="108"/>
  <c r="F49"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5" i="106" l="1"/>
  <c r="D7251" i="106"/>
  <c r="D7252" i="106"/>
  <c r="D7256" i="106"/>
  <c r="J16" i="4"/>
  <c r="B6226" i="106" s="1"/>
  <c r="D6226" i="106" s="1"/>
  <c r="B3621" i="106"/>
  <c r="D3621" i="106" s="1"/>
  <c r="I7" i="4"/>
  <c r="B4444" i="106" s="1"/>
  <c r="D4444" i="106" s="1"/>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K368" i="29" s="1"/>
  <c r="B3681" i="106" s="1"/>
  <c r="D3681" i="106" s="1"/>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<sst xmlns="http://schemas.openxmlformats.org/spreadsheetml/2006/main" count="5090" uniqueCount="2111">
  <si>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</si>
  <si>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</si>
  <si>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</si>
  <si>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</si>
  <si>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</si>
  <si>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</si>
  <si>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</si>
  <si>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</si>
  <si>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</si>
  <si>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</si>
  <si>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</si>
  <si>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</si>
  <si>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</si>
  <si>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</si>
  <si>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</si>
  <si>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</si>
  <si>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</si>
  <si>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</si>
  <si>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</si>
  <si>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</si>
  <si>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</si>
  <si>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</si>
  <si>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</si>
  <si>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</si>
  <si>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</si>
  <si>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</si>
  <si>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</si>
  <si>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</si>
  <si>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</si>
  <si>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</si>
  <si>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</si>
  <si>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</si>
  <si>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</si>
  <si>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</si>
  <si>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</si>
  <si>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</si>
  <si>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</si>
  <si>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</si>
  <si>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</si>
  <si>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</si>
  <si>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</si>
  <si>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</si>
  <si>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</si>
  <si>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</si>
  <si>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</si>
  <si>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</si>
  <si>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</si>
  <si>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</si>
  <si>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</si>
  <si>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</si>
  <si>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</si>
  <si>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</si>
  <si>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</si>
  <si>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</si>
  <si>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</si>
  <si>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</si>
  <si>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</si>
  <si>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</si>
  <si>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</si>
  <si>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</si>
  <si>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</si>
  <si>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</si>
  <si>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</si>
  <si>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</si>
  <si>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</si>
  <si>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</si>
  <si>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</si>
  <si>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</si>
  <si>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</si>
  <si>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</si>
  <si>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</si>
  <si>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</si>
  <si>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</si>
  <si>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</si>
  <si>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</si>
  <si>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</si>
  <si>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</si>
  <si>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</si>
  <si>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</si>
  <si>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</si>
  <si>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</si>
  <si>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</si>
  <si>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</si>
  <si>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</si>
  <si>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</si>
  <si>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</si>
  <si>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</si>
  <si>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</si>
  <si>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</si>
  <si>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</si>
  <si>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</si>
  <si>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</si>
  <si>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</si>
  <si>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</si>
  <si>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</si>
  <si>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</si>
  <si>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</si>
  <si>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</si>
  <si>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</si>
  <si>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</si>
  <si>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</si>
  <si>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</si>
  <si>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</si>
  <si>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</si>
  <si>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</si>
  <si>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</si>
  <si>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</si>
  <si>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</si>
  <si>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</si>
  <si>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</si>
  <si>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</si>
  <si>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</si>
  <si>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</si>
  <si>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</si>
  <si>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</si>
  <si>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</si>
  <si>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</si>
  <si>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</si>
  <si>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</si>
  <si>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</si>
  <si>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</si>
  <si>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</si>
  <si>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</si>
  <si>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</si>
  <si>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</si>
  <si>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</si>
  <si>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</si>
  <si>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</si>
  <si>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</si>
  <si>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</si>
  <si>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</si>
  <si>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</si>
  <si>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</si>
  <si>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</si>
  <si>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</si>
  <si>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</si>
  <si>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</si>
  <si>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</si>
  <si>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</si>
  <si>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</si>
  <si>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</si>
  <si>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</si>
  <si>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</si>
  <si>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</si>
  <si>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</si>
  <si>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</si>
  <si>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</si>
  <si>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</si>
  <si>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</si>
  <si>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</si>
  <si>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</si>
  <si>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</si>
  <si>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</si>
  <si>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</si>
  <si>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</si>
  <si>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</si>
  <si>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</si>
  <si>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</si>
  <si>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</si>
  <si>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</si>
  <si>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</si>
  <si>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</si>
  <si>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</si>
  <si>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</si>
  <si>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</si>
  <si>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</si>
  <si>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</si>
  <si>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</si>
  <si>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</si>
  <si>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</si>
  <si>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</si>
  <si>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</si>
  <si>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</si>
  <si>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</si>
  <si>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</si>
  <si>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</si>
  <si>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</si>
  <si>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</si>
  <si>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</si>
  <si>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</si>
  <si>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</si>
  <si>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</si>
  <si>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</si>
  <si>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</si>
  <si>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</si>
  <si>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</si>
  <si>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</si>
  <si>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</si>
  <si>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</si>
  <si>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</si>
  <si>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</si>
  <si>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</si>
  <si>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</si>
  <si>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</si>
  <si>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</si>
  <si>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</si>
  <si>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</si>
  <si>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</si>
  <si>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</si>
  <si>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</si>
  <si>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</si>
  <si>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</si>
  <si>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</si>
  <si>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</si>
  <si>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</si>
  <si>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</si>
  <si>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</si>
  <si>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</si>
  <si>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</si>
  <si>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</si>
  <si>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</si>
  <si>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</si>
  <si>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</si>
  <si>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</si>
  <si>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</si>
  <si>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</si>
  <si>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</si>
  <si>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</si>
  <si>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</si>
  <si>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</si>
  <si>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</si>
  <si>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</si>
  <si>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</si>
  <si>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</si>
  <si>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</si>
  <si>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</si>
  <si>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</si>
  <si>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</si>
  <si>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</si>
  <si>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</si>
  <si>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</si>
  <si>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</si>
  <si>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</si>
  <si>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</si>
  <si>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</si>
  <si>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</si>
  <si>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</si>
  <si>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</si>
  <si>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</si>
  <si>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</si>
  <si>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</si>
  <si>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</si>
  <si>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</si>
  <si>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</si>
  <si>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</si>
  <si>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</si>
  <si>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</si>
  <si>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</si>
  <si>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</si>
  <si>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</si>
  <si>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</si>
  <si>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</si>
  <si>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</si>
  <si>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</si>
  <si>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</si>
  <si>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</si>
  <si>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</si>
  <si>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</si>
  <si>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</si>
  <si>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</si>
  <si>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</si>
  <si>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</si>
  <si>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</si>
  <si>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</si>
  <si>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</si>
  <si>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</si>
  <si>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</si>
  <si>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</si>
  <si>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</si>
  <si>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</si>
  <si>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</si>
  <si>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</si>
  <si>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</si>
  <si>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</si>
  <si>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</si>
  <si>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</si>
  <si>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</si>
  <si>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</si>
  <si>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</si>
  <si>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</si>
  <si>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</si>
  <si>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</si>
  <si>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</si>
  <si>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</si>
  <si>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</si>
  <si>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</si>
  <si>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</si>
  <si>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</si>
  <si>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</si>
  <si>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</si>
  <si>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</si>
  <si>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</si>
  <si>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</si>
  <si>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</si>
  <si>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</si>
  <si>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</si>
  <si>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</si>
  <si>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</si>
  <si>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</si>
  <si>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</si>
  <si>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</si>
  <si>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</si>
  <si>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</si>
  <si>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</si>
  <si>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</si>
  <si>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</si>
  <si>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</si>
  <si>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</si>
  <si>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</si>
  <si>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</si>
  <si>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</si>
  <si>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</si>
  <si>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</si>
  <si>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</si>
  <si>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</si>
  <si>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</si>
  <si>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</si>
  <si>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</si>
  <si>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</si>
  <si>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</si>
  <si>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</si>
  <si>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</si>
  <si>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</si>
  <si>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</si>
  <si>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</si>
  <si>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</si>
  <si>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</si>
  <si>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</si>
  <si>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</si>
  <si>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</si>
  <si>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</si>
  <si>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</si>
  <si>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</si>
  <si>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</si>
  <si>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</si>
  <si>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</si>
  <si>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</si>
  <si>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</si>
  <si>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</si>
  <si>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</si>
  <si>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</si>
  <si>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</si>
  <si>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</si>
  <si>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</si>
  <si>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</si>
  <si>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</si>
  <si>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</si>
  <si>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</si>
  <si>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</si>
  <si>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</si>
  <si>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</si>
  <si>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</si>
  <si>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</si>
  <si>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</si>
  <si>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</si>
  <si>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</si>
  <si>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</si>
  <si>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</si>
  <si>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</si>
  <si>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</si>
  <si>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</si>
  <si>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</si>
  <si>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</si>
  <si>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</si>
  <si>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</si>
  <si>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</si>
  <si>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</si>
  <si>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</si>
  <si>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</si>
  <si>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</si>
  <si>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</si>
  <si>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</si>
  <si>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</si>
  <si>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</si>
  <si>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</si>
  <si>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</si>
  <si>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</si>
  <si>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</si>
  <si>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</si>
  <si>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</si>
  <si>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</si>
  <si>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</si>
  <si>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</si>
  <si>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</si>
  <si>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</si>
  <si>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</si>
  <si>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</si>
  <si>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</si>
  <si>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</si>
  <si>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</si>
  <si>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</si>
  <si>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</si>
  <si>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</si>
  <si>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</si>
  <si>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</si>
  <si>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</si>
  <si>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</si>
  <si>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</si>
  <si>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</si>
  <si>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</si>
  <si>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</si>
  <si>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</si>
  <si>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</si>
  <si>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</si>
  <si>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</si>
  <si>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</si>
  <si>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</si>
  <si>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</si>
  <si>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</si>
  <si>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</si>
  <si>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</si>
  <si>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</si>
  <si>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</si>
  <si>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</si>
  <si>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</si>
  <si>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</si>
  <si>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</si>
  <si>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</si>
  <si>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</si>
  <si>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</si>
  <si>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</si>
  <si>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</si>
  <si>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</si>
  <si>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</si>
  <si>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</si>
  <si>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</si>
  <si>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</si>
  <si>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</si>
  <si>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</si>
  <si>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</si>
  <si>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</si>
  <si>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</si>
  <si>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</si>
  <si>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</si>
  <si>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</si>
  <si>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</si>
  <si>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</si>
  <si>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</si>
  <si>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</si>
  <si>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</si>
  <si>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</si>
  <si>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</si>
  <si>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</si>
  <si>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</si>
  <si>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</si>
  <si>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</si>
  <si>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</si>
  <si>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</si>
  <si>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</si>
  <si>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</si>
  <si>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</si>
  <si>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</si>
  <si>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</si>
  <si>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</si>
  <si>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</si>
  <si>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</si>
  <si>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</si>
  <si>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</si>
  <si>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</si>
  <si>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</si>
  <si>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</si>
  <si>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</si>
  <si>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</si>
  <si>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</si>
  <si>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</si>
  <si>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</si>
  <si>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</si>
  <si>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</si>
  <si>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</si>
  <si>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</si>
  <si>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</si>
  <si>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</si>
  <si>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</si>
  <si>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</si>
  <si>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</si>
  <si>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</si>
  <si>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</si>
  <si>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</si>
  <si>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</si>
  <si>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</si>
  <si>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</si>
  <si>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</si>
  <si>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</si>
  <si>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</si>
  <si>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</si>
  <si>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</si>
  <si>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</si>
  <si>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</si>
  <si>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</si>
  <si>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</si>
  <si>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</si>
  <si>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</si>
  <si>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</si>
  <si>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</si>
  <si>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</si>
  <si>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</si>
  <si>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</si>
  <si>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</si>
  <si>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</si>
  <si>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</si>
  <si>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</si>
  <si>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</si>
  <si>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</si>
  <si>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</si>
  <si>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</si>
  <si>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</si>
  <si>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</si>
  <si>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</si>
  <si>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</si>
  <si>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</si>
  <si>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</si>
  <si>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</si>
  <si>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</si>
  <si>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</si>
  <si>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</si>
  <si>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</si>
  <si>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</si>
  <si>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</si>
  <si>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</si>
  <si>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</si>
  <si>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</si>
  <si>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</si>
  <si>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</si>
  <si>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</si>
  <si>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</si>
  <si>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</si>
  <si>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</si>
  <si>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</si>
  <si>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</si>
  <si>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</si>
  <si>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</si>
  <si>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</si>
  <si>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</si>
  <si>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</si>
  <si>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</si>
  <si>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</si>
  <si>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</si>
  <si>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</si>
  <si>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</si>
  <si>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</si>
  <si>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</si>
  <si>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</si>
  <si>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</si>
  <si>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</si>
  <si>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</si>
  <si>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</si>
  <si>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</si>
  <si>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</si>
  <si>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</si>
  <si>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</si>
  <si>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</si>
  <si>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</si>
  <si>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</si>
  <si>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</si>
  <si>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</si>
  <si>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</si>
  <si>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</si>
  <si>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</si>
  <si>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</si>
  <si>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</si>
  <si>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</si>
  <si>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</si>
  <si>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</si>
  <si>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</si>
  <si>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</si>
  <si>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</si>
  <si>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</si>
  <si>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</si>
  <si>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</si>
  <si>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</si>
  <si>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</si>
  <si>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</si>
  <si>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</si>
  <si>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</si>
  <si>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</si>
  <si>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</si>
  <si>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</si>
  <si>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</si>
  <si>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</si>
  <si>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</si>
  <si>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</si>
  <si>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</si>
  <si>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</si>
  <si>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</si>
  <si>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</si>
  <si>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</si>
  <si>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</si>
  <si>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</si>
  <si>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</si>
  <si>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</si>
  <si>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</si>
  <si>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</si>
  <si>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</si>
  <si>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</si>
  <si>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</si>
  <si>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</si>
  <si>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</si>
  <si>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</si>
  <si>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</si>
  <si>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</si>
  <si>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</si>
  <si>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</si>
  <si>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</si>
  <si>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</si>
  <si>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</si>
  <si>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</si>
  <si>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</si>
  <si>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</si>
  <si>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</si>
  <si>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</si>
  <si>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</si>
  <si>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</si>
  <si>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</si>
  <si>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</si>
  <si>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</si>
  <si>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</si>
  <si>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</si>
  <si>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</si>
  <si>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</si>
  <si>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</si>
  <si>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</si>
  <si>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</si>
  <si>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</si>
  <si>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</si>
  <si>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</si>
  <si>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</si>
  <si>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</si>
  <si>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</si>
  <si>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</si>
  <si>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</si>
  <si>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</si>
  <si>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</si>
  <si>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</si>
  <si>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</si>
  <si>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</si>
  <si>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</si>
  <si>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</si>
  <si>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</si>
  <si>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</si>
  <si>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</si>
  <si>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</si>
  <si>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</si>
  <si>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</si>
  <si>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</si>
  <si>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</si>
  <si>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</si>
  <si>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</si>
  <si>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</si>
  <si>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</si>
  <si>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</si>
  <si>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</si>
  <si>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</si>
  <si>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</si>
  <si>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</si>
  <si>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</si>
  <si>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</si>
  <si>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</si>
  <si>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</si>
  <si>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</si>
  <si>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</si>
  <si>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</si>
  <si>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</si>
  <si>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</si>
  <si>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</si>
  <si>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</si>
  <si>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</si>
  <si>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</si>
  <si>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</si>
  <si>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</si>
  <si>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</si>
  <si>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</si>
  <si>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</si>
  <si>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</si>
  <si>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</si>
  <si>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</si>
  <si>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</si>
  <si>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</si>
  <si>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</si>
  <si>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</si>
  <si>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</si>
  <si>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</si>
  <si>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</si>
  <si>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</si>
  <si>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</si>
  <si>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</si>
  <si>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</si>
  <si>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</si>
  <si>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</si>
  <si>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</si>
  <si>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</si>
  <si>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</si>
  <si>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</si>
  <si>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</si>
  <si>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</si>
  <si>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</si>
  <si>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</si>
  <si>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</si>
  <si>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</si>
  <si>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</si>
  <si>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</si>
  <si>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</si>
  <si>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</si>
  <si>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</si>
  <si>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</si>
  <si>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</si>
  <si>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</si>
  <si>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</si>
  <si>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</si>
  <si>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</si>
  <si>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</si>
  <si>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</si>
  <si>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</si>
  <si>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</si>
  <si>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</si>
  <si>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</si>
  <si>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</si>
  <si>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</si>
  <si>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</si>
  <si>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</si>
  <si>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</si>
  <si>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</si>
  <si>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</si>
  <si>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</si>
  <si>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</si>
  <si>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</si>
  <si>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</si>
  <si>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</si>
  <si>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</si>
  <si>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</si>
  <si>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</si>
  <si>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</si>
  <si>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</si>
  <si>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</si>
  <si>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</si>
  <si>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</si>
  <si>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</si>
  <si>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</si>
  <si>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</si>
  <si>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</si>
  <si>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</si>
  <si>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</si>
  <si>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</si>
  <si>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</si>
  <si>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</si>
  <si>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</si>
  <si>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</si>
  <si>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</si>
  <si>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</si>
  <si>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</si>
  <si>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</si>
  <si>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</si>
  <si>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</si>
  <si>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</si>
  <si>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</si>
  <si>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</si>
  <si>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</si>
  <si>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</si>
  <si>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</si>
  <si>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</si>
  <si>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</si>
  <si>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</si>
  <si>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</si>
  <si>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</si>
  <si>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</si>
  <si>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</si>
  <si>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</si>
  <si>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</si>
  <si>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</si>
  <si>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</si>
  <si>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</si>
  <si>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</si>
  <si>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</si>
  <si>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</si>
  <si>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</si>
  <si>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</si>
  <si>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</si>
  <si>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</si>
  <si>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</si>
  <si>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</si>
  <si>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</si>
  <si>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</si>
  <si>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</si>
  <si>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</si>
  <si>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</si>
  <si>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</si>
  <si>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</si>
  <si>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</si>
  <si>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</si>
  <si>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</si>
  <si>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</si>
  <si>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</si>
  <si>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</si>
  <si>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</si>
  <si>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</si>
  <si>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</si>
  <si>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</si>
  <si>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</si>
  <si>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</si>
  <si>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</si>
  <si>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</si>
  <si>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</si>
  <si>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</si>
  <si>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</si>
  <si>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</si>
  <si>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</si>
  <si>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</si>
  <si>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</si>
  <si>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</si>
  <si>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</si>
  <si>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</si>
  <si>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</si>
  <si>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</si>
  <si>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</si>
  <si>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</si>
  <si>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</si>
  <si>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</si>
  <si>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</si>
  <si>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</si>
  <si>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</si>
  <si>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</si>
  <si>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</si>
  <si>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</si>
  <si>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</si>
  <si>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</si>
  <si>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</si>
  <si>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</si>
  <si>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</si>
  <si>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</si>
  <si>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</si>
  <si>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</si>
  <si>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</si>
  <si>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</si>
  <si>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</si>
  <si>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</si>
  <si>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</si>
  <si>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</si>
  <si>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</si>
  <si>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</si>
  <si>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</si>
  <si>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</si>
  <si>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</si>
  <si>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</si>
  <si>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</si>
  <si>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</si>
  <si>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</si>
  <si>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</si>
  <si>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</si>
  <si>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</si>
  <si>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</si>
  <si>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</si>
  <si>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</si>
  <si>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</si>
  <si>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</si>
  <si>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</si>
  <si>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</si>
  <si>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</si>
  <si>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</si>
  <si>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</si>
  <si>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</si>
  <si>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</si>
  <si>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</si>
  <si>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</si>
  <si>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</si>
  <si>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</si>
  <si>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</si>
  <si>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</si>
  <si>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</si>
  <si>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</si>
  <si>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</si>
  <si>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</si>
  <si>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</si>
  <si>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</si>
  <si>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</si>
  <si>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</si>
  <si>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</si>
  <si>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</si>
  <si>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</si>
  <si>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</si>
  <si>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</si>
  <si>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</si>
  <si>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</si>
  <si>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</si>
  <si>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</si>
  <si>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</si>
  <si>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</si>
  <si>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</si>
  <si>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</si>
  <si>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</si>
  <si>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</si>
  <si>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</si>
  <si>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</si>
  <si>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</si>
  <si>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</si>
  <si>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</si>
  <si>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</si>
  <si>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</si>
  <si>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</si>
  <si>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</si>
  <si>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</si>
  <si>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</si>
  <si>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</si>
  <si>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</si>
  <si>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</si>
  <si>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</si>
  <si>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</si>
  <si>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</si>
  <si>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</si>
  <si>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</si>
  <si>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</si>
  <si>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</si>
  <si>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</si>
  <si>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</si>
  <si>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</si>
  <si>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</si>
  <si>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</si>
  <si>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</si>
  <si>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</si>
  <si>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</si>
  <si>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</si>
  <si>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</si>
  <si>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</si>
  <si>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</si>
  <si>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</si>
  <si>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</si>
  <si>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</si>
  <si>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</si>
  <si>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</si>
  <si>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</si>
  <si>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</si>
  <si>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</si>
  <si>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</si>
  <si>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</si>
  <si>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</si>
  <si>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</si>
  <si>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</si>
  <si>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</si>
  <si>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</si>
  <si>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</si>
  <si>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</si>
  <si>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</si>
  <si>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</si>
  <si>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</si>
  <si>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</si>
  <si>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</si>
  <si>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</si>
  <si>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</si>
  <si>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</si>
  <si>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</si>
  <si>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</si>
  <si>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</si>
  <si>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</si>
  <si>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</si>
  <si>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</si>
  <si>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</si>
  <si>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</si>
  <si>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</si>
  <si>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</si>
  <si>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</si>
  <si>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</si>
  <si>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</si>
  <si>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</si>
  <si>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</si>
  <si>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</si>
  <si>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</si>
  <si>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</si>
  <si>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</si>
  <si>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</si>
  <si>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</si>
  <si>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</si>
  <si>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</si>
  <si>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</si>
  <si>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</si>
  <si>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</si>
  <si>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</si>
  <si>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</si>
  <si>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</si>
  <si>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</si>
  <si>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</si>
  <si>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</si>
  <si>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</si>
  <si>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</si>
  <si>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</si>
  <si>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</si>
  <si>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</si>
  <si>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</si>
  <si>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</si>
  <si>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</si>
  <si>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</si>
  <si>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</si>
  <si>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</si>
  <si>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</si>
  <si>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</si>
  <si>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</si>
  <si>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</si>
  <si>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</si>
  <si>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</si>
  <si>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</si>
  <si>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</si>
  <si>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</si>
  <si>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</si>
  <si>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</si>
  <si>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</si>
  <si>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</si>
  <si>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</si>
  <si>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</si>
  <si>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</si>
  <si>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</si>
  <si>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</si>
  <si>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</si>
  <si>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</si>
  <si>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</si>
  <si>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</si>
  <si>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</si>
  <si>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</si>
  <si>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</si>
  <si>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</si>
  <si>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</si>
  <si>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</si>
  <si>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</si>
  <si>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</si>
  <si>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</si>
  <si>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</si>
  <si>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</si>
  <si>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</si>
  <si>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</si>
  <si>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</si>
  <si>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</si>
  <si>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</si>
  <si>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</si>
  <si>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</si>
  <si>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</si>
  <si>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</si>
  <si>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</si>
  <si>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</si>
  <si>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</si>
  <si>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</si>
  <si>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</si>
  <si>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</si>
  <si>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</si>
  <si>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</si>
  <si>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</si>
  <si>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</si>
  <si>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</si>
  <si>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</si>
  <si>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</si>
  <si>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</si>
  <si>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</si>
  <si>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</si>
  <si>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</si>
  <si>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</si>
  <si>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</si>
  <si>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</si>
  <si>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</si>
  <si>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</si>
  <si>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</si>
  <si>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</si>
  <si>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</si>
  <si>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</si>
  <si>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</si>
  <si>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</si>
  <si>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</si>
  <si>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</si>
  <si>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</si>
  <si>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</si>
  <si>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</si>
  <si>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</si>
  <si>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</si>
  <si>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</si>
  <si>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</si>
  <si>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</si>
  <si>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</si>
  <si>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</si>
  <si>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</si>
  <si>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</si>
  <si>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</si>
  <si>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</si>
  <si>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</si>
  <si>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</si>
  <si>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</si>
  <si>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</si>
  <si>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</si>
  <si>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</si>
  <si>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</si>
  <si>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</si>
  <si>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</si>
  <si>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</si>
  <si>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</si>
  <si>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</si>
  <si>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</si>
  <si>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</si>
  <si>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</si>
  <si>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</si>
  <si>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</si>
  <si>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</si>
  <si>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</si>
  <si>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</si>
  <si>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</si>
  <si>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</si>
  <si>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</si>
  <si>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</si>
  <si>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</si>
  <si>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</si>
  <si>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</si>
  <si>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</si>
  <si>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</si>
  <si>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</si>
  <si>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</si>
  <si>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</si>
  <si>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</si>
  <si>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</si>
  <si>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</si>
  <si>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</si>
  <si>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</si>
  <si>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</si>
  <si>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</si>
  <si>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</si>
  <si>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</si>
  <si>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</si>
  <si>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</si>
  <si>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</si>
  <si>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</si>
  <si>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</si>
  <si>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</si>
  <si>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</si>
  <si>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</si>
  <si>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</si>
  <si>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</si>
  <si>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</si>
  <si>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</si>
  <si>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</si>
  <si>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</si>
  <si>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</si>
  <si>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</si>
  <si>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</si>
  <si>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</si>
  <si>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</si>
  <si>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</si>
  <si>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</si>
  <si>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</si>
  <si>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</si>
  <si>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</si>
  <si>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</si>
  <si>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</si>
  <si>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</si>
  <si>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</si>
  <si>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</si>
  <si>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</si>
  <si>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</si>
  <si>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</si>
  <si>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</si>
  <si>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</si>
  <si>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</si>
  <si>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</si>
  <si>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</si>
  <si>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</si>
  <si>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</si>
  <si>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</si>
  <si>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</si>
  <si>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</si>
  <si>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</si>
  <si>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</si>
  <si>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</si>
  <si>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</si>
  <si>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</si>
  <si>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</si>
  <si>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</si>
  <si>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</si>
  <si>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</si>
  <si>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</si>
  <si>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</si>
  <si>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</si>
  <si>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</si>
  <si>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</si>
  <si>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</si>
  <si>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</si>
  <si>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</si>
  <si>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</si>
  <si>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</si>
  <si>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</si>
  <si>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</si>
  <si>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</si>
  <si>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</si>
  <si>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</si>
  <si>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</si>
  <si>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</si>
  <si>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</si>
  <si>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</si>
  <si>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</si>
  <si>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</si>
  <si>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</si>
  <si>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</si>
  <si>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</si>
  <si>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</si>
  <si>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</si>
  <si>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</si>
  <si>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</si>
  <si>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</si>
  <si>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</si>
  <si>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</si>
  <si>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</si>
  <si>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</si>
  <si>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</si>
  <si>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</si>
  <si>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</si>
  <si>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</si>
  <si>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</si>
  <si>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</si>
  <si>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</si>
  <si>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</si>
  <si>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</si>
  <si>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</si>
  <si>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</si>
  <si>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</si>
  <si>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</si>
  <si>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</si>
  <si>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</si>
  <si>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</si>
  <si>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</si>
  <si>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</si>
  <si>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</si>
  <si>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</si>
  <si>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</si>
  <si>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</si>
  <si>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</si>
  <si>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</si>
  <si>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</si>
  <si>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</si>
  <si>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</si>
  <si>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</si>
  <si>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</si>
  <si>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</si>
  <si>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</si>
  <si>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</si>
  <si>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</si>
  <si>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</si>
  <si>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</si>
  <si>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</si>
  <si>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</si>
  <si>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</si>
  <si>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</si>
  <si>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</si>
  <si>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</si>
  <si>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</si>
  <si>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</si>
  <si>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</si>
  <si>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</si>
  <si>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</si>
  <si>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</si>
  <si>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</si>
  <si>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</si>
  <si>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</si>
  <si>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</si>
  <si>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</si>
  <si>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</si>
  <si>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</si>
  <si>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</si>
  <si>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</si>
  <si>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</si>
  <si>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</si>
  <si>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</si>
  <si>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</si>
  <si>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</si>
  <si>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</si>
  <si>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</si>
  <si>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</si>
  <si>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</si>
  <si>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</si>
  <si>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</si>
  <si>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</si>
  <si>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</si>
  <si>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</si>
  <si>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</si>
  <si>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</si>
  <si>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</si>
  <si>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</si>
  <si>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</si>
  <si>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</si>
  <si>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</si>
  <si>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</si>
  <si>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</si>
  <si>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</si>
  <si>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</si>
  <si>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</si>
  <si>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</si>
  <si>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</si>
  <si>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</si>
  <si>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</si>
  <si>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</si>
  <si>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</si>
  <si>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</si>
  <si>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</si>
  <si>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</si>
  <si>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</si>
  <si>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</si>
  <si>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</si>
  <si>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</si>
  <si>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</si>
  <si>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</si>
  <si>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</si>
  <si>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</si>
  <si>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</si>
  <si>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</si>
  <si>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</si>
  <si>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</si>
  <si>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</si>
  <si>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</si>
  <si>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</si>
  <si>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</si>
  <si>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</si>
  <si>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</si>
  <si>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</si>
  <si>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</si>
  <si>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</si>
  <si>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</si>
  <si>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</si>
  <si>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</si>
  <si>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</si>
  <si>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</si>
  <si>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</si>
  <si>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</si>
  <si>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</si>
  <si>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</si>
  <si>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</si>
  <si>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</si>
  <si>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</si>
  <si>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</si>
  <si>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</si>
  <si>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</si>
  <si>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</si>
  <si>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</si>
  <si>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</si>
  <si>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</si>
  <si>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</si>
  <si>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</si>
  <si>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</si>
  <si>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</si>
  <si>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</si>
  <si>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</si>
  <si>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</si>
  <si>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</si>
  <si>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</si>
  <si>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</si>
  <si>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</si>
  <si>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</si>
  <si>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</si>
  <si>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</si>
  <si>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</si>
  <si>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</si>
  <si>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</si>
  <si>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</si>
  <si>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</si>
  <si>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</si>
  <si>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</si>
  <si>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</si>
  <si>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</si>
  <si>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</si>
  <si>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</si>
  <si>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</si>
  <si>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</si>
  <si>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</si>
  <si>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</si>
  <si>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</si>
  <si>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</si>
  <si>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</si>
  <si>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</si>
  <si>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</si>
  <si>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</si>
  <si>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</si>
  <si>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</si>
  <si>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</si>
  <si>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</si>
  <si>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</si>
  <si>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</si>
  <si>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</si>
  <si>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</si>
  <si>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</si>
  <si>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</si>
  <si>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</si>
  <si>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</si>
  <si>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</si>
  <si>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</si>
  <si>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</si>
  <si>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</si>
  <si>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</si>
  <si>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</si>
  <si>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</si>
  <si>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</si>
  <si>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</si>
  <si>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</si>
  <si>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</si>
  <si>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</si>
  <si>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</si>
  <si>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</si>
  <si>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</si>
  <si>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</si>
  <si>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</si>
  <si>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</si>
  <si>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</si>
  <si>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</si>
  <si>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</si>
  <si>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</si>
  <si>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</si>
  <si>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</si>
  <si>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</si>
  <si>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</si>
  <si>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</si>
  <si>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</si>
  <si>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</si>
  <si>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</si>
  <si>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</si>
  <si>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</si>
  <si>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</si>
  <si>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</si>
  <si>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</si>
  <si>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</si>
  <si>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</si>
  <si>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</si>
  <si>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</si>
  <si>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</si>
  <si>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</si>
  <si>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</si>
  <si>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</si>
  <si>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</si>
  <si>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</si>
  <si>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</si>
  <si>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</si>
  <si>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</si>
  <si>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</si>
  <si>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</si>
  <si>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</si>
  <si>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</si>
  <si>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</si>
  <si>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</si>
  <si>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</si>
  <si>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</si>
  <si>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</si>
  <si>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</si>
  <si>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</si>
  <si>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</si>
  <si>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</si>
  <si>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</si>
  <si>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</si>
  <si>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</si>
  <si>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</si>
  <si>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</si>
  <si>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</si>
  <si>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</si>
  <si>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</si>
  <si>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</si>
  <si>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</si>
  <si>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</si>
  <si>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</si>
  <si>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</si>
  <si>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</si>
  <si>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</si>
  <si>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</si>
  <si>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</si>
  <si>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</si>
  <si>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</si>
  <si>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</si>
  <si>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</si>
  <si>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</si>
  <si>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</si>
  <si>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</si>
  <si>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</si>
  <si>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</si>
  <si>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</si>
  <si>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</si>
  <si>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</si>
  <si>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</si>
  <si>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</si>
  <si>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</si>
  <si>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</si>
  <si>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</si>
  <si>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</si>
  <si>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</si>
  <si>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</si>
  <si>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</si>
  <si>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</si>
  <si>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</si>
  <si>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</si>
  <si>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</si>
  <si>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</si>
  <si>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</si>
  <si>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</si>
  <si>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</si>
  <si>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</si>
  <si>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</si>
  <si>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</si>
  <si>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</si>
  <si>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</si>
  <si>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</si>
  <si>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</si>
  <si>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</si>
  <si>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</si>
  <si>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</si>
  <si>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</si>
  <si>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</si>
  <si>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</si>
  <si>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</si>
  <si>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</si>
  <si>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</si>
  <si>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</si>
  <si>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</si>
  <si>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</si>
  <si>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</si>
  <si>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</si>
  <si>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</si>
  <si>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</si>
  <si>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</si>
  <si>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</si>
  <si>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</si>
  <si>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</si>
  <si>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</si>
  <si>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</si>
  <si>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</si>
  <si>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</si>
  <si>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</si>
  <si>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</si>
  <si>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</si>
  <si>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</si>
  <si>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</si>
  <si>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</si>
  <si>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</si>
  <si>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</si>
  <si>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</si>
  <si>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</si>
  <si>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</si>
  <si>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</si>
  <si>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</si>
  <si>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</si>
  <si>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</si>
  <si>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</si>
  <si>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</si>
  <si>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</si>
  <si>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</si>
  <si>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</si>
  <si>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</si>
  <si>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</si>
  <si>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</si>
  <si>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</si>
  <si>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</si>
  <si>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</si>
  <si>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</si>
  <si>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</si>
  <si>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</si>
  <si>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</si>
  <si>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</si>
  <si>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</si>
  <si>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</si>
  <si>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</si>
  <si>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</si>
  <si>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</si>
  <si>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</si>
  <si>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</si>
  <si>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</si>
  <si>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</si>
  <si>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</si>
  <si>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</si>
  <si>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</si>
  <si>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</si>
  <si>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</si>
  <si>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</si>
  <si>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</si>
  <si>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</si>
  <si>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</si>
  <si>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</si>
  <si>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</si>
  <si>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</si>
  <si>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</si>
  <si>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</si>
  <si>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</si>
  <si>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</si>
  <si>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</si>
  <si>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</si>
  <si>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</si>
  <si>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</si>
  <si>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</si>
  <si>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</si>
  <si>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</si>
  <si>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</si>
  <si>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</si>
  <si>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</si>
  <si>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</si>
  <si>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</si>
  <si>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</si>
  <si>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</si>
  <si>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</si>
  <si>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</si>
  <si>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</si>
  <si>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</si>
  <si>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</si>
  <si>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</si>
  <si>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</si>
  <si>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</si>
  <si>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</si>
  <si>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</si>
  <si>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</si>
  <si>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</si>
  <si>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</si>
  <si>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</si>
  <si>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</si>
  <si>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</si>
  <si>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</si>
  <si>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</si>
  <si>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</si>
  <si>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</si>
  <si>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</si>
  <si>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</si>
  <si>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</si>
  <si>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</si>
  <si>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</si>
  <si>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</si>
  <si>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</si>
  <si>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</si>
  <si>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</si>
  <si>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</si>
  <si>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</si>
  <si>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</si>
  <si>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</si>
  <si>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</si>
  <si>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</si>
  <si>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</si>
  <si>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</si>
  <si>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</si>
  <si>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</si>
  <si>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</si>
  <si>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</si>
  <si>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</si>
  <si>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</si>
  <si>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</si>
  <si>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</si>
  <si>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</si>
  <si>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</si>
  <si>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</si>
  <si>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</si>
  <si>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</si>
  <si>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</si>
  <si>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</si>
  <si>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</si>
  <si>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</si>
  <si>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</si>
  <si>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</si>
  <si>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</si>
  <si>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</si>
  <si>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</si>
  <si>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</si>
  <si>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</si>
  <si>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</si>
  <si>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</si>
  <si>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</si>
  <si>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</si>
  <si>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</si>
  <si>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</si>
  <si>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</si>
  <si>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</si>
  <si>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</si>
  <si>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</si>
  <si>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</si>
  <si>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</si>
  <si>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</si>
  <si>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</si>
  <si>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</si>
  <si>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</si>
  <si>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</si>
  <si>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</si>
  <si>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</si>
  <si>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</si>
  <si>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</si>
  <si>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</si>
  <si>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</si>
  <si>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</si>
  <si>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</si>
  <si>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</si>
  <si>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</si>
  <si>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</si>
  <si>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</si>
  <si>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</si>
  <si>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</si>
  <si>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</si>
  <si>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</si>
  <si>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</si>
  <si>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</si>
  <si>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</si>
  <si>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</si>
  <si>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</si>
  <si>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</si>
  <si>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</si>
  <si>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</si>
  <si>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</si>
  <si>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</si>
  <si>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</si>
  <si>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</si>
  <si>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</si>
  <si>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</si>
  <si>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</si>
  <si>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</si>
  <si>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</si>
  <si>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</si>
  <si>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</si>
  <si>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</si>
  <si>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</si>
  <si>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</si>
  <si>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</si>
  <si>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</si>
  <si>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</si>
  <si>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</si>
  <si>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</si>
  <si>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</si>
  <si>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</si>
  <si>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</si>
  <si>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</si>
  <si>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</si>
  <si>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</si>
  <si>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</si>
  <si>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</si>
  <si>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</si>
  <si>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</si>
  <si>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</si>
  <si>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</si>
  <si>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</si>
  <si>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</si>
  <si>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</si>
  <si>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</si>
  <si>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</si>
  <si>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</si>
  <si>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</si>
  <si>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</si>
  <si>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</si>
  <si>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</si>
  <si>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</si>
  <si>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</si>
  <si>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</si>
  <si>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</si>
  <si>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</si>
  <si>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</si>
  <si>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</si>
  <si>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</si>
  <si>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</si>
  <si>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</si>
  <si>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</si>
  <si>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</si>
  <si>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</si>
  <si>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</si>
  <si>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</si>
  <si>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</si>
  <si>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</si>
  <si>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</si>
  <si>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</si>
  <si>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</si>
  <si>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</si>
  <si>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</si>
  <si>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</si>
  <si>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</si>
  <si>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</si>
  <si>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</si>
  <si>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</si>
  <si>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</si>
  <si>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</si>
  <si>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</si>
  <si>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</si>
  <si>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</si>
  <si>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</si>
  <si>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</si>
  <si>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</si>
  <si>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</si>
  <si>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</si>
  <si>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</si>
  <si>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</si>
  <si>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</si>
  <si>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</si>
  <si>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</si>
  <si>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</si>
  <si>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</si>
  <si>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</si>
  <si>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</si>
  <si>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</si>
  <si>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</si>
  <si>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</si>
  <si>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</si>
  <si>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</si>
  <si>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</si>
  <si>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</si>
  <si>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</si>
  <si>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</si>
  <si>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</si>
  <si>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</si>
  <si>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</si>
  <si>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</si>
  <si>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</si>
  <si>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</si>
  <si>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</si>
  <si>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</si>
  <si>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</si>
  <si>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</si>
  <si>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</si>
  <si>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</si>
  <si>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</si>
  <si>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</si>
  <si>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</si>
  <si>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</si>
  <si>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</si>
  <si>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</si>
  <si>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</si>
  <si>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</si>
  <si>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</si>
  <si>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</si>
  <si>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</si>
  <si>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</si>
  <si>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</si>
  <si>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</si>
  <si>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</si>
  <si>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</si>
  <si>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</si>
  <si>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</si>
  <si>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</si>
  <si>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</si>
  <si>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</si>
  <si>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</si>
  <si>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</si>
  <si>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</si>
  <si>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</si>
  <si>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</si>
  <si>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</si>
  <si>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</si>
  <si>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</si>
  <si>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</si>
  <si>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</si>
  <si>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</si>
  <si>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</si>
  <si>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</si>
  <si>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</si>
  <si>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</si>
  <si>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</si>
  <si>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</si>
  <si>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</si>
  <si>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</si>
  <si>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</si>
  <si>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</si>
  <si>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</si>
  <si>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</si>
  <si>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</si>
  <si>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</si>
  <si>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</si>
  <si>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</si>
  <si>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</si>
  <si>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</si>
  <si>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</si>
  <si>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</si>
  <si>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</si>
  <si>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</si>
  <si>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</si>
  <si>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</si>
  <si>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</si>
  <si>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</si>
  <si>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</si>
  <si>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</si>
  <si>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</si>
  <si>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</si>
  <si>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</si>
  <si>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</si>
  <si>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</si>
  <si>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</si>
  <si>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</si>
  <si>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</si>
  <si>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</si>
  <si>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</si>
  <si>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</si>
  <si>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</si>
  <si>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</si>
  <si>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</si>
  <si>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</si>
  <si>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</si>
  <si>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</si>
  <si>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</si>
  <si>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</si>
  <si>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</si>
  <si>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</si>
  <si>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</si>
  <si>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</si>
  <si>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</si>
  <si>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</si>
  <si>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</si>
  <si>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</si>
  <si>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</si>
  <si>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</si>
  <si>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</si>
  <si>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</si>
  <si>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</si>
  <si>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</si>
  <si>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</si>
  <si>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</si>
  <si>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</si>
  <si>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</si>
  <si>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</si>
  <si>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</si>
  <si>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</si>
  <si>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</si>
  <si>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</si>
  <si>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</si>
  <si>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</si>
  <si>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</si>
  <si>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</si>
  <si>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</si>
  <si>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</si>
  <si>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</si>
  <si>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</si>
  <si>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</si>
  <si>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</si>
  <si>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</si>
  <si>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</si>
  <si>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</si>
  <si>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</si>
  <si>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</si>
  <si>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</si>
  <si>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</si>
  <si>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</si>
  <si>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</si>
  <si>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</si>
  <si>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</si>
  <si>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</si>
  <si>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</si>
  <si>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</si>
  <si>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</si>
  <si>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</si>
  <si>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</si>
  <si>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</si>
  <si>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</si>
  <si>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</si>
  <si>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</si>
  <si>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</si>
  <si>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</si>
  <si>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</si>
  <si>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</si>
  <si>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</si>
  <si>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</si>
  <si>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</si>
  <si>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</si>
  <si>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</si>
  <si>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</si>
  <si>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</si>
  <si>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</si>
  <si>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</si>
  <si>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</si>
  <si>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</si>
  <si>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</si>
  <si>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</si>
  <si>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</si>
  <si>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</si>
  <si>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</si>
  <si>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</si>
  <si>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</si>
  <si>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</si>
  <si>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</si>
  <si>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</si>
  <si>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</si>
  <si>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</si>
  <si>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</si>
  <si>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</si>
  <si>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</si>
  <si>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</si>
  <si>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</si>
  <si>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</si>
  <si>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</si>
  <si>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</si>
  <si>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</si>
  <si>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</si>
  <si>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</si>
  <si>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</si>
  <si>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</si>
  <si>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</si>
  <si>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</si>
  <si>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</si>
  <si>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</si>
  <si>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</si>
  <si>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</si>
  <si>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</si>
  <si>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</si>
  <si>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</si>
  <si>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</si>
  <si>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</si>
  <si>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</si>
  <si>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</si>
  <si>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</si>
  <si>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</si>
  <si>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</si>
  <si>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</si>
  <si>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</si>
  <si>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</si>
  <si>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</si>
  <si>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</si>
  <si>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</si>
  <si>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</si>
  <si>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</si>
  <si>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</si>
  <si>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</si>
  <si>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</si>
  <si>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</si>
  <si>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</si>
  <si>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</si>
  <si>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</si>
  <si>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</si>
  <si>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</si>
  <si>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</si>
  <si>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</si>
  <si>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</si>
  <si>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</si>
  <si>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</si>
  <si>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</si>
  <si>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</si>
  <si>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</si>
  <si>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</si>
  <si>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</si>
  <si>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</si>
  <si>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</si>
  <si>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</si>
  <si>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</si>
  <si>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</si>
  <si>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</si>
  <si>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</si>
  <si>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</si>
  <si>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</si>
  <si>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</si>
  <si>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</si>
  <si>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</si>
  <si>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</si>
  <si>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</si>
  <si>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</si>
  <si>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</si>
  <si>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</si>
  <si>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</si>
  <si>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</si>
  <si>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</si>
  <si>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</si>
  <si>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</si>
  <si>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</si>
  <si>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</si>
  <si>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</si>
  <si>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</si>
  <si>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</si>
  <si>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</si>
  <si>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</si>
  <si>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</si>
  <si>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</si>
  <si>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</si>
  <si>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</si>
  <si>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</si>
  <si>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</si>
  <si>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</si>
  <si>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</si>
  <si>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</si>
  <si>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</si>
  <si>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</si>
  <si>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</si>
  <si>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</si>
  <si>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</si>
  <si>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</si>
  <si>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</si>
  <si>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</si>
  <si>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</si>
  <si>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</si>
  <si>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</si>
  <si>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</si>
  <si>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</si>
  <si>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</si>
  <si>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</si>
  <si>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</si>
  <si>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</si>
  <si>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</si>
  <si>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</si>
  <si>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</si>
  <si>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</si>
  <si>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</si>
  <si>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Woodford</t>
  </si>
  <si>
    <t>815 East Chatham</t>
  </si>
  <si>
    <t>Metamora</t>
  </si>
  <si>
    <t>mpayne@schools.mtco.com</t>
  </si>
  <si>
    <t>x</t>
  </si>
  <si>
    <t>Martin Payne</t>
  </si>
  <si>
    <t>309-367-2361</t>
  </si>
  <si>
    <t>309-367-2364</t>
  </si>
  <si>
    <t>jhohulin@gorenzcpa.com</t>
  </si>
  <si>
    <t>Jason A. Hohulin, CPA</t>
  </si>
  <si>
    <t>General Obligation/Refunding Bonds</t>
  </si>
  <si>
    <t>Working Cash Bond</t>
  </si>
  <si>
    <t>3&amp;6</t>
  </si>
  <si>
    <t>Metamora High School District No. 122</t>
  </si>
  <si>
    <t>Western Area Purchasing Cooperative</t>
  </si>
  <si>
    <t>Marshall-Putnam-Woodford Regional Office of Education</t>
  </si>
  <si>
    <t>Woodford County Special Education Association</t>
  </si>
  <si>
    <t>MTHS District No. 122, Germantown Hills No. 69</t>
  </si>
  <si>
    <t>20-2540-400</t>
  </si>
  <si>
    <t>Atlas Supply Company</t>
  </si>
  <si>
    <t>40-2550-300</t>
  </si>
  <si>
    <t>Midwest Bus Sales</t>
  </si>
  <si>
    <t>None</t>
  </si>
  <si>
    <t>There were no findings for the prior year ending June 30, 2018.</t>
  </si>
  <si>
    <t>Page 10, Line 81 Other District/School Activity Revenue: Music supplies sold to students</t>
  </si>
  <si>
    <t>Page 10, Line 91 Sales - Other: PE uniform sales</t>
  </si>
  <si>
    <t>Page 11, Line 106 Other Local Fees: Technology fees</t>
  </si>
  <si>
    <t>Page 11, Line 107 Other Local Revenues: E-Rate Revenue</t>
  </si>
  <si>
    <t>Page 15, Line 41 Other Support Services - Pupils: Playground supervision</t>
  </si>
  <si>
    <t>Page 16, Line 73 Other Support Services - Latchkey salaries and supplies</t>
  </si>
  <si>
    <t>Page 18, Line 171 Debt Services - Other: Bond fees</t>
  </si>
  <si>
    <t>Page 24, Line 31 Defeased debt  removed from schedule of bonded debt, paid from Line 34 bond issuance</t>
  </si>
  <si>
    <t>Page 24, Line 34 G.O. Refunding Bonds issued for outstanding debt on Line 31, not recorded in 7210</t>
  </si>
  <si>
    <t>O&amp;M - O&amp;M Maint of Plant - Supplies</t>
  </si>
  <si>
    <t>Transportation - Pupil Trans. - Purchased Services</t>
  </si>
  <si>
    <t>Page 19, Line 237 Crossing Guard and Playground Supervisor Benefits</t>
  </si>
  <si>
    <t>See PDF version</t>
  </si>
  <si>
    <t>Metamora CCSD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</si>
</sst>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1013114</xdr:colOff>
          <xdr:row>1</xdr:row>
          <xdr:rowOff>0</xdr:rowOff>
        </xdr:from>
        <xdr:to>
          <xdr:col>1</xdr:col>
          <xdr:colOff>1924050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3" t="s">
        <v>405</v>
      </c>
      <c r="J1" s="2014"/>
      <c r="K1" s="2014"/>
      <c r="L1" s="2014"/>
      <c r="M1" s="2014"/>
      <c r="N1" s="2014"/>
      <c r="O1" s="2014"/>
      <c r="P1" s="2014"/>
      <c r="Q1" s="2014"/>
      <c r="R1" s="2014"/>
      <c r="S1" s="2014"/>
    </row>
    <row r="2" spans="1:28" ht="12" customHeight="1" x14ac:dyDescent="0.2">
      <c r="A2" s="47" t="s">
        <v>1993</v>
      </c>
      <c r="D2" s="48"/>
      <c r="I2" s="2015" t="s">
        <v>979</v>
      </c>
      <c r="J2" s="2014"/>
      <c r="K2" s="2014"/>
      <c r="L2" s="2014"/>
      <c r="M2" s="2014"/>
      <c r="N2" s="2014"/>
      <c r="O2" s="2014"/>
      <c r="P2" s="2014"/>
      <c r="Q2" s="2014"/>
      <c r="R2" s="2014"/>
      <c r="S2" s="2014"/>
    </row>
    <row r="3" spans="1:28" ht="12" customHeight="1" x14ac:dyDescent="0.2">
      <c r="A3" s="155" t="s">
        <v>1945</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t="s">
        <v>2070</v>
      </c>
      <c r="C5" s="26" t="s">
        <v>910</v>
      </c>
      <c r="D5" s="84"/>
      <c r="E5" s="84"/>
      <c r="H5" s="38"/>
      <c r="I5" s="2022" t="s">
        <v>680</v>
      </c>
      <c r="J5" s="1967"/>
      <c r="K5" s="1967"/>
      <c r="L5" s="1967"/>
      <c r="M5" s="1967"/>
      <c r="N5" s="1967"/>
      <c r="O5" s="1967"/>
      <c r="P5" s="1967"/>
      <c r="Q5" s="1967"/>
      <c r="R5" s="1967"/>
      <c r="S5" s="1967"/>
    </row>
    <row r="6" spans="1:28" ht="14.1" customHeight="1" x14ac:dyDescent="0.2">
      <c r="B6" s="104"/>
      <c r="C6" s="26" t="s">
        <v>911</v>
      </c>
      <c r="D6" s="84"/>
      <c r="E6" s="84"/>
      <c r="I6" s="2021" t="s">
        <v>883</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1963" t="s">
        <v>533</v>
      </c>
      <c r="U9" s="1964"/>
      <c r="V9" s="1964"/>
      <c r="W9" s="1964"/>
      <c r="X9" s="1964"/>
      <c r="Y9" s="1964"/>
      <c r="Z9" s="1964"/>
      <c r="AA9" s="1965"/>
    </row>
    <row r="10" spans="1:28" ht="13.5" customHeight="1" x14ac:dyDescent="0.2">
      <c r="A10" s="1972" t="s">
        <v>675</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955</v>
      </c>
      <c r="B11" s="1976"/>
      <c r="C11" s="1976"/>
      <c r="D11" s="1976"/>
      <c r="E11" s="1976"/>
      <c r="F11" s="1976"/>
      <c r="G11" s="1976"/>
      <c r="H11" s="1977"/>
      <c r="I11" s="27"/>
      <c r="J11" s="74"/>
      <c r="K11" s="27"/>
      <c r="O11" s="148" t="s">
        <v>2070</v>
      </c>
      <c r="P11" s="100" t="s">
        <v>201</v>
      </c>
      <c r="Q11" s="30"/>
      <c r="R11" s="28"/>
      <c r="S11" s="27"/>
      <c r="T11" s="1969"/>
      <c r="U11" s="1970"/>
      <c r="V11" s="1970"/>
      <c r="W11" s="1970"/>
      <c r="X11" s="1970"/>
      <c r="Y11" s="1970"/>
      <c r="Z11" s="1970"/>
      <c r="AA11" s="197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3">
        <v>53102001004</v>
      </c>
      <c r="B13" s="1984"/>
      <c r="C13" s="1984"/>
      <c r="D13" s="1984"/>
      <c r="E13" s="1984"/>
      <c r="F13" s="1984"/>
      <c r="G13" s="1984"/>
      <c r="H13" s="1985"/>
      <c r="I13" s="31"/>
      <c r="J13" s="30"/>
      <c r="K13" s="28"/>
      <c r="L13" s="30"/>
      <c r="M13" s="30"/>
      <c r="N13" s="30"/>
      <c r="O13" s="30"/>
      <c r="P13" s="30"/>
      <c r="Q13" s="30"/>
      <c r="R13" s="30"/>
      <c r="S13" s="30"/>
      <c r="T13" s="1988" t="s">
        <v>2072</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1" t="s">
        <v>2073</v>
      </c>
      <c r="B15" s="1986"/>
      <c r="C15" s="1986"/>
      <c r="D15" s="1986"/>
      <c r="E15" s="1986"/>
      <c r="F15" s="1986"/>
      <c r="G15" s="1986"/>
      <c r="H15" s="1987"/>
      <c r="T15" s="1949" t="s">
        <v>2082</v>
      </c>
      <c r="U15" s="1950"/>
      <c r="V15" s="1950"/>
      <c r="W15" s="1950"/>
      <c r="X15" s="1950"/>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1" t="s">
        <v>2110</v>
      </c>
      <c r="B17" s="2011"/>
      <c r="C17" s="2011"/>
      <c r="D17" s="2011"/>
      <c r="E17" s="2011"/>
      <c r="F17" s="2011"/>
      <c r="G17" s="2011"/>
      <c r="H17" s="2012"/>
      <c r="T17" s="1998" t="s">
        <v>2064</v>
      </c>
      <c r="U17" s="1999"/>
      <c r="V17" s="1999"/>
      <c r="W17" s="1999"/>
      <c r="X17" s="1999"/>
      <c r="Y17" s="1999"/>
      <c r="Z17" s="1999"/>
      <c r="AA17" s="2000"/>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1" t="s">
        <v>2074</v>
      </c>
      <c r="B19" s="1982"/>
      <c r="C19" s="1982"/>
      <c r="D19" s="1982"/>
      <c r="E19" s="1982"/>
      <c r="F19" s="1982"/>
      <c r="G19" s="1982"/>
      <c r="H19" s="1980"/>
      <c r="I19" s="30"/>
      <c r="J19" s="99"/>
      <c r="K19" s="40"/>
      <c r="L19" s="38"/>
      <c r="M19" s="112" t="s">
        <v>315</v>
      </c>
      <c r="P19" s="27"/>
      <c r="Q19" s="27"/>
      <c r="R19" s="27"/>
      <c r="S19" s="31"/>
      <c r="T19" s="1981" t="s">
        <v>2065</v>
      </c>
      <c r="U19" s="1979"/>
      <c r="V19" s="1979"/>
      <c r="W19" s="1980"/>
      <c r="X19" s="1996" t="s">
        <v>2066</v>
      </c>
      <c r="Y19" s="1997"/>
      <c r="Z19" s="1994">
        <v>61614</v>
      </c>
      <c r="AA19" s="199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8" t="s">
        <v>2075</v>
      </c>
      <c r="B21" s="1979"/>
      <c r="C21" s="1979"/>
      <c r="D21" s="1979"/>
      <c r="E21" s="1979"/>
      <c r="F21" s="1979"/>
      <c r="G21" s="1979"/>
      <c r="H21" s="1980"/>
      <c r="I21" s="2004" t="s">
        <v>678</v>
      </c>
      <c r="J21" s="1967"/>
      <c r="K21" s="1967"/>
      <c r="L21" s="1967"/>
      <c r="M21" s="1967"/>
      <c r="N21" s="1967"/>
      <c r="O21" s="1967"/>
      <c r="P21" s="1967"/>
      <c r="Q21" s="1967"/>
      <c r="R21" s="1967"/>
      <c r="S21" s="1968"/>
      <c r="T21" s="1946" t="s">
        <v>2067</v>
      </c>
      <c r="U21" s="1947"/>
      <c r="V21" s="1947"/>
      <c r="W21" s="1947"/>
      <c r="X21" s="1960" t="s">
        <v>2068</v>
      </c>
      <c r="Y21" s="1961"/>
      <c r="Z21" s="1961"/>
      <c r="AA21" s="1962"/>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1" t="s">
        <v>2076</v>
      </c>
      <c r="B23" s="2002"/>
      <c r="C23" s="2002"/>
      <c r="D23" s="2002"/>
      <c r="E23" s="2002"/>
      <c r="F23" s="2002"/>
      <c r="G23" s="2002"/>
      <c r="H23" s="2003"/>
      <c r="T23" s="1941" t="s">
        <v>2069</v>
      </c>
      <c r="U23" s="1942"/>
      <c r="V23" s="1942"/>
      <c r="W23" s="1942"/>
      <c r="X23" s="1957">
        <v>44501</v>
      </c>
      <c r="Y23" s="1958"/>
      <c r="Z23" s="1958"/>
      <c r="AA23" s="1959"/>
    </row>
    <row r="24" spans="1:27" ht="14.1" customHeight="1" x14ac:dyDescent="0.2">
      <c r="A24" s="88" t="s">
        <v>677</v>
      </c>
      <c r="B24" s="49"/>
      <c r="C24" s="49"/>
      <c r="D24" s="49"/>
      <c r="E24" s="49"/>
      <c r="F24" s="49"/>
      <c r="G24" s="49"/>
      <c r="H24" s="61"/>
      <c r="J24" s="2043">
        <f>IF(B5="x",IF(AUDITCHECK!D29="AFR form Incomplete.","",IF(AUDITCHECK!D29="Deficit reduction plan is required.","School District must complete a deficit reduction plan in the 2019-2020 Budget",)),"")</f>
        <v>0</v>
      </c>
      <c r="K24" s="2043"/>
      <c r="L24" s="2043"/>
      <c r="M24" s="2043"/>
      <c r="N24" s="2043"/>
      <c r="O24" s="2043"/>
      <c r="P24" s="2043"/>
      <c r="Q24" s="2043"/>
      <c r="R24" s="2043"/>
      <c r="S24" s="2044"/>
      <c r="T24" s="105" t="s">
        <v>531</v>
      </c>
      <c r="U24" s="106"/>
      <c r="V24" s="106"/>
      <c r="W24" s="106"/>
      <c r="X24" s="107"/>
      <c r="Y24" s="107"/>
      <c r="Z24" s="107"/>
      <c r="AA24" s="108"/>
    </row>
    <row r="25" spans="1:27" ht="14.1" customHeight="1" x14ac:dyDescent="0.2">
      <c r="A25" s="1978">
        <v>61548</v>
      </c>
      <c r="B25" s="1979"/>
      <c r="C25" s="1979"/>
      <c r="D25" s="1979"/>
      <c r="E25" s="1979"/>
      <c r="F25" s="1979"/>
      <c r="G25" s="1979"/>
      <c r="H25" s="1980"/>
      <c r="I25" s="113"/>
      <c r="J25" s="2045"/>
      <c r="K25" s="2045"/>
      <c r="L25" s="2045"/>
      <c r="M25" s="2045"/>
      <c r="N25" s="2045"/>
      <c r="O25" s="2045"/>
      <c r="P25" s="2045"/>
      <c r="Q25" s="2045"/>
      <c r="R25" s="2045"/>
      <c r="S25" s="2046"/>
      <c r="T25" s="1938" t="s">
        <v>2081</v>
      </c>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6"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1" t="s">
        <v>2078</v>
      </c>
      <c r="B38" s="2011"/>
      <c r="C38" s="2011"/>
      <c r="D38" s="2011"/>
      <c r="E38" s="2011"/>
      <c r="F38" s="1979"/>
      <c r="G38" s="1979"/>
      <c r="H38" s="1980"/>
      <c r="I38" s="2030"/>
      <c r="J38" s="1950"/>
      <c r="K38" s="1950"/>
      <c r="L38" s="1950"/>
      <c r="M38" s="1950"/>
      <c r="N38" s="1950"/>
      <c r="O38" s="1950"/>
      <c r="P38" s="1951"/>
      <c r="Q38" s="1951"/>
      <c r="R38" s="1951"/>
      <c r="S38" s="1952"/>
      <c r="T38" s="1949"/>
      <c r="U38" s="1950"/>
      <c r="V38" s="1950"/>
      <c r="W38" s="1950"/>
      <c r="X38" s="1951"/>
      <c r="Y38" s="1951"/>
      <c r="Z38" s="1951"/>
      <c r="AA38" s="1952"/>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37" t="s">
        <v>2076</v>
      </c>
      <c r="B40" s="2038"/>
      <c r="C40" s="2039"/>
      <c r="D40" s="2039"/>
      <c r="E40" s="2039"/>
      <c r="F40" s="2040"/>
      <c r="G40" s="2040"/>
      <c r="H40" s="2041"/>
      <c r="I40" s="1953"/>
      <c r="J40" s="1955"/>
      <c r="K40" s="1955"/>
      <c r="L40" s="1955"/>
      <c r="M40" s="1955"/>
      <c r="N40" s="1955"/>
      <c r="O40" s="1955"/>
      <c r="P40" s="1955"/>
      <c r="Q40" s="1955"/>
      <c r="R40" s="1955"/>
      <c r="S40" s="1956"/>
      <c r="T40" s="1953"/>
      <c r="U40" s="1954"/>
      <c r="V40" s="1955"/>
      <c r="W40" s="1955"/>
      <c r="X40" s="1955"/>
      <c r="Y40" s="1955"/>
      <c r="Z40" s="1955"/>
      <c r="AA40" s="19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7" t="s">
        <v>2079</v>
      </c>
      <c r="B42" s="2028"/>
      <c r="C42" s="2029"/>
      <c r="D42" s="2042" t="s">
        <v>2080</v>
      </c>
      <c r="E42" s="2028"/>
      <c r="F42" s="2028"/>
      <c r="G42" s="2028"/>
      <c r="H42" s="2029"/>
      <c r="I42" s="1948"/>
      <c r="J42" s="1944"/>
      <c r="K42" s="1944"/>
      <c r="L42" s="1944"/>
      <c r="M42" s="1944"/>
      <c r="N42" s="1944"/>
      <c r="O42" s="1945"/>
      <c r="P42" s="1943"/>
      <c r="Q42" s="1944"/>
      <c r="R42" s="1944"/>
      <c r="S42" s="1945"/>
      <c r="T42" s="1948"/>
      <c r="U42" s="1944"/>
      <c r="V42" s="1944"/>
      <c r="W42" s="1945"/>
      <c r="X42" s="1943"/>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0" t="s">
        <v>1802</v>
      </c>
      <c r="B2" s="1525" t="s">
        <v>1951</v>
      </c>
      <c r="C2" s="711" t="s">
        <v>1952</v>
      </c>
      <c r="D2" s="711" t="s">
        <v>1953</v>
      </c>
      <c r="E2" s="711" t="s">
        <v>1954</v>
      </c>
      <c r="F2" s="711" t="s">
        <v>1955</v>
      </c>
    </row>
    <row r="3" spans="1:6" ht="12" customHeight="1" x14ac:dyDescent="0.2">
      <c r="A3" s="2181"/>
      <c r="B3" s="1522"/>
      <c r="C3" s="1523"/>
      <c r="D3" s="1524" t="s">
        <v>256</v>
      </c>
      <c r="E3" s="1523"/>
      <c r="F3" s="1524" t="s">
        <v>257</v>
      </c>
    </row>
    <row r="4" spans="1:6" ht="13.7" customHeight="1" x14ac:dyDescent="0.2">
      <c r="A4" s="712" t="s">
        <v>1155</v>
      </c>
      <c r="B4" s="1746">
        <f>'Revenues 9-14'!C5</f>
        <v>2674957</v>
      </c>
      <c r="C4" s="1521"/>
      <c r="D4" s="1749">
        <f>B4-C4</f>
        <v>2674957</v>
      </c>
      <c r="E4" s="1521">
        <v>2717353</v>
      </c>
      <c r="F4" s="1749">
        <f>E4-C4</f>
        <v>2717353</v>
      </c>
    </row>
    <row r="5" spans="1:6" ht="13.7" customHeight="1" x14ac:dyDescent="0.2">
      <c r="A5" s="712" t="s">
        <v>870</v>
      </c>
      <c r="B5" s="1747">
        <f>'Revenues 9-14'!D5</f>
        <v>439960</v>
      </c>
      <c r="C5" s="582"/>
      <c r="D5" s="1750">
        <f t="shared" ref="D5:D18" si="0">B5-C5</f>
        <v>439960</v>
      </c>
      <c r="E5" s="582">
        <v>446933</v>
      </c>
      <c r="F5" s="1750">
        <f>E5-C5</f>
        <v>446933</v>
      </c>
    </row>
    <row r="6" spans="1:6" ht="13.7" customHeight="1" x14ac:dyDescent="0.2">
      <c r="A6" s="712" t="s">
        <v>411</v>
      </c>
      <c r="B6" s="1747">
        <f>'Revenues 9-14'!E5</f>
        <v>825013</v>
      </c>
      <c r="C6" s="582"/>
      <c r="D6" s="1750">
        <f t="shared" si="0"/>
        <v>825013</v>
      </c>
      <c r="E6" s="582">
        <v>831295</v>
      </c>
      <c r="F6" s="1750">
        <f t="shared" ref="F6:F18" si="1">E6-C6</f>
        <v>831295</v>
      </c>
    </row>
    <row r="7" spans="1:6" ht="13.7" customHeight="1" x14ac:dyDescent="0.2">
      <c r="A7" s="712" t="s">
        <v>155</v>
      </c>
      <c r="B7" s="1747">
        <f>'Revenues 9-14'!F5</f>
        <v>211180</v>
      </c>
      <c r="C7" s="582"/>
      <c r="D7" s="1750">
        <f t="shared" si="0"/>
        <v>211180</v>
      </c>
      <c r="E7" s="582">
        <v>214528</v>
      </c>
      <c r="F7" s="1750">
        <f t="shared" si="1"/>
        <v>214528</v>
      </c>
    </row>
    <row r="8" spans="1:6" ht="13.7" customHeight="1" x14ac:dyDescent="0.2">
      <c r="A8" s="712" t="s">
        <v>1179</v>
      </c>
      <c r="B8" s="1747">
        <f>'Revenues 9-14'!G5</f>
        <v>85880</v>
      </c>
      <c r="C8" s="582"/>
      <c r="D8" s="1750">
        <f t="shared" si="0"/>
        <v>85880</v>
      </c>
      <c r="E8" s="582">
        <v>105119</v>
      </c>
      <c r="F8" s="1750">
        <f t="shared" si="1"/>
        <v>105119</v>
      </c>
    </row>
    <row r="9" spans="1:6" ht="13.7" customHeight="1" x14ac:dyDescent="0.2">
      <c r="A9" s="712" t="s">
        <v>408</v>
      </c>
      <c r="B9" s="1747">
        <f>'Revenues 9-14'!H5</f>
        <v>0</v>
      </c>
      <c r="C9" s="582"/>
      <c r="D9" s="1750">
        <f t="shared" si="0"/>
        <v>0</v>
      </c>
      <c r="E9" s="582">
        <v>0</v>
      </c>
      <c r="F9" s="1750">
        <f t="shared" si="1"/>
        <v>0</v>
      </c>
    </row>
    <row r="10" spans="1:6" ht="13.7" customHeight="1" x14ac:dyDescent="0.2">
      <c r="A10" s="712" t="s">
        <v>407</v>
      </c>
      <c r="B10" s="1747">
        <f>'Revenues 9-14'!I5</f>
        <v>87992</v>
      </c>
      <c r="C10" s="582"/>
      <c r="D10" s="1750">
        <f t="shared" si="0"/>
        <v>87992</v>
      </c>
      <c r="E10" s="582">
        <v>89387</v>
      </c>
      <c r="F10" s="1750">
        <f t="shared" si="1"/>
        <v>89387</v>
      </c>
    </row>
    <row r="11" spans="1:6" x14ac:dyDescent="0.2">
      <c r="A11" s="712" t="s">
        <v>409</v>
      </c>
      <c r="B11" s="1747">
        <f>'Revenues 9-14'!J5</f>
        <v>99959</v>
      </c>
      <c r="C11" s="582"/>
      <c r="D11" s="1750">
        <f t="shared" si="0"/>
        <v>99959</v>
      </c>
      <c r="E11" s="582">
        <v>195042</v>
      </c>
      <c r="F11" s="1750">
        <f t="shared" si="1"/>
        <v>195042</v>
      </c>
    </row>
    <row r="12" spans="1:6" ht="13.7" customHeight="1" x14ac:dyDescent="0.2">
      <c r="A12" s="712" t="s">
        <v>157</v>
      </c>
      <c r="B12" s="1747">
        <f>'Revenues 9-14'!K5</f>
        <v>87992</v>
      </c>
      <c r="C12" s="582"/>
      <c r="D12" s="1750">
        <f t="shared" si="0"/>
        <v>87992</v>
      </c>
      <c r="E12" s="582">
        <v>89387</v>
      </c>
      <c r="F12" s="1750">
        <f t="shared" si="1"/>
        <v>89387</v>
      </c>
    </row>
    <row r="13" spans="1:6" ht="13.7" customHeight="1" x14ac:dyDescent="0.2">
      <c r="A13" s="712" t="s">
        <v>936</v>
      </c>
      <c r="B13" s="1747">
        <f>SUM('Revenues 9-14'!C6:D6)</f>
        <v>30093</v>
      </c>
      <c r="C13" s="582"/>
      <c r="D13" s="1750">
        <f t="shared" si="0"/>
        <v>30093</v>
      </c>
      <c r="E13" s="582">
        <v>30034</v>
      </c>
      <c r="F13" s="1750">
        <f t="shared" si="1"/>
        <v>30034</v>
      </c>
    </row>
    <row r="14" spans="1:6" ht="13.7" customHeight="1" x14ac:dyDescent="0.2">
      <c r="A14" s="712" t="s">
        <v>410</v>
      </c>
      <c r="B14" s="1747">
        <f>SUM('Revenues 9-14'!C7:D7,'Revenues 9-14'!F7:H7)</f>
        <v>35197</v>
      </c>
      <c r="C14" s="582"/>
      <c r="D14" s="1750">
        <f t="shared" si="0"/>
        <v>35197</v>
      </c>
      <c r="E14" s="582">
        <v>35755</v>
      </c>
      <c r="F14" s="1750">
        <f t="shared" si="1"/>
        <v>35755</v>
      </c>
    </row>
    <row r="15" spans="1:6" ht="13.7" customHeight="1" x14ac:dyDescent="0.2">
      <c r="A15" s="712" t="s">
        <v>1158</v>
      </c>
      <c r="B15" s="1747">
        <f>SUM('Revenues 9-14'!D9:E9,'Revenues 9-14'!H9)</f>
        <v>0</v>
      </c>
      <c r="C15" s="582"/>
      <c r="D15" s="1750">
        <f t="shared" si="0"/>
        <v>0</v>
      </c>
      <c r="E15" s="582">
        <v>0</v>
      </c>
      <c r="F15" s="1750">
        <f t="shared" si="1"/>
        <v>0</v>
      </c>
    </row>
    <row r="16" spans="1:6" ht="13.7" customHeight="1" x14ac:dyDescent="0.2">
      <c r="A16" s="712" t="s">
        <v>1159</v>
      </c>
      <c r="B16" s="1747">
        <f>'Revenues 9-14'!G8</f>
        <v>107878</v>
      </c>
      <c r="C16" s="582"/>
      <c r="D16" s="1750">
        <f t="shared" si="0"/>
        <v>107878</v>
      </c>
      <c r="E16" s="582">
        <v>115130</v>
      </c>
      <c r="F16" s="1750">
        <f t="shared" si="1"/>
        <v>115130</v>
      </c>
    </row>
    <row r="17" spans="1:6" ht="13.7" customHeight="1" x14ac:dyDescent="0.2">
      <c r="A17" s="712" t="s">
        <v>1160</v>
      </c>
      <c r="B17" s="1747">
        <f>'Revenues 9-14'!C10</f>
        <v>0</v>
      </c>
      <c r="C17" s="582"/>
      <c r="D17" s="1750">
        <f t="shared" si="0"/>
        <v>0</v>
      </c>
      <c r="E17" s="582">
        <v>0</v>
      </c>
      <c r="F17" s="1750">
        <f t="shared" si="1"/>
        <v>0</v>
      </c>
    </row>
    <row r="18" spans="1:6" ht="13.7" customHeight="1" x14ac:dyDescent="0.2">
      <c r="A18" s="712" t="s">
        <v>762</v>
      </c>
      <c r="B18" s="1747">
        <f>SUM('Revenues 9-14'!C11:K11)</f>
        <v>0</v>
      </c>
      <c r="C18" s="582"/>
      <c r="D18" s="1750">
        <f t="shared" si="0"/>
        <v>0</v>
      </c>
      <c r="E18" s="582">
        <v>0</v>
      </c>
      <c r="F18" s="1750">
        <f t="shared" si="1"/>
        <v>0</v>
      </c>
    </row>
    <row r="19" spans="1:6" ht="13.7" customHeight="1" thickBot="1" x14ac:dyDescent="0.25">
      <c r="A19" s="1751" t="s">
        <v>1161</v>
      </c>
      <c r="B19" s="1748">
        <f>SUM(B4:B18)</f>
        <v>4686101</v>
      </c>
      <c r="C19" s="1748">
        <f>SUM(C4:C18)</f>
        <v>0</v>
      </c>
      <c r="D19" s="1748">
        <f>SUM(D4:D18)</f>
        <v>4686101</v>
      </c>
      <c r="E19" s="1748">
        <f>SUM(E4:E18)</f>
        <v>4869963</v>
      </c>
      <c r="F19" s="1748">
        <f>SUM(F4:F18)</f>
        <v>4869963</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629</v>
      </c>
      <c r="B1" s="2187"/>
      <c r="C1" s="718"/>
    </row>
    <row r="2" spans="1:7" ht="33.75" x14ac:dyDescent="0.2">
      <c r="A2" s="2195" t="s">
        <v>1802</v>
      </c>
      <c r="B2" s="2196"/>
      <c r="C2" s="1881" t="s">
        <v>1956</v>
      </c>
      <c r="D2" s="720" t="s">
        <v>1957</v>
      </c>
      <c r="E2" s="720" t="s">
        <v>1958</v>
      </c>
      <c r="F2" s="1881" t="s">
        <v>1959</v>
      </c>
    </row>
    <row r="3" spans="1:7" ht="15.75" customHeight="1" x14ac:dyDescent="0.2">
      <c r="A3" s="2199" t="s">
        <v>1114</v>
      </c>
      <c r="B3" s="2200"/>
      <c r="C3" s="2188"/>
      <c r="D3" s="2189"/>
      <c r="E3" s="2189"/>
      <c r="F3" s="2190"/>
    </row>
    <row r="4" spans="1:7" ht="12.75" customHeight="1" thickBot="1" x14ac:dyDescent="0.25">
      <c r="A4" s="2197" t="s">
        <v>630</v>
      </c>
      <c r="B4" s="2198"/>
      <c r="C4" s="578"/>
      <c r="D4" s="578"/>
      <c r="E4" s="578"/>
      <c r="F4" s="1752">
        <f>SUM(C4+D4)-E4</f>
        <v>0</v>
      </c>
    </row>
    <row r="5" spans="1:7" ht="15.75" customHeight="1" thickTop="1" x14ac:dyDescent="0.2">
      <c r="A5" s="2182" t="s">
        <v>1110</v>
      </c>
      <c r="B5" s="2183"/>
      <c r="C5" s="2191"/>
      <c r="D5" s="2192"/>
      <c r="E5" s="2192"/>
      <c r="F5" s="2193"/>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84" t="s">
        <v>631</v>
      </c>
      <c r="B15" s="2185"/>
      <c r="C15" s="1752">
        <f>SUM(C6:C14)</f>
        <v>0</v>
      </c>
      <c r="D15" s="1752">
        <f>SUM(D6:D14)</f>
        <v>0</v>
      </c>
      <c r="E15" s="1752">
        <f>SUM(E6:E14)</f>
        <v>0</v>
      </c>
      <c r="F15" s="1752">
        <f>SUM(F6:F14)</f>
        <v>0</v>
      </c>
      <c r="G15" s="549"/>
    </row>
    <row r="16" spans="1:7" s="202" customFormat="1" ht="15.75" customHeight="1" thickTop="1" x14ac:dyDescent="0.2">
      <c r="A16" s="2194" t="s">
        <v>1111</v>
      </c>
      <c r="B16" s="2183"/>
      <c r="C16" s="2191"/>
      <c r="D16" s="2192"/>
      <c r="E16" s="2192"/>
      <c r="F16" s="2193"/>
    </row>
    <row r="17" spans="1:11" ht="12.75" customHeight="1" thickBot="1" x14ac:dyDescent="0.25">
      <c r="A17" s="2207" t="s">
        <v>64</v>
      </c>
      <c r="B17" s="2208"/>
      <c r="C17" s="723"/>
      <c r="D17" s="582"/>
      <c r="E17" s="723"/>
      <c r="F17" s="1752">
        <f>SUM(C17+D17)-E17</f>
        <v>0</v>
      </c>
    </row>
    <row r="18" spans="1:11" ht="12.75" customHeight="1" thickTop="1" thickBot="1" x14ac:dyDescent="0.25">
      <c r="A18" s="2207" t="s">
        <v>6</v>
      </c>
      <c r="B18" s="2208"/>
      <c r="C18" s="723"/>
      <c r="D18" s="582"/>
      <c r="E18" s="723"/>
      <c r="F18" s="1752">
        <f>SUM(C18+D18)-E18</f>
        <v>0</v>
      </c>
    </row>
    <row r="19" spans="1:11" ht="12.75" customHeight="1" thickTop="1" thickBot="1" x14ac:dyDescent="0.25">
      <c r="A19" s="2207" t="s">
        <v>388</v>
      </c>
      <c r="B19" s="2208"/>
      <c r="C19" s="723"/>
      <c r="D19" s="582"/>
      <c r="E19" s="723"/>
      <c r="F19" s="1752">
        <f>SUM(C19+D19)-E19</f>
        <v>0</v>
      </c>
    </row>
    <row r="20" spans="1:11" ht="12.75" customHeight="1" thickTop="1" thickBot="1" x14ac:dyDescent="0.25">
      <c r="A20" s="2207" t="s">
        <v>448</v>
      </c>
      <c r="B20" s="2208"/>
      <c r="C20" s="723"/>
      <c r="D20" s="582"/>
      <c r="E20" s="723"/>
      <c r="F20" s="1752">
        <f>SUM(C20+D20)-E20</f>
        <v>0</v>
      </c>
    </row>
    <row r="21" spans="1:11" ht="14.25" thickTop="1" thickBot="1" x14ac:dyDescent="0.25">
      <c r="A21" s="2184" t="s">
        <v>632</v>
      </c>
      <c r="B21" s="2185"/>
      <c r="C21" s="1752">
        <f>SUM(C17:C20)</f>
        <v>0</v>
      </c>
      <c r="D21" s="1752">
        <f>SUM(D17:D20)</f>
        <v>0</v>
      </c>
      <c r="E21" s="1752">
        <f>SUM(E17:E20)</f>
        <v>0</v>
      </c>
      <c r="F21" s="1752">
        <f>SUM(F17:F20)</f>
        <v>0</v>
      </c>
      <c r="G21" s="549"/>
    </row>
    <row r="22" spans="1:11" ht="15.75" customHeight="1" thickTop="1" x14ac:dyDescent="0.2">
      <c r="A22" s="2209" t="s">
        <v>1112</v>
      </c>
      <c r="B22" s="2183"/>
      <c r="C22" s="2191"/>
      <c r="D22" s="2192"/>
      <c r="E22" s="2192"/>
      <c r="F22" s="2193"/>
    </row>
    <row r="23" spans="1:11" ht="13.5" thickBot="1" x14ac:dyDescent="0.25">
      <c r="A23" s="2197" t="s">
        <v>633</v>
      </c>
      <c r="B23" s="2198"/>
      <c r="C23" s="578"/>
      <c r="D23" s="578"/>
      <c r="E23" s="578"/>
      <c r="F23" s="1752">
        <f>SUM(C23+D23)-E23</f>
        <v>0</v>
      </c>
      <c r="G23" s="549"/>
    </row>
    <row r="24" spans="1:11" ht="15.75" customHeight="1" thickTop="1" x14ac:dyDescent="0.2">
      <c r="A24" s="2209" t="s">
        <v>1113</v>
      </c>
      <c r="B24" s="2183"/>
      <c r="C24" s="2191"/>
      <c r="D24" s="2192"/>
      <c r="E24" s="2192"/>
      <c r="F24" s="2193"/>
    </row>
    <row r="25" spans="1:11" ht="13.5" thickBot="1" x14ac:dyDescent="0.25">
      <c r="A25" s="2197" t="s">
        <v>634</v>
      </c>
      <c r="B25" s="2198"/>
      <c r="C25" s="578"/>
      <c r="D25" s="578"/>
      <c r="E25" s="578"/>
      <c r="F25" s="1752">
        <f>SUM(C25+D25)-E25</f>
        <v>0</v>
      </c>
      <c r="G25" s="549"/>
    </row>
    <row r="26" spans="1:11" ht="15.75" customHeight="1" thickTop="1" x14ac:dyDescent="0.2">
      <c r="A26" s="2182" t="s">
        <v>657</v>
      </c>
      <c r="B26" s="2183"/>
      <c r="C26" s="724"/>
      <c r="D26" s="724"/>
      <c r="E26" s="724"/>
      <c r="F26" s="725"/>
    </row>
    <row r="27" spans="1:11" ht="13.5" thickBot="1" x14ac:dyDescent="0.25">
      <c r="A27" s="2184" t="s">
        <v>1070</v>
      </c>
      <c r="B27" s="2185"/>
      <c r="C27" s="582"/>
      <c r="D27" s="582"/>
      <c r="E27" s="582"/>
      <c r="F27" s="1752">
        <f>SUM(C27+D27)-E27</f>
        <v>0</v>
      </c>
      <c r="G27" s="549"/>
    </row>
    <row r="28" spans="1:11" ht="7.5" customHeight="1" thickTop="1" x14ac:dyDescent="0.2">
      <c r="A28" s="590"/>
    </row>
    <row r="29" spans="1:11" ht="23.25" customHeight="1" x14ac:dyDescent="0.2">
      <c r="A29" s="2210" t="s">
        <v>582</v>
      </c>
      <c r="B29" s="2187"/>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2083</v>
      </c>
      <c r="B31" s="730">
        <v>40299</v>
      </c>
      <c r="C31" s="731">
        <v>4180000</v>
      </c>
      <c r="D31" s="732" t="s">
        <v>2085</v>
      </c>
      <c r="E31" s="731">
        <v>3810000</v>
      </c>
      <c r="F31" s="731"/>
      <c r="G31" s="731">
        <v>-3810000</v>
      </c>
      <c r="H31" s="731"/>
      <c r="I31" s="1753">
        <f>((E31+F31)-H31)+G31</f>
        <v>0</v>
      </c>
      <c r="J31" s="731"/>
      <c r="K31" s="733"/>
    </row>
    <row r="32" spans="1:11" ht="12" customHeight="1" x14ac:dyDescent="0.2">
      <c r="A32" s="729" t="s">
        <v>2084</v>
      </c>
      <c r="B32" s="730">
        <v>43048</v>
      </c>
      <c r="C32" s="731">
        <v>2000000</v>
      </c>
      <c r="D32" s="732">
        <v>1</v>
      </c>
      <c r="E32" s="731">
        <v>2000000</v>
      </c>
      <c r="F32" s="731"/>
      <c r="G32" s="731"/>
      <c r="H32" s="731">
        <v>435000</v>
      </c>
      <c r="I32" s="1753">
        <f>((E32+F32)-H32)+G32</f>
        <v>1565000</v>
      </c>
      <c r="J32" s="731">
        <f>I32-15270</f>
        <v>1549730</v>
      </c>
      <c r="K32" s="733"/>
    </row>
    <row r="33" spans="1:11" ht="12" customHeight="1" x14ac:dyDescent="0.2">
      <c r="A33" s="729" t="s">
        <v>2083</v>
      </c>
      <c r="B33" s="730">
        <v>43048</v>
      </c>
      <c r="C33" s="731">
        <v>3255000</v>
      </c>
      <c r="D33" s="732" t="s">
        <v>2085</v>
      </c>
      <c r="E33" s="731">
        <v>3255000</v>
      </c>
      <c r="F33" s="731"/>
      <c r="G33" s="731"/>
      <c r="H33" s="731"/>
      <c r="I33" s="1753">
        <f t="shared" ref="I33:I48" si="1">((E33+F33)-H33)+G33</f>
        <v>3255000</v>
      </c>
      <c r="J33" s="731">
        <f>I33-1913</f>
        <v>3253087</v>
      </c>
      <c r="K33" s="733"/>
    </row>
    <row r="34" spans="1:11" ht="12" customHeight="1" x14ac:dyDescent="0.2">
      <c r="A34" s="729" t="s">
        <v>2083</v>
      </c>
      <c r="B34" s="730">
        <v>43349</v>
      </c>
      <c r="C34" s="731">
        <v>3810000</v>
      </c>
      <c r="D34" s="732" t="s">
        <v>2085</v>
      </c>
      <c r="E34" s="731"/>
      <c r="F34" s="731"/>
      <c r="G34" s="731">
        <v>3810000</v>
      </c>
      <c r="H34" s="731"/>
      <c r="I34" s="1753">
        <f t="shared" si="1"/>
        <v>3810000</v>
      </c>
      <c r="J34" s="731">
        <f>I34-3792</f>
        <v>3806208</v>
      </c>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13245000</v>
      </c>
      <c r="D49" s="742"/>
      <c r="E49" s="1753">
        <f t="shared" ref="E49:J49" si="2">SUM(E31:E48)</f>
        <v>9065000</v>
      </c>
      <c r="F49" s="1753">
        <f t="shared" si="2"/>
        <v>0</v>
      </c>
      <c r="G49" s="1753">
        <f t="shared" si="2"/>
        <v>0</v>
      </c>
      <c r="H49" s="1753">
        <f t="shared" si="2"/>
        <v>435000</v>
      </c>
      <c r="I49" s="1753">
        <f t="shared" si="2"/>
        <v>8630000</v>
      </c>
      <c r="J49" s="1753">
        <f t="shared" si="2"/>
        <v>8609025</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1" t="s">
        <v>584</v>
      </c>
      <c r="C52" s="2202"/>
      <c r="D52" s="2202"/>
      <c r="E52" s="746" t="s">
        <v>845</v>
      </c>
      <c r="F52" s="2203"/>
      <c r="G52" s="2204"/>
      <c r="H52" s="733"/>
      <c r="I52" s="733"/>
      <c r="J52" s="743"/>
    </row>
    <row r="53" spans="1:11" ht="11.25" customHeight="1" x14ac:dyDescent="0.2">
      <c r="A53" s="747" t="s">
        <v>913</v>
      </c>
      <c r="B53" s="748" t="s">
        <v>951</v>
      </c>
      <c r="C53" s="743"/>
      <c r="D53" s="734"/>
      <c r="E53" s="746" t="s">
        <v>497</v>
      </c>
      <c r="F53" s="2205"/>
      <c r="G53" s="2206"/>
      <c r="H53" s="733"/>
      <c r="I53" s="733"/>
      <c r="J53" s="743"/>
    </row>
    <row r="54" spans="1:11" ht="11.25" customHeight="1" x14ac:dyDescent="0.2">
      <c r="A54" s="749" t="s">
        <v>914</v>
      </c>
      <c r="B54" s="744" t="s">
        <v>952</v>
      </c>
      <c r="C54" s="743"/>
      <c r="D54" s="734"/>
      <c r="E54" s="746" t="s">
        <v>498</v>
      </c>
      <c r="F54" s="2205"/>
      <c r="G54" s="220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27"/>
      <c r="I1" s="757"/>
      <c r="J1" s="433"/>
    </row>
    <row r="2" spans="1:11" ht="26.25" x14ac:dyDescent="0.2">
      <c r="A2" s="2214" t="s">
        <v>1677</v>
      </c>
      <c r="B2" s="2215"/>
      <c r="C2" s="2215"/>
      <c r="D2" s="2215"/>
      <c r="E2" s="2216"/>
      <c r="F2" s="758" t="s">
        <v>904</v>
      </c>
      <c r="G2" s="759" t="s">
        <v>1674</v>
      </c>
      <c r="H2" s="759" t="s">
        <v>410</v>
      </c>
      <c r="I2" s="759" t="s">
        <v>1158</v>
      </c>
      <c r="J2" s="759" t="s">
        <v>1812</v>
      </c>
      <c r="K2" s="759" t="s">
        <v>138</v>
      </c>
    </row>
    <row r="3" spans="1:11" x14ac:dyDescent="0.2">
      <c r="A3" s="2217" t="s">
        <v>1964</v>
      </c>
      <c r="B3" s="2218"/>
      <c r="C3" s="2218"/>
      <c r="D3" s="2218"/>
      <c r="E3" s="2219"/>
      <c r="F3" s="760"/>
      <c r="G3" s="761"/>
      <c r="H3" s="761"/>
      <c r="I3" s="761"/>
      <c r="J3" s="762"/>
      <c r="K3" s="762"/>
    </row>
    <row r="4" spans="1:11" x14ac:dyDescent="0.2">
      <c r="A4" s="2220" t="s">
        <v>369</v>
      </c>
      <c r="B4" s="2221"/>
      <c r="C4" s="2221"/>
      <c r="D4" s="2221"/>
      <c r="E4" s="2202"/>
      <c r="F4" s="763"/>
      <c r="G4" s="764"/>
      <c r="H4" s="765"/>
      <c r="I4" s="764"/>
      <c r="J4" s="766"/>
      <c r="K4" s="766"/>
    </row>
    <row r="5" spans="1:11" x14ac:dyDescent="0.2">
      <c r="A5" s="2238" t="s">
        <v>1069</v>
      </c>
      <c r="B5" s="2211"/>
      <c r="C5" s="2211"/>
      <c r="D5" s="2211"/>
      <c r="E5" s="2239"/>
      <c r="F5" s="767" t="s">
        <v>848</v>
      </c>
      <c r="G5" s="768"/>
      <c r="H5" s="761">
        <v>35197</v>
      </c>
      <c r="I5" s="769"/>
      <c r="J5" s="770"/>
      <c r="K5" s="770"/>
    </row>
    <row r="6" spans="1:11" x14ac:dyDescent="0.2">
      <c r="A6" s="771" t="s">
        <v>720</v>
      </c>
      <c r="B6" s="772"/>
      <c r="C6" s="772"/>
      <c r="D6" s="772"/>
      <c r="E6" s="773"/>
      <c r="F6" s="774" t="s">
        <v>849</v>
      </c>
      <c r="G6" s="761"/>
      <c r="H6" s="761">
        <v>29</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38" t="s">
        <v>1813</v>
      </c>
      <c r="B10" s="2211"/>
      <c r="C10" s="2211"/>
      <c r="D10" s="2211"/>
      <c r="E10" s="2240"/>
      <c r="F10" s="780" t="s">
        <v>862</v>
      </c>
      <c r="G10" s="779"/>
      <c r="H10" s="781"/>
      <c r="I10" s="761"/>
      <c r="J10" s="762"/>
      <c r="K10" s="762"/>
    </row>
    <row r="11" spans="1:11" x14ac:dyDescent="0.2">
      <c r="A11" s="2238" t="s">
        <v>160</v>
      </c>
      <c r="B11" s="2211"/>
      <c r="C11" s="2211"/>
      <c r="D11" s="2211"/>
      <c r="E11" s="2239"/>
      <c r="F11" s="767" t="s">
        <v>852</v>
      </c>
      <c r="G11" s="768"/>
      <c r="H11" s="761"/>
      <c r="I11" s="761"/>
      <c r="J11" s="762"/>
      <c r="K11" s="770"/>
    </row>
    <row r="12" spans="1:11" ht="13.5" thickBot="1" x14ac:dyDescent="0.25">
      <c r="A12" s="2228" t="s">
        <v>905</v>
      </c>
      <c r="B12" s="2229"/>
      <c r="C12" s="2229"/>
      <c r="D12" s="2229"/>
      <c r="E12" s="2230"/>
      <c r="F12" s="1754"/>
      <c r="G12" s="1755">
        <f>SUM(G5:G11)</f>
        <v>0</v>
      </c>
      <c r="H12" s="1755">
        <f>SUM(H5:H11)</f>
        <v>35226</v>
      </c>
      <c r="I12" s="1755">
        <f>SUM(I5:I11)</f>
        <v>0</v>
      </c>
      <c r="J12" s="1755">
        <f>SUM(J5:J11)</f>
        <v>0</v>
      </c>
      <c r="K12" s="1755">
        <f>SUM(K5:K11)</f>
        <v>0</v>
      </c>
    </row>
    <row r="13" spans="1:11" ht="13.5" thickTop="1" x14ac:dyDescent="0.2">
      <c r="A13" s="2222" t="s">
        <v>370</v>
      </c>
      <c r="B13" s="2223"/>
      <c r="C13" s="2223"/>
      <c r="D13" s="2223"/>
      <c r="E13" s="2224"/>
      <c r="F13" s="782"/>
      <c r="G13" s="783"/>
      <c r="H13" s="784"/>
      <c r="I13" s="785"/>
      <c r="J13" s="785"/>
      <c r="K13" s="785"/>
    </row>
    <row r="14" spans="1:11" x14ac:dyDescent="0.2">
      <c r="A14" s="2244" t="s">
        <v>456</v>
      </c>
      <c r="B14" s="2244"/>
      <c r="C14" s="2244"/>
      <c r="D14" s="2244"/>
      <c r="E14" s="2245"/>
      <c r="F14" s="786" t="s">
        <v>854</v>
      </c>
      <c r="G14" s="779"/>
      <c r="H14" s="761">
        <v>35226</v>
      </c>
      <c r="I14" s="768"/>
      <c r="J14" s="770"/>
      <c r="K14" s="762"/>
    </row>
    <row r="15" spans="1:11" x14ac:dyDescent="0.2">
      <c r="A15" s="2211" t="s">
        <v>4</v>
      </c>
      <c r="B15" s="2211"/>
      <c r="C15" s="2211"/>
      <c r="D15" s="2211"/>
      <c r="E15" s="2239"/>
      <c r="F15" s="786" t="s">
        <v>855</v>
      </c>
      <c r="G15" s="768"/>
      <c r="H15" s="761"/>
      <c r="I15" s="761"/>
      <c r="J15" s="762"/>
      <c r="K15" s="762"/>
    </row>
    <row r="16" spans="1:11" x14ac:dyDescent="0.2">
      <c r="A16" s="2211" t="s">
        <v>298</v>
      </c>
      <c r="B16" s="2211"/>
      <c r="C16" s="2211"/>
      <c r="D16" s="2211"/>
      <c r="E16" s="2239"/>
      <c r="F16" s="786" t="s">
        <v>923</v>
      </c>
      <c r="G16" s="769"/>
      <c r="H16" s="764"/>
      <c r="I16" s="764"/>
      <c r="J16" s="766"/>
      <c r="K16" s="766"/>
    </row>
    <row r="17" spans="1:11" x14ac:dyDescent="0.2">
      <c r="A17" s="2233" t="s">
        <v>935</v>
      </c>
      <c r="B17" s="2233"/>
      <c r="C17" s="2233"/>
      <c r="D17" s="2233"/>
      <c r="E17" s="2234"/>
      <c r="F17" s="787"/>
      <c r="G17" s="788"/>
      <c r="H17" s="789"/>
      <c r="I17" s="789"/>
      <c r="J17" s="790"/>
      <c r="K17" s="791"/>
    </row>
    <row r="18" spans="1:11" x14ac:dyDescent="0.2">
      <c r="A18" s="2225" t="s">
        <v>368</v>
      </c>
      <c r="B18" s="2226"/>
      <c r="C18" s="2226"/>
      <c r="D18" s="2226"/>
      <c r="E18" s="2227"/>
      <c r="F18" s="786" t="s">
        <v>932</v>
      </c>
      <c r="G18" s="779"/>
      <c r="H18" s="779"/>
      <c r="I18" s="779"/>
      <c r="J18" s="762"/>
      <c r="K18" s="792"/>
    </row>
    <row r="19" spans="1:11" ht="21.75" customHeight="1" x14ac:dyDescent="0.2">
      <c r="A19" s="2246" t="s">
        <v>1809</v>
      </c>
      <c r="B19" s="2246"/>
      <c r="C19" s="2246"/>
      <c r="D19" s="2246"/>
      <c r="E19" s="2247"/>
      <c r="F19" s="786" t="s">
        <v>933</v>
      </c>
      <c r="G19" s="779"/>
      <c r="H19" s="779"/>
      <c r="I19" s="779"/>
      <c r="J19" s="762"/>
      <c r="K19" s="792"/>
    </row>
    <row r="20" spans="1:11" x14ac:dyDescent="0.2">
      <c r="A20" s="2225" t="s">
        <v>1814</v>
      </c>
      <c r="B20" s="2226"/>
      <c r="C20" s="2226"/>
      <c r="D20" s="2226"/>
      <c r="E20" s="2227"/>
      <c r="F20" s="786" t="s">
        <v>934</v>
      </c>
      <c r="G20" s="779"/>
      <c r="H20" s="779"/>
      <c r="I20" s="779"/>
      <c r="J20" s="762"/>
      <c r="K20" s="792"/>
    </row>
    <row r="21" spans="1:11" ht="13.5" thickBot="1" x14ac:dyDescent="0.25">
      <c r="A21" s="2231" t="s">
        <v>638</v>
      </c>
      <c r="B21" s="2231"/>
      <c r="C21" s="2231"/>
      <c r="D21" s="2231"/>
      <c r="E21" s="2231"/>
      <c r="F21" s="1756"/>
      <c r="G21" s="789"/>
      <c r="H21" s="793"/>
      <c r="I21" s="793"/>
      <c r="J21" s="1757">
        <f>SUM(J18:J20)</f>
        <v>0</v>
      </c>
      <c r="K21" s="790"/>
    </row>
    <row r="22" spans="1:11" ht="13.5" thickTop="1" x14ac:dyDescent="0.2">
      <c r="A22" s="2211" t="s">
        <v>1815</v>
      </c>
      <c r="B22" s="2211"/>
      <c r="C22" s="2211"/>
      <c r="D22" s="2211"/>
      <c r="E22" s="2239"/>
      <c r="F22" s="786" t="s">
        <v>862</v>
      </c>
      <c r="G22" s="779"/>
      <c r="H22" s="761"/>
      <c r="I22" s="761"/>
      <c r="J22" s="794"/>
      <c r="K22" s="762"/>
    </row>
    <row r="23" spans="1:11" ht="13.5" thickBot="1" x14ac:dyDescent="0.25">
      <c r="A23" s="2232" t="s">
        <v>906</v>
      </c>
      <c r="B23" s="2231"/>
      <c r="C23" s="2231"/>
      <c r="D23" s="2231"/>
      <c r="E23" s="2231"/>
      <c r="F23" s="1758"/>
      <c r="G23" s="1755">
        <f>SUM(G14:G16,G21,G22)</f>
        <v>0</v>
      </c>
      <c r="H23" s="1755">
        <f>SUM(H14:H16,H21,H22)</f>
        <v>35226</v>
      </c>
      <c r="I23" s="1755">
        <f>SUM(I14:I16,I21,I22)</f>
        <v>0</v>
      </c>
      <c r="J23" s="1755">
        <f>SUM(J14:J16,J21,J22)</f>
        <v>0</v>
      </c>
      <c r="K23" s="1755">
        <f>SUM(K14:K16,K21,K22)</f>
        <v>0</v>
      </c>
    </row>
    <row r="24" spans="1:11" ht="14.25" thickTop="1" thickBot="1" x14ac:dyDescent="0.25">
      <c r="A24" s="2232" t="s">
        <v>1965</v>
      </c>
      <c r="B24" s="2231"/>
      <c r="C24" s="2231"/>
      <c r="D24" s="2231"/>
      <c r="E24" s="2231"/>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41"/>
      <c r="I31" s="2242"/>
      <c r="J31" s="2242"/>
      <c r="K31" s="2242"/>
    </row>
    <row r="32" spans="1:11" x14ac:dyDescent="0.2">
      <c r="A32" s="806"/>
      <c r="B32" s="237"/>
      <c r="C32" s="237"/>
      <c r="D32" s="237"/>
      <c r="E32" s="802"/>
      <c r="F32" s="808" t="s">
        <v>540</v>
      </c>
      <c r="G32" s="761"/>
      <c r="H32" s="2243"/>
      <c r="I32" s="2242"/>
      <c r="J32" s="2242"/>
      <c r="K32" s="2242"/>
    </row>
    <row r="33" spans="1:11" ht="1.5" customHeight="1" x14ac:dyDescent="0.2">
      <c r="A33" s="809" t="s">
        <v>1169</v>
      </c>
      <c r="B33" s="364"/>
      <c r="C33" s="364"/>
      <c r="D33" s="364"/>
      <c r="E33" s="364"/>
      <c r="F33" s="364"/>
      <c r="G33" s="810"/>
      <c r="H33" s="2243"/>
      <c r="I33" s="2242"/>
      <c r="J33" s="2242"/>
      <c r="K33" s="2242"/>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1" t="s">
        <v>541</v>
      </c>
      <c r="B41" s="2212"/>
      <c r="C41" s="2212"/>
      <c r="D41" s="2212"/>
      <c r="E41" s="2212"/>
      <c r="F41" s="2213"/>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3"/>
      <c r="E1" s="824"/>
      <c r="F1" s="824"/>
      <c r="G1" s="825"/>
      <c r="H1" s="826"/>
      <c r="I1" s="827"/>
      <c r="J1" s="2248"/>
      <c r="K1" s="2249"/>
      <c r="L1" s="2249"/>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22721</v>
      </c>
      <c r="D5" s="838"/>
      <c r="E5" s="838"/>
      <c r="F5" s="1757">
        <f>(C5+D5)-E5</f>
        <v>22721</v>
      </c>
      <c r="G5" s="834"/>
      <c r="H5" s="839"/>
      <c r="I5" s="839"/>
      <c r="J5" s="839"/>
      <c r="K5" s="790"/>
      <c r="L5" s="1766">
        <f>F5-K5</f>
        <v>22721</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14157667</v>
      </c>
      <c r="D8" s="841">
        <v>39380</v>
      </c>
      <c r="E8" s="841"/>
      <c r="F8" s="1757">
        <f>(C8+D8)-E8</f>
        <v>14197047</v>
      </c>
      <c r="G8" s="840">
        <v>50</v>
      </c>
      <c r="H8" s="762">
        <v>4680043</v>
      </c>
      <c r="I8" s="762">
        <v>271506</v>
      </c>
      <c r="J8" s="762"/>
      <c r="K8" s="1766">
        <f>(H8+I8)-J8</f>
        <v>4951549</v>
      </c>
      <c r="L8" s="1766">
        <f>F8-K8</f>
        <v>9245498</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742601</v>
      </c>
      <c r="D10" s="843"/>
      <c r="E10" s="843"/>
      <c r="F10" s="1761">
        <f>(C10+D10)-E10</f>
        <v>742601</v>
      </c>
      <c r="G10" s="840">
        <v>20</v>
      </c>
      <c r="H10" s="844">
        <v>410188</v>
      </c>
      <c r="I10" s="844">
        <v>28073</v>
      </c>
      <c r="J10" s="844"/>
      <c r="K10" s="1766">
        <f>(H10+I10)-J10</f>
        <v>438261</v>
      </c>
      <c r="L10" s="1766">
        <f>F10-K10</f>
        <v>304340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588721</v>
      </c>
      <c r="D12" s="841">
        <v>8151</v>
      </c>
      <c r="E12" s="841">
        <v>2084</v>
      </c>
      <c r="F12" s="1757">
        <f>(C12+D12)-E12</f>
        <v>594788</v>
      </c>
      <c r="G12" s="840">
        <v>10</v>
      </c>
      <c r="H12" s="762">
        <v>421096</v>
      </c>
      <c r="I12" s="762">
        <v>59475</v>
      </c>
      <c r="J12" s="762">
        <v>2084</v>
      </c>
      <c r="K12" s="1766">
        <f>(H12+I12)-J12</f>
        <v>478487</v>
      </c>
      <c r="L12" s="1766">
        <f>F12-K12</f>
        <v>116301</v>
      </c>
    </row>
    <row r="13" spans="1:14" ht="14.25" thickTop="1" thickBot="1" x14ac:dyDescent="0.25">
      <c r="A13" s="845" t="s">
        <v>1122</v>
      </c>
      <c r="B13" s="837">
        <v>252</v>
      </c>
      <c r="C13" s="841">
        <v>635728</v>
      </c>
      <c r="D13" s="841"/>
      <c r="E13" s="841"/>
      <c r="F13" s="1757">
        <f>(C13+D13)-E13</f>
        <v>635728</v>
      </c>
      <c r="G13" s="840">
        <v>5</v>
      </c>
      <c r="H13" s="762">
        <v>635460</v>
      </c>
      <c r="I13" s="762">
        <v>135</v>
      </c>
      <c r="J13" s="762"/>
      <c r="K13" s="1766">
        <f>(H13+I13)-J13</f>
        <v>635595</v>
      </c>
      <c r="L13" s="1766">
        <f>F13-K13</f>
        <v>133</v>
      </c>
    </row>
    <row r="14" spans="1:14" ht="14.25" thickTop="1" thickBot="1" x14ac:dyDescent="0.25">
      <c r="A14" s="845" t="s">
        <v>1123</v>
      </c>
      <c r="B14" s="837">
        <v>253</v>
      </c>
      <c r="C14" s="762">
        <v>2618</v>
      </c>
      <c r="D14" s="762"/>
      <c r="E14" s="762"/>
      <c r="F14" s="1757">
        <f>(C14+D14)-E14</f>
        <v>2618</v>
      </c>
      <c r="G14" s="840">
        <v>3</v>
      </c>
      <c r="H14" s="762">
        <v>2266</v>
      </c>
      <c r="I14" s="762">
        <v>352</v>
      </c>
      <c r="J14" s="762"/>
      <c r="K14" s="1766">
        <f>(H14+I14)-J14</f>
        <v>2618</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16150056</v>
      </c>
      <c r="D16" s="1757">
        <f>SUM(D3,D5:D6,D8:D10,D12:D15)</f>
        <v>47531</v>
      </c>
      <c r="E16" s="1757">
        <f>SUM(E3,E5:E6,E8:E10,E12:E15)</f>
        <v>2084</v>
      </c>
      <c r="F16" s="1757">
        <f>SUM(F3,F5:F6,F8:F10,F12:F15)</f>
        <v>16195503</v>
      </c>
      <c r="G16" s="840"/>
      <c r="H16" s="1757">
        <f>SUM(H3,H6,H8:H10,H12:H14,)</f>
        <v>6149053</v>
      </c>
      <c r="I16" s="1757">
        <f>SUM(I3,I6,I8:I10,I12:I14,)</f>
        <v>359541</v>
      </c>
      <c r="J16" s="1757">
        <f>SUM(J3,J6,J8:J10,J12:J14,)</f>
        <v>2084</v>
      </c>
      <c r="K16" s="1757">
        <f>(H16+I16)-J16</f>
        <v>6506510</v>
      </c>
      <c r="L16" s="1757">
        <f>F16-K16</f>
        <v>9688993</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359541</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O31" sqref="O3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6" t="s">
        <v>1975</v>
      </c>
      <c r="B1" s="2257"/>
      <c r="C1" s="2257"/>
      <c r="D1" s="2257"/>
      <c r="E1" s="2257"/>
      <c r="F1" s="2258"/>
      <c r="G1" s="852"/>
    </row>
    <row r="2" spans="1:7" ht="15" customHeight="1" thickBot="1" x14ac:dyDescent="0.25">
      <c r="A2" s="2259" t="s">
        <v>477</v>
      </c>
      <c r="B2" s="2260"/>
      <c r="C2" s="2260"/>
      <c r="D2" s="2260"/>
      <c r="E2" s="2260"/>
      <c r="F2" s="2261"/>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5558188</v>
      </c>
      <c r="G8" s="862"/>
    </row>
    <row r="9" spans="1:7" x14ac:dyDescent="0.2">
      <c r="A9" s="866" t="s">
        <v>460</v>
      </c>
      <c r="B9" s="867" t="s">
        <v>1877</v>
      </c>
      <c r="C9" s="868"/>
      <c r="D9" s="866" t="s">
        <v>501</v>
      </c>
      <c r="E9" s="865"/>
      <c r="F9" s="1906">
        <f>'Expenditures 15-22'!K151</f>
        <v>391582</v>
      </c>
      <c r="G9" s="869"/>
    </row>
    <row r="10" spans="1:7" x14ac:dyDescent="0.2">
      <c r="A10" s="866" t="s">
        <v>499</v>
      </c>
      <c r="B10" s="867" t="s">
        <v>1878</v>
      </c>
      <c r="C10" s="868"/>
      <c r="D10" s="866" t="s">
        <v>501</v>
      </c>
      <c r="E10" s="865"/>
      <c r="F10" s="1906">
        <f>'Expenditures 15-22'!K174</f>
        <v>891248</v>
      </c>
      <c r="G10" s="869"/>
    </row>
    <row r="11" spans="1:7" x14ac:dyDescent="0.2">
      <c r="A11" s="866" t="s">
        <v>461</v>
      </c>
      <c r="B11" s="867" t="s">
        <v>1879</v>
      </c>
      <c r="C11" s="868"/>
      <c r="D11" s="866" t="s">
        <v>501</v>
      </c>
      <c r="E11" s="865"/>
      <c r="F11" s="1906">
        <f>'Expenditures 15-22'!K210</f>
        <v>543001</v>
      </c>
      <c r="G11" s="869"/>
    </row>
    <row r="12" spans="1:7" x14ac:dyDescent="0.2">
      <c r="A12" s="866" t="s">
        <v>462</v>
      </c>
      <c r="B12" s="867" t="s">
        <v>1880</v>
      </c>
      <c r="C12" s="868"/>
      <c r="D12" s="866" t="s">
        <v>501</v>
      </c>
      <c r="E12" s="865"/>
      <c r="F12" s="1906">
        <f>'Expenditures 15-22'!K295</f>
        <v>201896</v>
      </c>
      <c r="G12" s="869"/>
    </row>
    <row r="13" spans="1:7" x14ac:dyDescent="0.2">
      <c r="A13" s="866" t="s">
        <v>106</v>
      </c>
      <c r="B13" s="867" t="s">
        <v>1881</v>
      </c>
      <c r="C13" s="868"/>
      <c r="D13" s="866" t="s">
        <v>501</v>
      </c>
      <c r="E13" s="865"/>
      <c r="F13" s="1906">
        <f>'Expenditures 15-22'!K342</f>
        <v>123693</v>
      </c>
      <c r="G13" s="870"/>
    </row>
    <row r="14" spans="1:7" ht="12" customHeight="1" thickBot="1" x14ac:dyDescent="0.25">
      <c r="A14" s="1767"/>
      <c r="B14" s="1768"/>
      <c r="C14" s="1769"/>
      <c r="D14" s="1770" t="s">
        <v>501</v>
      </c>
      <c r="E14" s="1771" t="s">
        <v>958</v>
      </c>
      <c r="F14" s="1772">
        <f>SUM(F8:F13)</f>
        <v>7709608</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12673</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47700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5735</v>
      </c>
      <c r="G52" s="862"/>
    </row>
    <row r="53" spans="1:7" x14ac:dyDescent="0.2">
      <c r="A53" s="866" t="s">
        <v>459</v>
      </c>
      <c r="B53" s="866" t="s">
        <v>1475</v>
      </c>
      <c r="C53" s="886">
        <f>'Expenditures 15-22'!B102</f>
        <v>4000</v>
      </c>
      <c r="D53" s="885" t="str">
        <f>'Expenditures 15-22'!A102</f>
        <v>Total Payments to Other Govt Units</v>
      </c>
      <c r="E53" s="865"/>
      <c r="F53" s="1910">
        <f>'Expenditures 15-22'!K102</f>
        <v>351086</v>
      </c>
      <c r="G53" s="862"/>
    </row>
    <row r="54" spans="1:7" x14ac:dyDescent="0.2">
      <c r="A54" s="866" t="s">
        <v>459</v>
      </c>
      <c r="B54" s="866" t="s">
        <v>1476</v>
      </c>
      <c r="C54" s="886" t="s">
        <v>982</v>
      </c>
      <c r="D54" s="882" t="s">
        <v>1095</v>
      </c>
      <c r="E54" s="865"/>
      <c r="F54" s="1910">
        <f>'Expenditures 15-22'!G114</f>
        <v>5003</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24984</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435000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882181</v>
      </c>
      <c r="G76" s="862"/>
    </row>
    <row r="77" spans="1:8" s="890" customFormat="1" ht="12" customHeight="1" thickTop="1" thickBot="1" x14ac:dyDescent="0.25">
      <c r="A77" s="1776"/>
      <c r="B77" s="1773"/>
      <c r="C77" s="1769"/>
      <c r="D77" s="1774" t="s">
        <v>1900</v>
      </c>
      <c r="E77" s="1771"/>
      <c r="F77" s="1777">
        <f>(F14-F76)</f>
        <v>6827427</v>
      </c>
      <c r="G77" s="866"/>
    </row>
    <row r="78" spans="1:8" s="890" customFormat="1" ht="12" customHeight="1" thickTop="1" x14ac:dyDescent="0.2">
      <c r="A78" s="1778"/>
      <c r="B78" s="1773"/>
      <c r="C78" s="1769"/>
      <c r="D78" s="1774" t="s">
        <v>2062</v>
      </c>
      <c r="E78" s="1771"/>
      <c r="F78" s="895">
        <v>830.8</v>
      </c>
      <c r="G78" s="896"/>
      <c r="H78" s="866"/>
    </row>
    <row r="79" spans="1:8" s="890" customFormat="1" ht="12" customHeight="1" thickBot="1" x14ac:dyDescent="0.25">
      <c r="A79" s="1779"/>
      <c r="B79" s="1773"/>
      <c r="C79" s="1769"/>
      <c r="D79" s="1774" t="s">
        <v>1901</v>
      </c>
      <c r="E79" s="1771" t="s">
        <v>958</v>
      </c>
      <c r="F79" s="1780">
        <f>IF(F78&gt;0,F77/F78," Complete Line 78")</f>
        <v>8217.8948001925855</v>
      </c>
      <c r="G79" s="866"/>
    </row>
    <row r="80" spans="1:8" s="890" customFormat="1" ht="8.25" customHeight="1" thickTop="1" x14ac:dyDescent="0.2">
      <c r="A80" s="897"/>
      <c r="B80" s="866"/>
      <c r="C80" s="868"/>
      <c r="D80" s="898"/>
      <c r="E80" s="865"/>
      <c r="F80" s="899"/>
      <c r="G80" s="866"/>
    </row>
    <row r="81" spans="1:7" s="890" customFormat="1" ht="12" thickBot="1" x14ac:dyDescent="0.25">
      <c r="A81" s="2253" t="s">
        <v>1105</v>
      </c>
      <c r="B81" s="2254"/>
      <c r="C81" s="2254"/>
      <c r="D81" s="2254"/>
      <c r="E81" s="2254"/>
      <c r="F81" s="2255"/>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103404</v>
      </c>
      <c r="G94" s="909"/>
    </row>
    <row r="95" spans="1:7" x14ac:dyDescent="0.2">
      <c r="A95" s="905" t="s">
        <v>140</v>
      </c>
      <c r="B95" s="905" t="s">
        <v>175</v>
      </c>
      <c r="C95" s="907">
        <v>1700</v>
      </c>
      <c r="D95" s="915" t="str">
        <f>'Revenues 9-14'!A82</f>
        <v>Total District/School Activity Income</v>
      </c>
      <c r="E95" s="903"/>
      <c r="F95" s="1786">
        <f>SUM('Revenues 9-14'!C82,'Revenues 9-14'!D82)</f>
        <v>103527</v>
      </c>
      <c r="G95" s="909"/>
    </row>
    <row r="96" spans="1:7" x14ac:dyDescent="0.2">
      <c r="A96" s="905" t="s">
        <v>459</v>
      </c>
      <c r="B96" s="905" t="s">
        <v>176</v>
      </c>
      <c r="C96" s="907">
        <f>'Revenues 9-14'!B84</f>
        <v>1811</v>
      </c>
      <c r="D96" s="908" t="str">
        <f>'Revenues 9-14'!A84</f>
        <v>Rentals - Regular Textbooks</v>
      </c>
      <c r="E96" s="903"/>
      <c r="F96" s="1786">
        <f>'Revenues 9-14'!C84</f>
        <v>61726</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1707</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1080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24072</v>
      </c>
      <c r="G104" s="909"/>
    </row>
    <row r="105" spans="1:7" x14ac:dyDescent="0.2">
      <c r="A105" s="905" t="s">
        <v>503</v>
      </c>
      <c r="B105" s="905" t="s">
        <v>2003</v>
      </c>
      <c r="C105" s="910">
        <v>3100</v>
      </c>
      <c r="D105" s="916" t="str">
        <f>'Revenues 9-14'!A132</f>
        <v>Total Special Education</v>
      </c>
      <c r="E105" s="903"/>
      <c r="F105" s="1786">
        <f>SUM('Revenues 9-14'!C132:D132,'Revenues 9-14'!F132)</f>
        <v>65762</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991</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270091</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65044</v>
      </c>
      <c r="G125" s="927"/>
    </row>
    <row r="126" spans="1:7" x14ac:dyDescent="0.2">
      <c r="A126" s="924" t="s">
        <v>668</v>
      </c>
      <c r="B126" s="924" t="s">
        <v>2024</v>
      </c>
      <c r="C126" s="929">
        <v>4300</v>
      </c>
      <c r="D126" s="930" t="str">
        <f>'Revenues 9-14'!A204</f>
        <v>Total Title I</v>
      </c>
      <c r="E126" s="903"/>
      <c r="F126" s="1786">
        <f>SUM('Revenues 9-14'!C204,'Revenues 9-14'!D204,'Revenues 9-14'!F204,'Revenues 9-14'!G204)</f>
        <v>71757</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15208</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185787</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18148</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5759</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5153</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182899.11</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1182115.1099999999</v>
      </c>
    </row>
    <row r="175" spans="1:7" ht="12" customHeight="1" x14ac:dyDescent="0.2">
      <c r="A175" s="1767"/>
      <c r="B175" s="1781"/>
      <c r="C175" s="1782"/>
      <c r="D175" s="1783" t="s">
        <v>2057</v>
      </c>
      <c r="E175" s="1784"/>
      <c r="F175" s="1786">
        <f>'PCTC-OEPP 27-28'!F77-F174</f>
        <v>5645311.8900000006</v>
      </c>
    </row>
    <row r="176" spans="1:7" ht="12" customHeight="1" x14ac:dyDescent="0.2">
      <c r="A176" s="1767"/>
      <c r="B176" s="1781"/>
      <c r="C176" s="1782"/>
      <c r="D176" s="1783" t="s">
        <v>1817</v>
      </c>
      <c r="E176" s="1784"/>
      <c r="F176" s="1786">
        <f>'Cap Outlay Deprec 26'!I18</f>
        <v>359541</v>
      </c>
    </row>
    <row r="177" spans="1:7" ht="12" customHeight="1" x14ac:dyDescent="0.2">
      <c r="A177" s="1767"/>
      <c r="B177" s="1781"/>
      <c r="C177" s="1782"/>
      <c r="D177" s="1783" t="s">
        <v>2058</v>
      </c>
      <c r="E177" s="1784"/>
      <c r="F177" s="1786">
        <f>F175+F176</f>
        <v>6004852.8900000006</v>
      </c>
    </row>
    <row r="178" spans="1:7" ht="12" customHeight="1" x14ac:dyDescent="0.2">
      <c r="A178" s="1767"/>
      <c r="B178" s="1787"/>
      <c r="C178" s="1782"/>
      <c r="D178" s="1783" t="str">
        <f>D78</f>
        <v>9 Month ADA from District Average Daily Attendance/Prior General State Aid Inquiry 2018-2019</v>
      </c>
      <c r="E178" s="1784"/>
      <c r="F178" s="1788">
        <f>'PCTC-OEPP 27-28'!F78</f>
        <v>830.8</v>
      </c>
      <c r="G178" s="927"/>
    </row>
    <row r="179" spans="1:7" ht="12" customHeight="1" thickBot="1" x14ac:dyDescent="0.25">
      <c r="A179" s="1767"/>
      <c r="B179" s="1787"/>
      <c r="C179" s="1782"/>
      <c r="D179" s="1783" t="s">
        <v>2059</v>
      </c>
      <c r="E179" s="1784" t="s">
        <v>1545</v>
      </c>
      <c r="F179" s="1789">
        <f>F177/F178</f>
        <v>7227.7959677419367</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1" t="s">
        <v>1819</v>
      </c>
      <c r="B6" s="1532"/>
      <c r="C6" s="1532"/>
      <c r="D6" s="1532"/>
      <c r="E6" s="1532"/>
      <c r="F6" s="1532"/>
      <c r="G6" s="1533"/>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4" t="s">
        <v>1820</v>
      </c>
      <c r="B10" s="1535"/>
      <c r="C10" s="1535"/>
      <c r="D10" s="1535"/>
      <c r="E10" s="1535"/>
      <c r="F10" s="1535"/>
      <c r="G10" s="1536"/>
    </row>
    <row r="11" spans="1:7" ht="17.25" customHeight="1" x14ac:dyDescent="0.25">
      <c r="A11" s="2273" t="s">
        <v>1934</v>
      </c>
      <c r="B11" s="2274"/>
      <c r="C11" s="2274"/>
      <c r="D11" s="2274"/>
      <c r="E11" s="2274"/>
      <c r="F11" s="2274"/>
      <c r="G11" s="2275"/>
    </row>
    <row r="12" spans="1:7" ht="15" customHeight="1" x14ac:dyDescent="0.25">
      <c r="A12" s="1534" t="s">
        <v>1825</v>
      </c>
      <c r="B12" s="1535"/>
      <c r="C12" s="1535"/>
      <c r="D12" s="1535"/>
      <c r="E12" s="1535"/>
      <c r="F12" s="1535"/>
      <c r="G12" s="1536"/>
    </row>
    <row r="13" spans="1:7" ht="32.25" customHeight="1" x14ac:dyDescent="0.25">
      <c r="A13" s="2264" t="s">
        <v>1976</v>
      </c>
      <c r="B13" s="2265"/>
      <c r="C13" s="2265"/>
      <c r="D13" s="2265"/>
      <c r="E13" s="2265"/>
      <c r="F13" s="2265"/>
      <c r="G13" s="2266"/>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7" t="s">
        <v>2106</v>
      </c>
      <c r="B17" s="1935" t="s">
        <v>2091</v>
      </c>
      <c r="C17" s="1936" t="s">
        <v>2092</v>
      </c>
      <c r="D17" s="1841">
        <v>18894</v>
      </c>
      <c r="E17" s="1537">
        <f t="shared" ref="E17:E141" si="0">IF(D17&lt;=25000,D17,IF(D17&gt;25000,25000,0))</f>
        <v>18894</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18894</v>
      </c>
      <c r="G17" s="1790">
        <f>IF(F17=0,0,D17-F17)</f>
        <v>0</v>
      </c>
      <c r="H17" s="1644"/>
    </row>
    <row r="18" spans="1:8" x14ac:dyDescent="0.25">
      <c r="A18" s="1937" t="s">
        <v>2107</v>
      </c>
      <c r="B18" s="1935" t="s">
        <v>2093</v>
      </c>
      <c r="C18" s="1936" t="s">
        <v>2094</v>
      </c>
      <c r="D18" s="1841">
        <v>234226</v>
      </c>
      <c r="E18" s="1537">
        <f t="shared" ref="E18:E140" si="2">IF(D18&lt;=25000,D18,IF(D18&gt;25000,25000,0))</f>
        <v>25000</v>
      </c>
      <c r="F18" s="1929">
        <f t="shared" si="1"/>
        <v>25000</v>
      </c>
      <c r="G18" s="1790">
        <f t="shared" ref="G18:G140" si="3">IF(F18=0,0,D18-F18)</f>
        <v>209226</v>
      </c>
    </row>
    <row r="19" spans="1:8" x14ac:dyDescent="0.25">
      <c r="A19" s="1934"/>
      <c r="B19" s="1935"/>
      <c r="C19" s="1936"/>
      <c r="D19" s="1841"/>
      <c r="E19" s="1537">
        <f t="shared" si="2"/>
        <v>0</v>
      </c>
      <c r="F19" s="1929">
        <f t="shared" si="1"/>
        <v>0</v>
      </c>
      <c r="G19" s="1790">
        <f t="shared" si="3"/>
        <v>0</v>
      </c>
    </row>
    <row r="20" spans="1:8" x14ac:dyDescent="0.25">
      <c r="A20" s="1934"/>
      <c r="B20" s="1935"/>
      <c r="C20" s="1936"/>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253120</v>
      </c>
      <c r="E141" s="1538">
        <f t="shared" si="0"/>
        <v>25000</v>
      </c>
      <c r="F141" s="1930">
        <f>SUM(F17:F140)</f>
        <v>43894</v>
      </c>
      <c r="G141" s="1792">
        <f>SUM(G17:G140)</f>
        <v>209226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9" t="s">
        <v>1679</v>
      </c>
      <c r="B5" s="2280"/>
      <c r="C5" s="2280"/>
      <c r="D5" s="2280"/>
      <c r="E5" s="2280"/>
      <c r="F5" s="2280"/>
      <c r="G5" s="2281"/>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72989</v>
      </c>
      <c r="F10" s="971"/>
      <c r="G10" s="972"/>
      <c r="H10" s="162"/>
      <c r="I10" s="162"/>
    </row>
    <row r="11" spans="1:9" s="665" customFormat="1" ht="22.5" customHeight="1" x14ac:dyDescent="0.2">
      <c r="A11" s="2284" t="s">
        <v>1977</v>
      </c>
      <c r="B11" s="2285"/>
      <c r="C11" s="2285"/>
      <c r="D11" s="2286"/>
      <c r="E11" s="974">
        <v>20802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4231679</v>
      </c>
      <c r="F19" s="1796"/>
      <c r="G19" s="1798">
        <f>'Expenditures 15-22'!K33-SUM('Expenditures 15-22'!G33,'Expenditures 15-22'!I33)+'Expenditures 15-22'!D229</f>
        <v>4231679</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22245</v>
      </c>
      <c r="F21" s="1799"/>
      <c r="G21" s="1802">
        <f>'Expenditures 15-22'!K42-SUM('Expenditures 15-22'!G42,'Expenditures 15-22'!I42)+'Expenditures 15-22'!K120-SUM('Expenditures 15-22'!G120,'Expenditures 15-22'!I120)+'Expenditures 15-22'!K180-SUM('Expenditures 15-22'!G180,'Expenditures 15-22'!I180)+'Expenditures 15-22'!D238</f>
        <v>22245</v>
      </c>
      <c r="H21" s="984"/>
      <c r="I21" s="162"/>
    </row>
    <row r="22" spans="1:9" s="665" customFormat="1" ht="12" customHeight="1" x14ac:dyDescent="0.2">
      <c r="A22" s="991" t="s">
        <v>564</v>
      </c>
      <c r="B22" s="992"/>
      <c r="C22" s="990">
        <v>2200</v>
      </c>
      <c r="D22" s="1799"/>
      <c r="E22" s="1801">
        <f>'Expenditures 15-22'!K47-SUM('Expenditures 15-22'!G47,'Expenditures 15-22'!I47)+'Expenditures 15-22'!D243</f>
        <v>58397</v>
      </c>
      <c r="F22" s="1799"/>
      <c r="G22" s="1802">
        <f>'Expenditures 15-22'!K47-SUM('Expenditures 15-22'!G47,'Expenditures 15-22'!I47)+'Expenditures 15-22'!D243</f>
        <v>58397</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365659</v>
      </c>
      <c r="F23" s="1799"/>
      <c r="G23" s="1801">
        <f>'Expenditures 15-22'!K53-SUM('Expenditures 15-22'!G53,'Expenditures 15-22'!I53)+'Expenditures 15-22'!D257+'Expenditures 15-22'!K330-SUM('Expenditures 15-22'!G330,'Expenditures 15-22'!I330)</f>
        <v>365659</v>
      </c>
      <c r="H23" s="984"/>
      <c r="I23" s="162"/>
    </row>
    <row r="24" spans="1:9" s="665" customFormat="1" ht="12" customHeight="1" x14ac:dyDescent="0.2">
      <c r="A24" s="991" t="s">
        <v>566</v>
      </c>
      <c r="B24" s="992"/>
      <c r="C24" s="990">
        <v>2400</v>
      </c>
      <c r="D24" s="1799"/>
      <c r="E24" s="1801">
        <f>'Expenditures 15-22'!K57-SUM('Expenditures 15-22'!G57,'Expenditures 15-22'!I57)+'Expenditures 15-22'!D261</f>
        <v>312564</v>
      </c>
      <c r="F24" s="1799"/>
      <c r="G24" s="1802">
        <f>'Expenditures 15-22'!K57-SUM('Expenditures 15-22'!G57,'Expenditures 15-22'!I57)+'Expenditures 15-22'!D261</f>
        <v>312564</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67763</v>
      </c>
      <c r="E27" s="1801">
        <f>E8</f>
        <v>0</v>
      </c>
      <c r="F27" s="1801">
        <f>'Expenditures 15-22'!K60-SUM('Expenditures 15-22'!G60,'Expenditures 15-22'!I60)+'Expenditures 15-22'!D264-E8</f>
        <v>67763</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542613</v>
      </c>
      <c r="F28" s="1803">
        <f>'Expenditures 15-22'!K61-SUM('Expenditures 15-22'!G61,'Expenditures 15-22'!I61)+'Expenditures 15-22'!K124-SUM('Expenditures 15-22'!G124,'Expenditures 15-22'!I124)+'Expenditures 15-22'!D266-E9</f>
        <v>542613</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572290</v>
      </c>
      <c r="F29" s="1799"/>
      <c r="G29" s="1802">
        <f>'Expenditures 15-22'!K62-SUM('Expenditures 15-22'!G62,'Expenditures 15-22'!I62)+'Expenditures 15-22'!K125-SUM('Expenditures 15-22'!G125,'Expenditures 15-22'!I125)+'Expenditures 15-22'!K182-SUM('Expenditures 15-22'!G182,'Expenditures 15-22'!I182)+'Expenditures 15-22'!D267</f>
        <v>572290</v>
      </c>
      <c r="H29" s="982"/>
    </row>
    <row r="30" spans="1:9" ht="12" customHeight="1" x14ac:dyDescent="0.2">
      <c r="A30" s="991" t="s">
        <v>100</v>
      </c>
      <c r="B30" s="994"/>
      <c r="C30" s="990">
        <v>2560</v>
      </c>
      <c r="D30" s="1799"/>
      <c r="E30" s="1801">
        <f>'Expenditures 15-22'!K63-SUM('Expenditures 15-22'!G63,'Expenditures 15-22'!I63)+'Expenditures 15-22'!D268-E10</f>
        <v>142055</v>
      </c>
      <c r="F30" s="1799"/>
      <c r="G30" s="1801">
        <f>'Expenditures 15-22'!K63-SUM('Expenditures 15-22'!G63,'Expenditures 15-22'!I63)+'Expenditures 15-22'!D268-E10</f>
        <v>142055</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43298</v>
      </c>
      <c r="F38" s="1799"/>
      <c r="G38" s="1801">
        <f>'Expenditures 15-22'!K73-SUM('Expenditures 15-22'!G73,'Expenditures 15-22'!I73)+'Expenditures 15-22'!K128-SUM('Expenditures 15-22'!G128,'Expenditures 15-22'!I128)+'Expenditures 15-22'!K183-SUM('Expenditures 15-22'!G183,'Expenditures 15-22'!I183)+'Expenditures 15-22'!D278</f>
        <v>43298</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5735</v>
      </c>
      <c r="F39" s="1799"/>
      <c r="G39" s="1801">
        <f>'Expenditures 15-22'!K75-SUM('Expenditures 15-22'!G75,'Expenditures 15-22'!I75)+'Expenditures 15-22'!K130-SUM('Expenditures 15-22'!G130,'Expenditures 15-22'!I130)+'Expenditures 15-22'!K185-SUM('Expenditures 15-22'!G185,'Expenditures 15-22'!I185)+'Expenditures 15-22'!D280</f>
        <v>5735</v>
      </c>
    </row>
    <row r="40" spans="1:7" ht="12" customHeight="1" x14ac:dyDescent="0.2">
      <c r="A40" s="987" t="s">
        <v>1823</v>
      </c>
      <c r="B40" s="988"/>
      <c r="C40" s="990"/>
      <c r="D40" s="1799"/>
      <c r="E40" s="1803">
        <f>-'Contracts Paid in CY 29'!G141</f>
        <v>-209226</v>
      </c>
      <c r="F40" s="1799"/>
      <c r="G40" s="1803">
        <f>-'Contracts Paid in CY 29'!G141</f>
        <v>-209226</v>
      </c>
    </row>
    <row r="41" spans="1:7" ht="12" customHeight="1" x14ac:dyDescent="0.2">
      <c r="A41" s="995" t="s">
        <v>156</v>
      </c>
      <c r="B41" s="996"/>
      <c r="C41" s="997"/>
      <c r="D41" s="1803">
        <f>SUM(D19:D39)</f>
        <v>67763</v>
      </c>
      <c r="E41" s="1803">
        <f>SUM(E19:E40)</f>
        <v>6087309</v>
      </c>
      <c r="F41" s="1803">
        <f>SUM(F19:F39)</f>
        <v>610376</v>
      </c>
      <c r="G41" s="1803">
        <f>SUM(G19:G40)</f>
        <v>5544696</v>
      </c>
    </row>
    <row r="42" spans="1:7" x14ac:dyDescent="0.2">
      <c r="A42" s="984"/>
      <c r="B42" s="162"/>
      <c r="C42" s="998"/>
      <c r="D42" s="2282" t="s">
        <v>522</v>
      </c>
      <c r="E42" s="2283"/>
      <c r="F42" s="999" t="s">
        <v>523</v>
      </c>
      <c r="G42" s="1000"/>
    </row>
    <row r="43" spans="1:7" ht="12" customHeight="1" x14ac:dyDescent="0.2">
      <c r="A43" s="984"/>
      <c r="B43" s="162"/>
      <c r="C43" s="998"/>
      <c r="D43" s="1804" t="s">
        <v>473</v>
      </c>
      <c r="E43" s="1805">
        <f>D41</f>
        <v>67763</v>
      </c>
      <c r="F43" s="1804" t="s">
        <v>473</v>
      </c>
      <c r="G43" s="1805">
        <f>F41</f>
        <v>610376</v>
      </c>
    </row>
    <row r="44" spans="1:7" ht="12" customHeight="1" x14ac:dyDescent="0.2">
      <c r="A44" s="984"/>
      <c r="B44" s="162"/>
      <c r="C44" s="998"/>
      <c r="D44" s="1804" t="s">
        <v>474</v>
      </c>
      <c r="E44" s="1805">
        <f>E41</f>
        <v>6087309</v>
      </c>
      <c r="F44" s="1804" t="s">
        <v>474</v>
      </c>
      <c r="G44" s="1805">
        <f>G41</f>
        <v>5544696</v>
      </c>
    </row>
    <row r="45" spans="1:7" ht="12" customHeight="1" x14ac:dyDescent="0.2">
      <c r="A45" s="984"/>
      <c r="B45" s="162"/>
      <c r="C45" s="162"/>
      <c r="D45" s="1806" t="s">
        <v>1006</v>
      </c>
      <c r="E45" s="1807">
        <f>(E43/E44)</f>
        <v>1.1131848243616351E-2</v>
      </c>
      <c r="F45" s="1806" t="s">
        <v>1006</v>
      </c>
      <c r="G45" s="1807">
        <f>(G43/G44)</f>
        <v>0.11008286117038697</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O31" sqref="O31"/>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0" t="s">
        <v>1379</v>
      </c>
      <c r="B1" s="2290"/>
      <c r="C1" s="2290"/>
      <c r="D1" s="2290"/>
      <c r="E1" s="2290"/>
      <c r="F1" s="2290"/>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291" t="s">
        <v>1546</v>
      </c>
      <c r="B5" s="2292"/>
      <c r="C5" s="2293"/>
      <c r="D5" s="2293"/>
      <c r="E5" s="2293"/>
      <c r="F5" s="2293"/>
    </row>
    <row r="6" spans="1:10" ht="12" customHeight="1" x14ac:dyDescent="0.25">
      <c r="A6" s="1847"/>
      <c r="B6" s="1848"/>
      <c r="C6" s="2294" t="str">
        <f>COVER!A17</f>
        <v>Metamora CCSD 1</v>
      </c>
      <c r="D6" s="2294"/>
      <c r="E6" s="2294"/>
      <c r="F6" s="1849"/>
    </row>
    <row r="7" spans="1:10" ht="11.25" customHeight="1" thickBot="1" x14ac:dyDescent="0.3">
      <c r="A7" s="1847"/>
      <c r="B7" s="1848"/>
      <c r="C7" s="2295">
        <f>COVER!A13</f>
        <v>53102001004</v>
      </c>
      <c r="D7" s="2295"/>
      <c r="E7" s="2295"/>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t="s">
        <v>2077</v>
      </c>
      <c r="D11" s="1862" t="s">
        <v>2077</v>
      </c>
      <c r="E11" s="1863"/>
      <c r="F11" s="1864" t="s">
        <v>2086</v>
      </c>
      <c r="H11" s="1875">
        <f>IF(C11="X",5,0)</f>
        <v>5</v>
      </c>
      <c r="I11" s="1875">
        <f>IF(D11="X",5,0)</f>
        <v>5</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2077</v>
      </c>
      <c r="D16" s="1862" t="s">
        <v>2077</v>
      </c>
      <c r="E16" s="1865"/>
      <c r="F16" s="1864" t="s">
        <v>2087</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2077</v>
      </c>
      <c r="D24" s="1862" t="s">
        <v>2077</v>
      </c>
      <c r="E24" s="1865"/>
      <c r="F24" s="1864" t="s">
        <v>2088</v>
      </c>
      <c r="H24" s="1875">
        <f t="shared" si="0"/>
        <v>5</v>
      </c>
      <c r="I24" s="1875">
        <f t="shared" si="1"/>
        <v>5</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2077</v>
      </c>
      <c r="D26" s="1862" t="s">
        <v>2077</v>
      </c>
      <c r="E26" s="1865"/>
      <c r="F26" s="1864" t="s">
        <v>2089</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2077</v>
      </c>
      <c r="D30" s="1862" t="s">
        <v>2077</v>
      </c>
      <c r="E30" s="1865"/>
      <c r="F30" s="1864" t="s">
        <v>2090</v>
      </c>
      <c r="H30" s="1875">
        <f t="shared" si="0"/>
        <v>5</v>
      </c>
      <c r="I30" s="1875">
        <f t="shared" si="1"/>
        <v>5</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25</v>
      </c>
      <c r="I34" s="1875">
        <f>SUM(I11:I32)</f>
        <v>25</v>
      </c>
      <c r="J34" s="1875">
        <f>SUM(J11:J32)</f>
        <v>0</v>
      </c>
      <c r="K34" s="1875">
        <f>SUM(H34:J34)</f>
        <v>50</v>
      </c>
    </row>
    <row r="35" spans="1:11" ht="12" customHeight="1" x14ac:dyDescent="0.2">
      <c r="A35" s="1868" t="s">
        <v>1392</v>
      </c>
      <c r="B35" s="1869"/>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70"/>
      <c r="B39" s="1870"/>
      <c r="C39" s="1870"/>
      <c r="D39" s="1870"/>
      <c r="E39" s="1870"/>
      <c r="F39" s="1870"/>
    </row>
    <row r="40" spans="1:11" s="1867" customFormat="1" ht="12" customHeight="1" x14ac:dyDescent="0.25">
      <c r="A40" s="1871" t="s">
        <v>1391</v>
      </c>
      <c r="B40" s="1872"/>
      <c r="C40" s="2304"/>
      <c r="D40" s="2304"/>
      <c r="E40" s="2304"/>
      <c r="F40" s="2305"/>
      <c r="H40" s="1876"/>
      <c r="I40" s="1876"/>
      <c r="J40" s="1876"/>
      <c r="K40" s="1876"/>
    </row>
    <row r="41" spans="1:11" s="1867" customFormat="1" ht="12" customHeight="1" x14ac:dyDescent="0.25">
      <c r="A41" s="2306"/>
      <c r="B41" s="2307"/>
      <c r="C41" s="2307"/>
      <c r="D41" s="2307"/>
      <c r="E41" s="2307"/>
      <c r="F41" s="2308"/>
      <c r="H41" s="1876"/>
      <c r="I41" s="1876"/>
      <c r="J41" s="1876"/>
      <c r="K41" s="1876"/>
    </row>
    <row r="42" spans="1:11" s="1867" customFormat="1" ht="12" customHeight="1" x14ac:dyDescent="0.25">
      <c r="A42" s="2306"/>
      <c r="B42" s="2307"/>
      <c r="C42" s="2307"/>
      <c r="D42" s="2307"/>
      <c r="E42" s="2307"/>
      <c r="F42" s="2308"/>
      <c r="H42" s="1876"/>
      <c r="I42" s="1876"/>
      <c r="J42" s="1876"/>
      <c r="K42" s="1876"/>
    </row>
    <row r="43" spans="1:11" s="1867" customFormat="1" ht="15" x14ac:dyDescent="0.25">
      <c r="A43" s="2298"/>
      <c r="B43" s="2299"/>
      <c r="C43" s="2299"/>
      <c r="D43" s="2299"/>
      <c r="E43" s="2299"/>
      <c r="F43" s="2300"/>
      <c r="H43" s="1876"/>
      <c r="I43" s="1876"/>
      <c r="J43" s="1876"/>
      <c r="K43" s="1876"/>
    </row>
    <row r="44" spans="1:11" s="1867" customFormat="1" ht="12" hidden="1" customHeight="1" x14ac:dyDescent="0.25">
      <c r="A44" s="2298"/>
      <c r="B44" s="2299"/>
      <c r="C44" s="2299"/>
      <c r="D44" s="2299"/>
      <c r="E44" s="2299"/>
      <c r="F44" s="230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4" t="str">
        <f>COVER!A17</f>
        <v>Metamora CCSD 1</v>
      </c>
      <c r="J6" s="2315"/>
      <c r="Q6" s="1661"/>
    </row>
    <row r="7" spans="1:17" x14ac:dyDescent="0.2">
      <c r="A7" s="2316" t="s">
        <v>869</v>
      </c>
      <c r="B7" s="2317"/>
      <c r="C7" s="2317"/>
      <c r="D7" s="2317"/>
      <c r="E7" s="2318"/>
      <c r="F7" s="1014"/>
      <c r="G7" s="1006"/>
      <c r="H7" s="1013" t="s">
        <v>372</v>
      </c>
      <c r="I7" s="2319">
        <f>COVER!A13</f>
        <v>53102001004</v>
      </c>
      <c r="J7" s="2319"/>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20" t="s">
        <v>481</v>
      </c>
      <c r="B11" s="2321"/>
      <c r="C11" s="2322"/>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171731</v>
      </c>
      <c r="F12" s="1036"/>
      <c r="G12" s="1808">
        <f t="shared" ref="G12:G18" si="0">SUM(E12:F12)</f>
        <v>171731</v>
      </c>
      <c r="H12" s="1037">
        <v>178987</v>
      </c>
      <c r="I12" s="1036"/>
      <c r="J12" s="1808">
        <f t="shared" ref="J12:J18" si="1">SUM(H12:I12)</f>
        <v>178987</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3" t="s">
        <v>7</v>
      </c>
      <c r="C18" s="2324"/>
      <c r="D18" s="2325"/>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171731</v>
      </c>
      <c r="F19" s="1810">
        <f t="shared" si="2"/>
        <v>0</v>
      </c>
      <c r="G19" s="1810">
        <f t="shared" si="2"/>
        <v>171731</v>
      </c>
      <c r="H19" s="1810">
        <f t="shared" si="2"/>
        <v>178987</v>
      </c>
      <c r="I19" s="1810">
        <f t="shared" si="2"/>
        <v>0</v>
      </c>
      <c r="J19" s="1810">
        <f t="shared" si="2"/>
        <v>178987</v>
      </c>
    </row>
    <row r="20" spans="1:10" ht="13.5" thickTop="1" x14ac:dyDescent="0.2">
      <c r="A20" s="1032">
        <v>9</v>
      </c>
      <c r="B20" s="2326" t="s">
        <v>1981</v>
      </c>
      <c r="C20" s="2326"/>
      <c r="D20" s="2327"/>
      <c r="E20" s="1043"/>
      <c r="F20" s="1043"/>
      <c r="G20" s="1043"/>
      <c r="H20" s="1043"/>
      <c r="I20" s="1043"/>
      <c r="J20" s="1811">
        <f>IF(AND(G19&gt;0,J19&gt;0),(((J19-G19)/G19)),"Enter Budget Data")</f>
        <v>4.2252126872841828E-2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2"/>
      <c r="D26" s="2332"/>
      <c r="E26" s="1047"/>
      <c r="F26" s="2331"/>
      <c r="G26" s="2331"/>
    </row>
    <row r="27" spans="1:10" x14ac:dyDescent="0.2">
      <c r="B27" s="1044"/>
      <c r="C27" s="1048" t="s">
        <v>1033</v>
      </c>
      <c r="D27" s="1049"/>
      <c r="E27" s="1050"/>
      <c r="F27" s="2328" t="s">
        <v>1509</v>
      </c>
      <c r="G27" s="2328"/>
    </row>
    <row r="28" spans="1:10" ht="28.5" customHeight="1" x14ac:dyDescent="0.2">
      <c r="B28" s="1044"/>
      <c r="C28" s="2330"/>
      <c r="D28" s="2330"/>
      <c r="E28" s="1051"/>
      <c r="F28" s="2330"/>
      <c r="G28" s="2330"/>
    </row>
    <row r="29" spans="1:10" x14ac:dyDescent="0.2">
      <c r="B29" s="1044"/>
      <c r="C29" s="1052" t="s">
        <v>1561</v>
      </c>
      <c r="E29" s="1053"/>
      <c r="F29" s="2329" t="s">
        <v>1510</v>
      </c>
      <c r="G29" s="2329"/>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59"/>
    </row>
    <row r="36" spans="1:10" ht="13.5" customHeight="1" x14ac:dyDescent="0.2">
      <c r="B36" s="1058"/>
      <c r="C36" s="2313" t="s">
        <v>1983</v>
      </c>
      <c r="D36" s="2312"/>
      <c r="E36" s="2312"/>
      <c r="F36" s="2312"/>
      <c r="G36" s="2312"/>
      <c r="H36" s="2312"/>
      <c r="I36" s="2312"/>
      <c r="J36" s="1060"/>
    </row>
    <row r="37" spans="1:10" ht="22.5" customHeight="1" x14ac:dyDescent="0.2">
      <c r="C37" s="2312"/>
      <c r="D37" s="2312"/>
      <c r="E37" s="2312"/>
      <c r="F37" s="2312"/>
      <c r="G37" s="2312"/>
      <c r="H37" s="2312"/>
      <c r="I37" s="2312"/>
      <c r="J37" s="1060"/>
    </row>
    <row r="38" spans="1:10" ht="7.5" customHeight="1" x14ac:dyDescent="0.2">
      <c r="C38" s="1059"/>
      <c r="D38" s="1061"/>
      <c r="E38" s="1062"/>
      <c r="F38" s="1063"/>
      <c r="G38" s="1062"/>
    </row>
    <row r="39" spans="1:10" ht="13.5" customHeight="1" x14ac:dyDescent="0.2">
      <c r="B39" s="1058"/>
      <c r="C39" s="2309" t="s">
        <v>882</v>
      </c>
      <c r="D39" s="2310"/>
      <c r="E39" s="2310"/>
      <c r="F39" s="2310"/>
      <c r="G39" s="2310"/>
      <c r="H39" s="2310"/>
      <c r="I39" s="231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2097</v>
      </c>
    </row>
    <row r="6" spans="1:2" x14ac:dyDescent="0.2">
      <c r="A6" s="1065">
        <v>2</v>
      </c>
      <c r="B6" s="329" t="s">
        <v>2098</v>
      </c>
    </row>
    <row r="7" spans="1:2" x14ac:dyDescent="0.2">
      <c r="A7" s="1065">
        <v>3</v>
      </c>
      <c r="B7" s="329" t="s">
        <v>2099</v>
      </c>
    </row>
    <row r="8" spans="1:2" x14ac:dyDescent="0.2">
      <c r="A8" s="1065">
        <v>4</v>
      </c>
      <c r="B8" s="329" t="s">
        <v>2100</v>
      </c>
    </row>
    <row r="9" spans="1:2" x14ac:dyDescent="0.2">
      <c r="A9" s="1066">
        <v>5</v>
      </c>
      <c r="B9" s="329" t="s">
        <v>2101</v>
      </c>
    </row>
    <row r="10" spans="1:2" x14ac:dyDescent="0.2">
      <c r="A10" s="1066">
        <v>6</v>
      </c>
      <c r="B10" s="329" t="s">
        <v>2102</v>
      </c>
    </row>
    <row r="11" spans="1:2" x14ac:dyDescent="0.2">
      <c r="A11" s="1066">
        <v>7</v>
      </c>
      <c r="B11" s="329" t="s">
        <v>2103</v>
      </c>
    </row>
    <row r="12" spans="1:2" x14ac:dyDescent="0.2">
      <c r="A12" s="1066">
        <v>8</v>
      </c>
      <c r="B12" s="329" t="s">
        <v>2108</v>
      </c>
    </row>
    <row r="13" spans="1:2" x14ac:dyDescent="0.2">
      <c r="A13" s="1066">
        <v>9</v>
      </c>
      <c r="B13" s="329" t="s">
        <v>2104</v>
      </c>
    </row>
    <row r="14" spans="1:2" x14ac:dyDescent="0.2">
      <c r="A14" s="1066">
        <v>10</v>
      </c>
      <c r="B14" s="329" t="s">
        <v>2105</v>
      </c>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c r="B65" s="258" t="str">
        <f>COVER!A17</f>
        <v>Metamora CCSD 1</v>
      </c>
    </row>
    <row r="66" spans="1:2" x14ac:dyDescent="0.2">
      <c r="B66" s="1067">
        <f>COVER!A13</f>
        <v>53102001004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3" t="s">
        <v>1685</v>
      </c>
      <c r="B18" s="233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1009650</xdr:colOff>
                <xdr:row>1</xdr:row>
                <xdr:rowOff>0</xdr:rowOff>
              </from>
              <to>
                <xdr:col>1</xdr:col>
                <xdr:colOff>1924050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1"/>
      <c r="H2" s="1071"/>
    </row>
    <row r="3" spans="1:8" ht="57" customHeight="1" x14ac:dyDescent="0.2">
      <c r="A3" s="2347" t="s">
        <v>1686</v>
      </c>
      <c r="B3" s="2348"/>
      <c r="C3" s="2348"/>
      <c r="D3" s="2348"/>
      <c r="E3" s="2348"/>
      <c r="F3" s="2349"/>
      <c r="G3" s="1071"/>
      <c r="H3" s="1071"/>
    </row>
    <row r="4" spans="1:8" ht="14.25" customHeight="1" x14ac:dyDescent="0.2">
      <c r="A4" s="2353" t="s">
        <v>1988</v>
      </c>
      <c r="B4" s="2354"/>
      <c r="C4" s="2354"/>
      <c r="D4" s="2354"/>
      <c r="E4" s="2354"/>
      <c r="F4" s="2355"/>
      <c r="G4" s="1071"/>
      <c r="H4" s="1071"/>
    </row>
    <row r="5" spans="1:8" ht="14.25" customHeight="1" x14ac:dyDescent="0.2">
      <c r="A5" s="2356" t="s">
        <v>1984</v>
      </c>
      <c r="B5" s="2357"/>
      <c r="C5" s="2357"/>
      <c r="D5" s="2357"/>
      <c r="E5" s="2357"/>
      <c r="F5" s="2358"/>
      <c r="G5" s="1071"/>
      <c r="H5" s="1071"/>
    </row>
    <row r="6" spans="1:8" s="1072" customFormat="1" ht="41.25" customHeight="1" x14ac:dyDescent="0.2">
      <c r="A6" s="2350" t="s">
        <v>1691</v>
      </c>
      <c r="B6" s="2351"/>
      <c r="C6" s="2351"/>
      <c r="D6" s="2351"/>
      <c r="E6" s="2351"/>
      <c r="F6" s="235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5282265</v>
      </c>
      <c r="C8" s="1812">
        <f>'Acct Summary 7-8'!D8</f>
        <v>440974</v>
      </c>
      <c r="D8" s="1812">
        <f>'Acct Summary 7-8'!F8</f>
        <v>494465</v>
      </c>
      <c r="E8" s="1812">
        <f>'Acct Summary 7-8'!I8</f>
        <v>104516</v>
      </c>
      <c r="F8" s="1812">
        <f>SUM(B8:E8)</f>
        <v>6322220</v>
      </c>
    </row>
    <row r="9" spans="1:8" s="1076" customFormat="1" ht="14.25" customHeight="1" thickBot="1" x14ac:dyDescent="0.25">
      <c r="A9" s="1075" t="s">
        <v>1369</v>
      </c>
      <c r="B9" s="1813">
        <f>'Acct Summary 7-8'!C17</f>
        <v>5558188</v>
      </c>
      <c r="C9" s="1813">
        <f>'Acct Summary 7-8'!D17</f>
        <v>391582</v>
      </c>
      <c r="D9" s="1813">
        <f>'Acct Summary 7-8'!F17</f>
        <v>543001</v>
      </c>
      <c r="E9" s="1812"/>
      <c r="F9" s="1812">
        <f>SUM(B9:E9)</f>
        <v>6492771</v>
      </c>
    </row>
    <row r="10" spans="1:8" s="1076" customFormat="1" ht="14.25" thickTop="1" thickBot="1" x14ac:dyDescent="0.25">
      <c r="A10" s="1077" t="s">
        <v>1370</v>
      </c>
      <c r="B10" s="1814">
        <f>(B8-B9)</f>
        <v>-275923</v>
      </c>
      <c r="C10" s="1814">
        <f>(C8-C9)</f>
        <v>49392</v>
      </c>
      <c r="D10" s="1814">
        <f>(D8-D9)</f>
        <v>-48536</v>
      </c>
      <c r="E10" s="1813">
        <f>(E8-E9)</f>
        <v>104516</v>
      </c>
      <c r="F10" s="1815">
        <f>SUM(F8-F9)</f>
        <v>-170551</v>
      </c>
    </row>
    <row r="11" spans="1:8" s="1076" customFormat="1" ht="14.25" thickTop="1" thickBot="1" x14ac:dyDescent="0.25">
      <c r="A11" s="1078" t="s">
        <v>1985</v>
      </c>
      <c r="B11" s="1816">
        <f>'Acct Summary 7-8'!C81</f>
        <v>761277</v>
      </c>
      <c r="C11" s="1816">
        <f>'Acct Summary 7-8'!D81</f>
        <v>321158</v>
      </c>
      <c r="D11" s="1816">
        <f>'Acct Summary 7-8'!F81</f>
        <v>110226</v>
      </c>
      <c r="E11" s="1816">
        <f>'Acct Summary 7-8'!I81</f>
        <v>2266701</v>
      </c>
      <c r="F11" s="1817">
        <f>SUM(B11:E11)</f>
        <v>3459362</v>
      </c>
    </row>
    <row r="12" spans="1:8" ht="16.5" customHeight="1" thickTop="1" x14ac:dyDescent="0.2">
      <c r="A12" s="1079"/>
      <c r="B12" s="1080"/>
      <c r="C12" s="2338" t="str">
        <f>IF(AND(F10&lt;0,F11&gt;=0,ABS(F10*3)&gt;ABS(F11)),A16,IF(AND(F10&lt;0,F11&gt;0,ABS(F10*3)&lt;=ABS(F11)),A17,IF(AND(F10&lt;0,F11&lt;0),A16,IF(F11=0,A19,A18))))</f>
        <v>Unbalanced -  however, a deficit reduction plan is not required at this time.</v>
      </c>
      <c r="D12" s="2339"/>
      <c r="E12" s="2339"/>
      <c r="F12" s="2340"/>
    </row>
    <row r="13" spans="1:8" ht="19.5" customHeight="1" x14ac:dyDescent="0.2">
      <c r="A13" s="1081"/>
      <c r="B13" s="1082"/>
      <c r="C13" s="2338"/>
      <c r="D13" s="2339"/>
      <c r="E13" s="2339"/>
      <c r="F13" s="2340"/>
      <c r="H13" s="1071"/>
    </row>
    <row r="14" spans="1:8" ht="19.5" customHeight="1" x14ac:dyDescent="0.2">
      <c r="A14" s="1081"/>
      <c r="B14" s="1082"/>
      <c r="C14" s="2338"/>
      <c r="D14" s="2339"/>
      <c r="E14" s="2339"/>
      <c r="F14" s="2340"/>
      <c r="H14" s="1071"/>
    </row>
    <row r="15" spans="1:8" ht="17.25" customHeight="1" x14ac:dyDescent="0.2">
      <c r="A15" s="1081"/>
      <c r="B15" s="1082"/>
      <c r="C15" s="2341"/>
      <c r="D15" s="2342"/>
      <c r="E15" s="2342"/>
      <c r="F15" s="2343"/>
      <c r="H15" s="1071"/>
    </row>
    <row r="16" spans="1:8" s="310" customFormat="1" ht="51.75" hidden="1" customHeight="1" x14ac:dyDescent="0.2">
      <c r="A16" s="2337" t="s">
        <v>1687</v>
      </c>
      <c r="B16" s="2337"/>
      <c r="C16" s="2337"/>
      <c r="D16" s="2337"/>
      <c r="E16" s="2337"/>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9" t="s">
        <v>665</v>
      </c>
      <c r="B3" s="2360"/>
      <c r="C3" s="2360"/>
      <c r="D3" s="2361"/>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70" t="s">
        <v>1504</v>
      </c>
      <c r="D7" s="2371"/>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62" t="s">
        <v>1008</v>
      </c>
      <c r="B15" s="2363"/>
      <c r="C15" s="2363"/>
      <c r="D15" s="2364"/>
    </row>
    <row r="16" spans="1:4" s="665" customFormat="1" ht="24" customHeight="1" x14ac:dyDescent="0.2">
      <c r="A16" s="2365" t="s">
        <v>663</v>
      </c>
      <c r="B16" s="2366"/>
      <c r="C16" s="2366"/>
      <c r="D16" s="2367"/>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4" t="s">
        <v>314</v>
      </c>
      <c r="D21" s="2375"/>
    </row>
    <row r="22" spans="1:10" ht="12.75" x14ac:dyDescent="0.2">
      <c r="A22" s="1136"/>
      <c r="B22" s="1137">
        <v>2</v>
      </c>
      <c r="C22" s="2372" t="s">
        <v>1524</v>
      </c>
      <c r="D22" s="237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6" t="s">
        <v>536</v>
      </c>
      <c r="D43" s="237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8" t="s">
        <v>784</v>
      </c>
      <c r="D56" s="236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8" t="s">
        <v>1696</v>
      </c>
      <c r="D70" s="236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53102001004</v>
      </c>
    </row>
    <row r="3" spans="1:2" x14ac:dyDescent="0.2">
      <c r="A3" t="s">
        <v>956</v>
      </c>
      <c r="B3" s="138" t="str">
        <f>COVER!A15</f>
        <v>Woodford</v>
      </c>
    </row>
    <row r="4" spans="1:2" x14ac:dyDescent="0.2">
      <c r="A4" t="s">
        <v>1007</v>
      </c>
      <c r="B4" s="138" t="str">
        <f>COVER!A17</f>
        <v>Metamora CCSD 1</v>
      </c>
    </row>
    <row r="5" spans="1:2" x14ac:dyDescent="0.2">
      <c r="A5" t="s">
        <v>704</v>
      </c>
      <c r="B5" s="138" t="str">
        <f>COVER!A38</f>
        <v>Martin Payne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761277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718922</v>
      </c>
      <c r="D92" s="2" t="str">
        <f t="shared" si="0"/>
        <v>Error?</v>
      </c>
    </row>
    <row r="93" spans="1:4" x14ac:dyDescent="0.2">
      <c r="A93" s="5">
        <v>32</v>
      </c>
      <c r="B93" s="138">
        <f>'Assets-Liab 5-6'!C41</f>
        <v>761277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321158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321158</v>
      </c>
      <c r="D123" s="2" t="str">
        <f t="shared" si="0"/>
        <v>Error?</v>
      </c>
    </row>
    <row r="124" spans="1:4" x14ac:dyDescent="0.2">
      <c r="A124" s="5">
        <v>63</v>
      </c>
      <c r="B124" s="138">
        <f>'Assets-Liab 5-6'!D41</f>
        <v>321158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20975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20975</v>
      </c>
      <c r="D140" s="2" t="str">
        <f t="shared" si="1"/>
        <v>Error?</v>
      </c>
    </row>
    <row r="141" spans="1:4" x14ac:dyDescent="0.2">
      <c r="A141" s="5">
        <v>80</v>
      </c>
      <c r="B141" s="138">
        <f>'Assets-Liab 5-6'!E41</f>
        <v>20975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110226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110226</v>
      </c>
      <c r="D170" s="2" t="str">
        <f t="shared" si="1"/>
        <v>Error?</v>
      </c>
    </row>
    <row r="171" spans="1:4" x14ac:dyDescent="0.2">
      <c r="A171" s="5">
        <v>110</v>
      </c>
      <c r="B171" s="138">
        <f>'Assets-Liab 5-6'!F41</f>
        <v>110226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265421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139589</v>
      </c>
      <c r="D189" s="2" t="str">
        <f t="shared" si="1"/>
        <v>Error?</v>
      </c>
    </row>
    <row r="190" spans="1:4" x14ac:dyDescent="0.2">
      <c r="A190" s="5">
        <v>129</v>
      </c>
      <c r="B190" s="138">
        <f>'Assets-Liab 5-6'!G41</f>
        <v>265421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166607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166607</v>
      </c>
      <c r="D212" s="2" t="str">
        <f t="shared" si="2"/>
        <v>Error?</v>
      </c>
    </row>
    <row r="213" spans="1:4" x14ac:dyDescent="0.2">
      <c r="A213" s="12">
        <v>152</v>
      </c>
      <c r="B213" s="138">
        <f>'Assets-Liab 5-6'!H41</f>
        <v>166607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22721</v>
      </c>
      <c r="D273" s="2" t="str">
        <f t="shared" si="3"/>
        <v>Error?</v>
      </c>
    </row>
    <row r="274" spans="1:4" x14ac:dyDescent="0.2">
      <c r="A274" s="5">
        <v>213</v>
      </c>
      <c r="B274" s="138">
        <f>'Assets-Liab 5-6'!M17</f>
        <v>14197047</v>
      </c>
      <c r="D274" s="2" t="str">
        <f t="shared" si="3"/>
        <v>Error?</v>
      </c>
    </row>
    <row r="275" spans="1:4" x14ac:dyDescent="0.2">
      <c r="A275" s="5">
        <v>214</v>
      </c>
      <c r="B275" s="138">
        <f>'Assets-Liab 5-6'!M18</f>
        <v>742601</v>
      </c>
      <c r="D275" s="2" t="str">
        <f t="shared" si="3"/>
        <v>Error?</v>
      </c>
    </row>
    <row r="276" spans="1:4" x14ac:dyDescent="0.2">
      <c r="A276" s="5">
        <v>215</v>
      </c>
      <c r="B276" s="138">
        <f>'Assets-Liab 5-6'!M19</f>
        <v>1233134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16195503</v>
      </c>
      <c r="C279" s="2" t="s">
        <v>573</v>
      </c>
      <c r="D279" s="2" t="str">
        <f t="shared" si="3"/>
        <v>Error?</v>
      </c>
    </row>
    <row r="280" spans="1:4" x14ac:dyDescent="0.2">
      <c r="A280" s="5">
        <v>219</v>
      </c>
      <c r="B280" s="138">
        <f>'Assets-Liab 5-6'!M40</f>
        <v>16195503</v>
      </c>
      <c r="D280" s="2" t="str">
        <f t="shared" si="3"/>
        <v>Error?</v>
      </c>
    </row>
    <row r="281" spans="1:4" x14ac:dyDescent="0.2">
      <c r="A281" s="5">
        <v>220</v>
      </c>
      <c r="B281" s="138">
        <f>'Assets-Liab 5-6'!M41</f>
        <v>16195503</v>
      </c>
      <c r="C281" s="2" t="s">
        <v>573</v>
      </c>
      <c r="D281" s="2" t="str">
        <f t="shared" si="3"/>
        <v>Error?</v>
      </c>
    </row>
    <row r="282" spans="1:4" x14ac:dyDescent="0.2">
      <c r="A282" s="5">
        <v>221</v>
      </c>
      <c r="B282" s="138">
        <f>'Assets-Liab 5-6'!N21</f>
        <v>20975</v>
      </c>
      <c r="D282" s="2" t="str">
        <f t="shared" si="3"/>
        <v>Error?</v>
      </c>
    </row>
    <row r="283" spans="1:4" x14ac:dyDescent="0.2">
      <c r="A283" s="5">
        <v>222</v>
      </c>
      <c r="B283" s="138">
        <f>'Assets-Liab 5-6'!N22</f>
        <v>8609025</v>
      </c>
      <c r="D283" s="2" t="str">
        <f t="shared" si="3"/>
        <v>Error?</v>
      </c>
    </row>
    <row r="284" spans="1:4" x14ac:dyDescent="0.2">
      <c r="A284" s="5">
        <v>223</v>
      </c>
      <c r="B284" s="138">
        <f>'Assets-Liab 5-6'!N23</f>
        <v>8630000</v>
      </c>
      <c r="C284" s="2" t="s">
        <v>573</v>
      </c>
      <c r="D284" s="2" t="str">
        <f t="shared" si="3"/>
        <v>Error?</v>
      </c>
    </row>
    <row r="285" spans="1:4" x14ac:dyDescent="0.2">
      <c r="A285" s="5">
        <v>224</v>
      </c>
      <c r="B285" s="138">
        <f>'Assets-Liab 5-6'!N36</f>
        <v>8630000</v>
      </c>
      <c r="D285" s="2" t="str">
        <f t="shared" si="3"/>
        <v>Error?</v>
      </c>
    </row>
    <row r="286" spans="1:4" x14ac:dyDescent="0.2">
      <c r="A286" s="10">
        <v>225</v>
      </c>
      <c r="D286" s="2" t="str">
        <f t="shared" si="3"/>
        <v>OK</v>
      </c>
    </row>
    <row r="287" spans="1:4" x14ac:dyDescent="0.2">
      <c r="A287" s="5">
        <v>226</v>
      </c>
      <c r="B287" s="138">
        <f>'Assets-Liab 5-6'!N37</f>
        <v>8630000</v>
      </c>
      <c r="C287" s="2" t="s">
        <v>573</v>
      </c>
      <c r="D287" s="2" t="str">
        <f t="shared" si="3"/>
        <v>Error?</v>
      </c>
    </row>
    <row r="288" spans="1:4" x14ac:dyDescent="0.2">
      <c r="A288" s="5">
        <v>227</v>
      </c>
      <c r="B288" s="138">
        <f>'Assets-Liab 5-6'!N41</f>
        <v>8630000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2535549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55352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3106393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13064</v>
      </c>
      <c r="D726" s="2" t="str">
        <f t="shared" si="10"/>
        <v>Error?</v>
      </c>
    </row>
    <row r="727" spans="1:4" x14ac:dyDescent="0.2">
      <c r="A727" s="5">
        <v>666</v>
      </c>
      <c r="B727" s="138">
        <f>'Expenditures 15-22'!C42</f>
        <v>13064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15746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15746</v>
      </c>
      <c r="C731" s="2" t="s">
        <v>573</v>
      </c>
      <c r="D731" s="2" t="str">
        <f t="shared" si="10"/>
        <v>Error?</v>
      </c>
    </row>
    <row r="732" spans="1:4" x14ac:dyDescent="0.2">
      <c r="A732" s="5">
        <v>671</v>
      </c>
      <c r="B732" s="138">
        <f>'Expenditures 15-22'!C49</f>
        <v>1180</v>
      </c>
      <c r="D732" s="2" t="str">
        <f t="shared" si="10"/>
        <v>Error?</v>
      </c>
    </row>
    <row r="733" spans="1:4" x14ac:dyDescent="0.2">
      <c r="A733" s="5">
        <v>672</v>
      </c>
      <c r="B733" s="138">
        <f>'Expenditures 15-22'!C50</f>
        <v>124582</v>
      </c>
      <c r="D733" s="2" t="str">
        <f t="shared" si="10"/>
        <v>Error?</v>
      </c>
    </row>
    <row r="734" spans="1:4" x14ac:dyDescent="0.2">
      <c r="A734" s="5">
        <v>673</v>
      </c>
      <c r="B734" s="138">
        <f>'Expenditures 15-22'!C53</f>
        <v>125762</v>
      </c>
      <c r="C734" s="2" t="s">
        <v>573</v>
      </c>
      <c r="D734" s="2" t="str">
        <f t="shared" si="10"/>
        <v>Error?</v>
      </c>
    </row>
    <row r="735" spans="1:4" x14ac:dyDescent="0.2">
      <c r="A735" s="5">
        <v>674</v>
      </c>
      <c r="B735" s="138">
        <f>'Expenditures 15-22'!C55</f>
        <v>213408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213408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43775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102196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145971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35313</v>
      </c>
      <c r="D754" s="2" t="str">
        <f t="shared" si="10"/>
        <v>Error?</v>
      </c>
    </row>
    <row r="755" spans="1:4" x14ac:dyDescent="0.2">
      <c r="A755" s="5">
        <v>694</v>
      </c>
      <c r="B755" s="138">
        <f>'Expenditures 15-22'!C74</f>
        <v>549264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3655657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510468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7043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615290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5046</v>
      </c>
      <c r="D784" s="2" t="str">
        <f t="shared" si="11"/>
        <v>Error?</v>
      </c>
    </row>
    <row r="785" spans="1:4" x14ac:dyDescent="0.2">
      <c r="A785" s="5">
        <v>724</v>
      </c>
      <c r="B785" s="138">
        <f>'Expenditures 15-22'!D42</f>
        <v>5046</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5377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5377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44798</v>
      </c>
      <c r="D791" s="2" t="str">
        <f t="shared" si="11"/>
        <v>Error?</v>
      </c>
    </row>
    <row r="792" spans="1:4" x14ac:dyDescent="0.2">
      <c r="A792" s="5">
        <v>731</v>
      </c>
      <c r="B792" s="138">
        <f>'Expenditures 15-22'!D53</f>
        <v>44798</v>
      </c>
      <c r="C792" s="2" t="s">
        <v>573</v>
      </c>
      <c r="D792" s="2" t="str">
        <f t="shared" si="11"/>
        <v>Error?</v>
      </c>
    </row>
    <row r="793" spans="1:4" x14ac:dyDescent="0.2">
      <c r="A793" s="5">
        <v>732</v>
      </c>
      <c r="B793" s="138">
        <f>'Expenditures 15-22'!D55</f>
        <v>83972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83972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5686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13712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19398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158591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773881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52124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17096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70073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1450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468</v>
      </c>
      <c r="D842" s="2" t="str">
        <f t="shared" si="12"/>
        <v>Error?</v>
      </c>
    </row>
    <row r="843" spans="1:4" x14ac:dyDescent="0.2">
      <c r="A843" s="5">
        <v>782</v>
      </c>
      <c r="B843" s="138">
        <f>'Expenditures 15-22'!E42</f>
        <v>1918</v>
      </c>
      <c r="C843" s="2" t="s">
        <v>573</v>
      </c>
      <c r="D843" s="2" t="str">
        <f t="shared" si="12"/>
        <v>Error?</v>
      </c>
    </row>
    <row r="844" spans="1:4" x14ac:dyDescent="0.2">
      <c r="A844" s="5">
        <v>783</v>
      </c>
      <c r="B844" s="138">
        <f>'Expenditures 15-22'!E44</f>
        <v>25144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25144</v>
      </c>
      <c r="C847" s="2" t="s">
        <v>573</v>
      </c>
      <c r="D847" s="2" t="str">
        <f t="shared" si="12"/>
        <v>Error?</v>
      </c>
    </row>
    <row r="848" spans="1:4" x14ac:dyDescent="0.2">
      <c r="A848" s="5">
        <v>787</v>
      </c>
      <c r="B848" s="138">
        <f>'Expenditures 15-22'!E49</f>
        <v>59335</v>
      </c>
      <c r="D848" s="2" t="str">
        <f t="shared" si="12"/>
        <v>Error?</v>
      </c>
    </row>
    <row r="849" spans="1:4" x14ac:dyDescent="0.2">
      <c r="A849" s="5">
        <v>788</v>
      </c>
      <c r="B849" s="138">
        <f>'Expenditures 15-22'!E50</f>
        <v>1665</v>
      </c>
      <c r="D849" s="2" t="str">
        <f t="shared" si="12"/>
        <v>Error?</v>
      </c>
    </row>
    <row r="850" spans="1:4" x14ac:dyDescent="0.2">
      <c r="A850" s="5">
        <v>789</v>
      </c>
      <c r="B850" s="138">
        <f>'Expenditures 15-22'!E53</f>
        <v>61000</v>
      </c>
      <c r="C850" s="2" t="s">
        <v>573</v>
      </c>
      <c r="D850" s="2" t="str">
        <f t="shared" si="12"/>
        <v>Error?</v>
      </c>
    </row>
    <row r="851" spans="1:4" x14ac:dyDescent="0.2">
      <c r="A851" s="5">
        <v>790</v>
      </c>
      <c r="B851" s="138">
        <f>'Expenditures 15-22'!E55</f>
        <v>1899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1899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9960</v>
      </c>
      <c r="D855" s="2" t="str">
        <f t="shared" si="12"/>
        <v>Error?</v>
      </c>
    </row>
    <row r="856" spans="1:4" x14ac:dyDescent="0.2">
      <c r="A856" s="5">
        <v>795</v>
      </c>
      <c r="B856" s="138">
        <f>'Expenditures 15-22'!E61</f>
        <v>15744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3779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29483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119444</v>
      </c>
      <c r="C871" s="2" t="s">
        <v>573</v>
      </c>
      <c r="D871" s="2" t="str">
        <f t="shared" si="12"/>
        <v>Error?</v>
      </c>
    </row>
    <row r="872" spans="1:4" x14ac:dyDescent="0.2">
      <c r="A872" s="5">
        <v>811</v>
      </c>
      <c r="B872" s="138">
        <f>'Expenditures 15-22'!E75</f>
        <v>5000</v>
      </c>
      <c r="D872" s="2" t="str">
        <f t="shared" si="12"/>
        <v>Error?</v>
      </c>
    </row>
    <row r="873" spans="1:4" x14ac:dyDescent="0.2">
      <c r="A873" s="5">
        <v>812</v>
      </c>
      <c r="B873" s="138">
        <f>'Expenditures 15-22'!E114</f>
        <v>443176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271672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12426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291695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999</v>
      </c>
      <c r="D903" s="2" t="str">
        <f t="shared" si="13"/>
        <v>Error?</v>
      </c>
    </row>
    <row r="904" spans="1:4" x14ac:dyDescent="0.2">
      <c r="A904" s="5">
        <v>843</v>
      </c>
      <c r="B904" s="138">
        <f>'Expenditures 15-22'!F46</f>
        <v>8497</v>
      </c>
      <c r="D904" s="2" t="str">
        <f t="shared" si="13"/>
        <v>Error?</v>
      </c>
    </row>
    <row r="905" spans="1:4" x14ac:dyDescent="0.2">
      <c r="A905" s="5">
        <v>844</v>
      </c>
      <c r="B905" s="138">
        <f>'Expenditures 15-22'!F47</f>
        <v>9496</v>
      </c>
      <c r="C905" s="2" t="s">
        <v>573</v>
      </c>
      <c r="D905" s="2" t="str">
        <f t="shared" si="13"/>
        <v>Error?</v>
      </c>
    </row>
    <row r="906" spans="1:4" x14ac:dyDescent="0.2">
      <c r="A906" s="5">
        <v>845</v>
      </c>
      <c r="B906" s="138">
        <f>'Expenditures 15-22'!F49</f>
        <v>1939</v>
      </c>
      <c r="D906" s="2" t="str">
        <f t="shared" si="13"/>
        <v>Error?</v>
      </c>
    </row>
    <row r="907" spans="1:4" x14ac:dyDescent="0.2">
      <c r="A907" s="5">
        <v>846</v>
      </c>
      <c r="B907" s="138">
        <f>'Expenditures 15-22'!F50</f>
        <v>311</v>
      </c>
      <c r="D907" s="2" t="str">
        <f t="shared" si="13"/>
        <v>Error?</v>
      </c>
    </row>
    <row r="908" spans="1:4" x14ac:dyDescent="0.2">
      <c r="A908" s="5">
        <v>847</v>
      </c>
      <c r="B908" s="138">
        <f>'Expenditures 15-22'!F53</f>
        <v>2250</v>
      </c>
      <c r="C908" s="2" t="s">
        <v>573</v>
      </c>
      <c r="D908" s="2" t="str">
        <f t="shared" si="13"/>
        <v>Error?</v>
      </c>
    </row>
    <row r="909" spans="1:4" x14ac:dyDescent="0.2">
      <c r="A909" s="5">
        <v>848</v>
      </c>
      <c r="B909" s="138">
        <f>'Expenditures 15-22'!F55</f>
        <v>3472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3472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597</v>
      </c>
      <c r="D913" s="2" t="str">
        <f t="shared" si="13"/>
        <v>Error?</v>
      </c>
    </row>
    <row r="914" spans="1:4" x14ac:dyDescent="0.2">
      <c r="A914" s="5">
        <v>853</v>
      </c>
      <c r="B914" s="138">
        <f>'Expenditures 15-22'!F61</f>
        <v>127124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79907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207628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4260</v>
      </c>
      <c r="D928" s="2" t="str">
        <f t="shared" si="13"/>
        <v>Error?</v>
      </c>
    </row>
    <row r="929" spans="1:4" x14ac:dyDescent="0.2">
      <c r="A929" s="5">
        <v>868</v>
      </c>
      <c r="B929" s="138">
        <f>'Expenditures 15-22'!F74</f>
        <v>227106</v>
      </c>
      <c r="C929" s="2" t="s">
        <v>573</v>
      </c>
      <c r="D929" s="2" t="str">
        <f t="shared" si="13"/>
        <v>Error?</v>
      </c>
    </row>
    <row r="930" spans="1:4" x14ac:dyDescent="0.2">
      <c r="A930" s="5">
        <v>869</v>
      </c>
      <c r="B930" s="138">
        <f>'Expenditures 15-22'!F75</f>
        <v>735</v>
      </c>
      <c r="D930" s="2" t="str">
        <f t="shared" si="13"/>
        <v>Error?</v>
      </c>
    </row>
    <row r="931" spans="1:4" x14ac:dyDescent="0.2">
      <c r="A931" s="5">
        <v>870</v>
      </c>
      <c r="B931" s="138">
        <f>'Expenditures 15-22'!F114</f>
        <v>519536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5003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5003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5003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4234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52179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5879</v>
      </c>
      <c r="D1022" s="2" t="str">
        <f t="shared" si="14"/>
        <v>Error?</v>
      </c>
    </row>
    <row r="1023" spans="1:4" x14ac:dyDescent="0.2">
      <c r="A1023" s="5">
        <v>962</v>
      </c>
      <c r="B1023" s="138">
        <f>'Expenditures 15-22'!H50</f>
        <v>375</v>
      </c>
      <c r="D1023" s="2" t="str">
        <f t="shared" ref="D1023:D1086" si="15">IF(ISBLANK(B1023),"OK",IF(A1023-B1023=0,"OK","Error?"))</f>
        <v>Error?</v>
      </c>
    </row>
    <row r="1024" spans="1:4" x14ac:dyDescent="0.2">
      <c r="A1024" s="5">
        <v>963</v>
      </c>
      <c r="B1024" s="138">
        <f>'Expenditures 15-22'!H53</f>
        <v>6254</v>
      </c>
      <c r="C1024" s="2" t="s">
        <v>573</v>
      </c>
      <c r="D1024" s="2" t="str">
        <f t="shared" si="15"/>
        <v>Error?</v>
      </c>
    </row>
    <row r="1025" spans="1:4" x14ac:dyDescent="0.2">
      <c r="A1025" s="5">
        <v>964</v>
      </c>
      <c r="B1025" s="138">
        <f>'Expenditures 15-22'!H55</f>
        <v>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6329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102427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160935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3374816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96151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4140633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1450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18578</v>
      </c>
      <c r="C1114" s="2" t="s">
        <v>573</v>
      </c>
      <c r="D1114" s="2" t="str">
        <f t="shared" si="16"/>
        <v>Error?</v>
      </c>
    </row>
    <row r="1115" spans="1:4" x14ac:dyDescent="0.2">
      <c r="A1115" s="5">
        <v>1054</v>
      </c>
      <c r="B1115" s="138">
        <f>'Expenditures 15-22'!K42</f>
        <v>20028</v>
      </c>
      <c r="C1115" s="2" t="s">
        <v>573</v>
      </c>
      <c r="D1115" s="2" t="str">
        <f t="shared" si="16"/>
        <v>Error?</v>
      </c>
    </row>
    <row r="1116" spans="1:4" x14ac:dyDescent="0.2">
      <c r="A1116" s="5">
        <v>1055</v>
      </c>
      <c r="B1116" s="138">
        <f>'Expenditures 15-22'!K44</f>
        <v>25144</v>
      </c>
      <c r="C1116" s="2" t="s">
        <v>573</v>
      </c>
      <c r="D1116" s="2" t="str">
        <f t="shared" si="16"/>
        <v>Error?</v>
      </c>
    </row>
    <row r="1117" spans="1:4" x14ac:dyDescent="0.2">
      <c r="A1117" s="5">
        <v>1056</v>
      </c>
      <c r="B1117" s="138">
        <f>'Expenditures 15-22'!K45</f>
        <v>22122</v>
      </c>
      <c r="C1117" s="2" t="s">
        <v>573</v>
      </c>
      <c r="D1117" s="2" t="str">
        <f t="shared" si="16"/>
        <v>Error?</v>
      </c>
    </row>
    <row r="1118" spans="1:4" x14ac:dyDescent="0.2">
      <c r="A1118" s="5">
        <v>1057</v>
      </c>
      <c r="B1118" s="138">
        <f>'Expenditures 15-22'!K46</f>
        <v>8497</v>
      </c>
      <c r="C1118" s="2" t="s">
        <v>573</v>
      </c>
      <c r="D1118" s="2" t="str">
        <f t="shared" si="16"/>
        <v>Error?</v>
      </c>
    </row>
    <row r="1119" spans="1:4" x14ac:dyDescent="0.2">
      <c r="A1119" s="5">
        <v>1058</v>
      </c>
      <c r="B1119" s="138">
        <f>'Expenditures 15-22'!K47</f>
        <v>55763</v>
      </c>
      <c r="C1119" s="2" t="s">
        <v>573</v>
      </c>
      <c r="D1119" s="2" t="str">
        <f t="shared" si="16"/>
        <v>Error?</v>
      </c>
    </row>
    <row r="1120" spans="1:4" x14ac:dyDescent="0.2">
      <c r="A1120" s="5">
        <v>1059</v>
      </c>
      <c r="B1120" s="138">
        <f>'Expenditures 15-22'!K49</f>
        <v>68333</v>
      </c>
      <c r="C1120" s="2" t="s">
        <v>573</v>
      </c>
      <c r="D1120" s="2" t="str">
        <f t="shared" si="16"/>
        <v>Error?</v>
      </c>
    </row>
    <row r="1121" spans="1:4" x14ac:dyDescent="0.2">
      <c r="A1121" s="5">
        <v>1060</v>
      </c>
      <c r="B1121" s="138">
        <f>'Expenditures 15-22'!K50</f>
        <v>171731</v>
      </c>
      <c r="C1121" s="2" t="s">
        <v>573</v>
      </c>
      <c r="D1121" s="2" t="str">
        <f t="shared" si="16"/>
        <v>Error?</v>
      </c>
    </row>
    <row r="1122" spans="1:4" x14ac:dyDescent="0.2">
      <c r="A1122" s="5">
        <v>1061</v>
      </c>
      <c r="B1122" s="138">
        <f>'Expenditures 15-22'!K53</f>
        <v>240064</v>
      </c>
      <c r="C1122" s="2" t="s">
        <v>573</v>
      </c>
      <c r="D1122" s="2" t="str">
        <f t="shared" si="16"/>
        <v>Error?</v>
      </c>
    </row>
    <row r="1123" spans="1:4" x14ac:dyDescent="0.2">
      <c r="A1123" s="5">
        <v>1062</v>
      </c>
      <c r="B1123" s="138">
        <f>'Expenditures 15-22'!K55</f>
        <v>302826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302826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60018</v>
      </c>
      <c r="C1127" s="2" t="s">
        <v>573</v>
      </c>
      <c r="D1127" s="2" t="str">
        <f t="shared" si="16"/>
        <v>Error?</v>
      </c>
    </row>
    <row r="1128" spans="1:4" x14ac:dyDescent="0.2">
      <c r="A1128" s="5">
        <v>1067</v>
      </c>
      <c r="B1128" s="138">
        <f>'Expenditures 15-22'!K61</f>
        <v>142868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199594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402480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39573</v>
      </c>
      <c r="C1142" s="2" t="s">
        <v>573</v>
      </c>
      <c r="D1142" s="2" t="str">
        <f t="shared" si="16"/>
        <v>Error?</v>
      </c>
    </row>
    <row r="1143" spans="1:4" x14ac:dyDescent="0.2">
      <c r="A1143" s="5">
        <v>1082</v>
      </c>
      <c r="B1143" s="138">
        <f>'Expenditures 15-22'!K74</f>
        <v>1060734</v>
      </c>
      <c r="C1143" s="2" t="s">
        <v>573</v>
      </c>
      <c r="D1143" s="2" t="str">
        <f t="shared" si="16"/>
        <v>Error?</v>
      </c>
    </row>
    <row r="1144" spans="1:4" x14ac:dyDescent="0.2">
      <c r="A1144" s="5">
        <v>1083</v>
      </c>
      <c r="B1144" s="138">
        <f>'Expenditures 15-22'!K75</f>
        <v>5735</v>
      </c>
      <c r="C1144" s="2" t="s">
        <v>573</v>
      </c>
      <c r="D1144" s="2" t="str">
        <f t="shared" si="16"/>
        <v>Error?</v>
      </c>
    </row>
    <row r="1145" spans="1:4" x14ac:dyDescent="0.2">
      <c r="A1145" s="5">
        <v>1084</v>
      </c>
      <c r="B1145" s="138">
        <f>'Expenditures 15-22'!K102</f>
        <v>351086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5558188</v>
      </c>
      <c r="C1152" s="2" t="s">
        <v>573</v>
      </c>
      <c r="D1152" s="2" t="str">
        <f t="shared" si="17"/>
        <v>Error?</v>
      </c>
    </row>
    <row r="1153" spans="1:4" x14ac:dyDescent="0.2">
      <c r="A1153" s="5">
        <v>1092</v>
      </c>
      <c r="B1153" s="138">
        <f>'Expenditures 15-22'!K115</f>
        <v>-275923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198930</v>
      </c>
      <c r="D1221" s="2" t="str">
        <f t="shared" si="18"/>
        <v>Error?</v>
      </c>
    </row>
    <row r="1222" spans="1:4" x14ac:dyDescent="0.2">
      <c r="A1222" s="10">
        <v>1161</v>
      </c>
      <c r="D1222" s="2" t="str">
        <f t="shared" si="18"/>
        <v>OK</v>
      </c>
    </row>
    <row r="1223" spans="1:4" x14ac:dyDescent="0.2">
      <c r="A1223" s="5">
        <v>1162</v>
      </c>
      <c r="B1223" s="138">
        <f>'Expenditures 15-22'!C127</f>
        <v>198930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198930</v>
      </c>
      <c r="C1225" s="2" t="s">
        <v>573</v>
      </c>
      <c r="D1225" s="2" t="str">
        <f t="shared" si="18"/>
        <v>Error?</v>
      </c>
    </row>
    <row r="1226" spans="1:4" x14ac:dyDescent="0.2">
      <c r="A1226" s="5">
        <v>1165</v>
      </c>
      <c r="B1226" s="138">
        <f>'Expenditures 15-22'!C151</f>
        <v>198930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38430</v>
      </c>
      <c r="D1229" s="2" t="str">
        <f t="shared" si="18"/>
        <v>Error?</v>
      </c>
    </row>
    <row r="1230" spans="1:4" x14ac:dyDescent="0.2">
      <c r="A1230" s="10">
        <v>1169</v>
      </c>
      <c r="D1230" s="2" t="str">
        <f t="shared" si="18"/>
        <v>OK</v>
      </c>
    </row>
    <row r="1231" spans="1:4" x14ac:dyDescent="0.2">
      <c r="A1231" s="5">
        <v>1170</v>
      </c>
      <c r="B1231" s="138">
        <f>'Expenditures 15-22'!D127</f>
        <v>38430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38430</v>
      </c>
      <c r="C1233" s="2" t="s">
        <v>573</v>
      </c>
      <c r="D1233" s="2" t="str">
        <f t="shared" si="18"/>
        <v>Error?</v>
      </c>
    </row>
    <row r="1234" spans="1:4" x14ac:dyDescent="0.2">
      <c r="A1234" s="5">
        <v>1173</v>
      </c>
      <c r="B1234" s="138">
        <f>'Expenditures 15-22'!D151</f>
        <v>38430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97454</v>
      </c>
      <c r="D1237" s="2" t="str">
        <f t="shared" si="18"/>
        <v>Error?</v>
      </c>
    </row>
    <row r="1238" spans="1:4" x14ac:dyDescent="0.2">
      <c r="A1238" s="10">
        <v>1177</v>
      </c>
      <c r="D1238" s="2" t="str">
        <f t="shared" si="18"/>
        <v>OK</v>
      </c>
    </row>
    <row r="1239" spans="1:4" x14ac:dyDescent="0.2">
      <c r="A1239" s="5">
        <v>1178</v>
      </c>
      <c r="B1239" s="138">
        <f>'Expenditures 15-22'!E127</f>
        <v>97454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97454</v>
      </c>
      <c r="C1241" s="2" t="s">
        <v>573</v>
      </c>
      <c r="D1241" s="2" t="str">
        <f t="shared" si="18"/>
        <v>Error?</v>
      </c>
    </row>
    <row r="1242" spans="1:4" x14ac:dyDescent="0.2">
      <c r="A1242" s="5">
        <v>1181</v>
      </c>
      <c r="B1242" s="138">
        <f>'Expenditures 15-22'!E151</f>
        <v>97454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31784</v>
      </c>
      <c r="D1245" s="2" t="str">
        <f t="shared" si="18"/>
        <v>Error?</v>
      </c>
    </row>
    <row r="1246" spans="1:4" x14ac:dyDescent="0.2">
      <c r="A1246" s="10">
        <v>1185</v>
      </c>
      <c r="D1246" s="2" t="str">
        <f t="shared" si="18"/>
        <v>OK</v>
      </c>
    </row>
    <row r="1247" spans="1:4" x14ac:dyDescent="0.2">
      <c r="A1247" s="5">
        <v>1186</v>
      </c>
      <c r="B1247" s="138">
        <f>'Expenditures 15-22'!F127</f>
        <v>31784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31784</v>
      </c>
      <c r="C1249" s="2" t="s">
        <v>573</v>
      </c>
      <c r="D1249" s="2" t="str">
        <f t="shared" si="18"/>
        <v>Error?</v>
      </c>
    </row>
    <row r="1250" spans="1:4" x14ac:dyDescent="0.2">
      <c r="A1250" s="5">
        <v>1189</v>
      </c>
      <c r="B1250" s="138">
        <f>'Expenditures 15-22'!F151</f>
        <v>31784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24984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24984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24984</v>
      </c>
      <c r="C1258" s="2" t="s">
        <v>573</v>
      </c>
      <c r="D1258" s="2" t="str">
        <f t="shared" si="18"/>
        <v>Error?</v>
      </c>
    </row>
    <row r="1259" spans="1:4" x14ac:dyDescent="0.2">
      <c r="A1259" s="5">
        <v>1198</v>
      </c>
      <c r="B1259" s="138">
        <f>'Expenditures 15-22'!G151</f>
        <v>24984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391582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391582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391582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391582</v>
      </c>
      <c r="C1288" s="2" t="s">
        <v>573</v>
      </c>
      <c r="D1288" s="2" t="str">
        <f t="shared" si="19"/>
        <v>Error?</v>
      </c>
    </row>
    <row r="1289" spans="1:4" x14ac:dyDescent="0.2">
      <c r="A1289" s="5">
        <v>1228</v>
      </c>
      <c r="B1289" s="138">
        <f>'Expenditures 15-22'!K152</f>
        <v>49392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1800</v>
      </c>
      <c r="D1307" s="2" t="str">
        <f t="shared" si="19"/>
        <v>Error?</v>
      </c>
    </row>
    <row r="1308" spans="1:4" x14ac:dyDescent="0.2">
      <c r="A1308" s="5">
        <v>1247</v>
      </c>
      <c r="B1308" s="138">
        <f>'Expenditures 15-22'!E172</f>
        <v>1800</v>
      </c>
      <c r="C1308" s="2" t="s">
        <v>573</v>
      </c>
      <c r="D1308" s="2" t="str">
        <f t="shared" si="19"/>
        <v>Error?</v>
      </c>
    </row>
    <row r="1309" spans="1:4" x14ac:dyDescent="0.2">
      <c r="A1309" s="5">
        <v>1248</v>
      </c>
      <c r="B1309" s="138">
        <f>'Expenditures 15-22'!E174</f>
        <v>1800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454448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435000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889448</v>
      </c>
      <c r="C1317" s="2" t="s">
        <v>573</v>
      </c>
      <c r="D1317" s="2" t="str">
        <f t="shared" si="19"/>
        <v>Error?</v>
      </c>
    </row>
    <row r="1318" spans="1:4" x14ac:dyDescent="0.2">
      <c r="A1318" s="5">
        <v>1257</v>
      </c>
      <c r="B1318" s="138">
        <f>'Expenditures 15-22'!H174</f>
        <v>889448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454448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435000</v>
      </c>
      <c r="C1329" s="2" t="s">
        <v>573</v>
      </c>
      <c r="D1329" s="2" t="str">
        <f t="shared" si="19"/>
        <v>Error?</v>
      </c>
    </row>
    <row r="1330" spans="1:4" x14ac:dyDescent="0.2">
      <c r="A1330" s="5">
        <v>1269</v>
      </c>
      <c r="B1330" s="138">
        <f>'Expenditures 15-22'!K171</f>
        <v>1800</v>
      </c>
      <c r="C1330" s="2" t="s">
        <v>573</v>
      </c>
      <c r="D1330" s="2" t="str">
        <f t="shared" si="19"/>
        <v>Error?</v>
      </c>
    </row>
    <row r="1331" spans="1:4" x14ac:dyDescent="0.2">
      <c r="A1331" s="5">
        <v>1270</v>
      </c>
      <c r="B1331" s="138">
        <f>'Expenditures 15-22'!K172</f>
        <v>891248</v>
      </c>
      <c r="C1331" s="2" t="s">
        <v>573</v>
      </c>
      <c r="D1331" s="2" t="str">
        <f t="shared" si="19"/>
        <v>Error?</v>
      </c>
    </row>
    <row r="1332" spans="1:4" x14ac:dyDescent="0.2">
      <c r="A1332" s="5">
        <v>1271</v>
      </c>
      <c r="B1332" s="138">
        <f>'Expenditures 15-22'!K174</f>
        <v>891248</v>
      </c>
      <c r="C1332" s="2" t="s">
        <v>573</v>
      </c>
      <c r="D1332" s="2" t="str">
        <f t="shared" si="19"/>
        <v>Error?</v>
      </c>
    </row>
    <row r="1333" spans="1:4" x14ac:dyDescent="0.2">
      <c r="A1333" s="5">
        <v>1272</v>
      </c>
      <c r="B1333" s="138">
        <f>'Expenditures 15-22'!K175</f>
        <v>-64958</v>
      </c>
      <c r="C1333" s="2" t="s">
        <v>573</v>
      </c>
      <c r="D1333" s="2" t="str">
        <f t="shared" si="19"/>
        <v>Error?</v>
      </c>
    </row>
    <row r="1334" spans="1:4" x14ac:dyDescent="0.2">
      <c r="A1334" s="10">
        <v>1273</v>
      </c>
      <c r="D1334" s="2" t="str">
        <f t="shared" si="19"/>
        <v>OK</v>
      </c>
    </row>
    <row r="1335" spans="1:4" x14ac:dyDescent="0.2">
      <c r="A1335" s="5">
        <v>1274</v>
      </c>
      <c r="B1335" s="138">
        <f>'Expenditures 15-22'!C182</f>
        <v>229603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229603</v>
      </c>
      <c r="C1339" s="2" t="s">
        <v>573</v>
      </c>
      <c r="D1339" s="2" t="str">
        <f t="shared" si="19"/>
        <v>Error?</v>
      </c>
    </row>
    <row r="1340" spans="1:4" x14ac:dyDescent="0.2">
      <c r="A1340" s="5">
        <v>1279</v>
      </c>
      <c r="B1340" s="138">
        <f>'Expenditures 15-22'!C210</f>
        <v>229603</v>
      </c>
      <c r="C1340" s="2" t="s">
        <v>573</v>
      </c>
      <c r="D1340" s="2" t="str">
        <f t="shared" si="19"/>
        <v>Error?</v>
      </c>
    </row>
    <row r="1341" spans="1:4" x14ac:dyDescent="0.2">
      <c r="A1341" s="5">
        <v>1280</v>
      </c>
      <c r="B1341" s="138">
        <f>'Expenditures 15-22'!D182</f>
        <v>26597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26597</v>
      </c>
      <c r="C1345" s="2" t="s">
        <v>573</v>
      </c>
      <c r="D1345" s="2" t="str">
        <f t="shared" si="20"/>
        <v>Error?</v>
      </c>
    </row>
    <row r="1346" spans="1:4" x14ac:dyDescent="0.2">
      <c r="A1346" s="5">
        <v>1285</v>
      </c>
      <c r="B1346" s="138">
        <f>'Expenditures 15-22'!D210</f>
        <v>26597</v>
      </c>
      <c r="C1346" s="2" t="s">
        <v>573</v>
      </c>
      <c r="D1346" s="2" t="str">
        <f t="shared" si="20"/>
        <v>Error?</v>
      </c>
    </row>
    <row r="1347" spans="1:4" x14ac:dyDescent="0.2">
      <c r="A1347" s="5">
        <v>1286</v>
      </c>
      <c r="B1347" s="138">
        <f>'Expenditures 15-22'!E182</f>
        <v>245465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245465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245465</v>
      </c>
      <c r="C1353" s="2" t="s">
        <v>573</v>
      </c>
      <c r="D1353" s="2" t="str">
        <f t="shared" si="20"/>
        <v>Error?</v>
      </c>
    </row>
    <row r="1354" spans="1:4" x14ac:dyDescent="0.2">
      <c r="A1354" s="5">
        <v>1293</v>
      </c>
      <c r="B1354" s="138">
        <f>'Expenditures 15-22'!F182</f>
        <v>40902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40902</v>
      </c>
      <c r="C1358" s="2" t="s">
        <v>573</v>
      </c>
      <c r="D1358" s="2" t="str">
        <f t="shared" si="20"/>
        <v>Error?</v>
      </c>
    </row>
    <row r="1359" spans="1:4" x14ac:dyDescent="0.2">
      <c r="A1359" s="5">
        <v>1298</v>
      </c>
      <c r="B1359" s="138">
        <f>'Expenditures 15-22'!F210</f>
        <v>40902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434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434</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434</v>
      </c>
      <c r="C1376" s="2" t="s">
        <v>573</v>
      </c>
      <c r="D1376" s="2" t="str">
        <f t="shared" si="20"/>
        <v>Error?</v>
      </c>
    </row>
    <row r="1377" spans="1:4" x14ac:dyDescent="0.2">
      <c r="A1377" s="5">
        <v>1316</v>
      </c>
      <c r="B1377" s="138">
        <f>'Expenditures 15-22'!K182</f>
        <v>543001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543001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543001</v>
      </c>
      <c r="C1388" s="2" t="s">
        <v>573</v>
      </c>
      <c r="D1388" s="2" t="str">
        <f t="shared" si="20"/>
        <v>Error?</v>
      </c>
    </row>
    <row r="1389" spans="1:4" x14ac:dyDescent="0.2">
      <c r="A1389" s="5">
        <v>1328</v>
      </c>
      <c r="B1389" s="138">
        <f>'Expenditures 15-22'!K211</f>
        <v>-48536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2964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96049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2217</v>
      </c>
      <c r="D1416" s="2" t="str">
        <f t="shared" si="21"/>
        <v>Error?</v>
      </c>
    </row>
    <row r="1417" spans="1:4" x14ac:dyDescent="0.2">
      <c r="A1417" s="5">
        <v>1356</v>
      </c>
      <c r="B1417" s="138">
        <f>'Expenditures 15-22'!D238</f>
        <v>2217</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2634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2634</v>
      </c>
      <c r="C1421" s="2" t="s">
        <v>573</v>
      </c>
      <c r="D1421" s="2" t="str">
        <f t="shared" si="21"/>
        <v>Error?</v>
      </c>
    </row>
    <row r="1422" spans="1:4" x14ac:dyDescent="0.2">
      <c r="A1422" s="5">
        <v>1361</v>
      </c>
      <c r="B1422" s="138">
        <f>'Expenditures 15-22'!D245</f>
        <v>90</v>
      </c>
      <c r="D1422" s="2" t="str">
        <f t="shared" si="21"/>
        <v>Error?</v>
      </c>
    </row>
    <row r="1423" spans="1:4" x14ac:dyDescent="0.2">
      <c r="A1423" s="5">
        <v>1362</v>
      </c>
      <c r="B1423" s="138">
        <f>'Expenditures 15-22'!D246</f>
        <v>1812</v>
      </c>
      <c r="D1423" s="2" t="str">
        <f t="shared" si="21"/>
        <v>Error?</v>
      </c>
    </row>
    <row r="1424" spans="1:4" x14ac:dyDescent="0.2">
      <c r="A1424" s="5">
        <v>1363</v>
      </c>
      <c r="B1424" s="138">
        <f>'Expenditures 15-22'!D257</f>
        <v>1902</v>
      </c>
      <c r="C1424" s="2" t="s">
        <v>573</v>
      </c>
      <c r="D1424" s="2" t="str">
        <f t="shared" si="21"/>
        <v>Error?</v>
      </c>
    </row>
    <row r="1425" spans="1:4" x14ac:dyDescent="0.2">
      <c r="A1425" s="5">
        <v>1364</v>
      </c>
      <c r="B1425" s="138">
        <f>'Expenditures 15-22'!D259</f>
        <v>9738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9738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7745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33147</v>
      </c>
      <c r="D1431" s="2" t="str">
        <f t="shared" si="21"/>
        <v>Error?</v>
      </c>
    </row>
    <row r="1432" spans="1:4" x14ac:dyDescent="0.2">
      <c r="A1432" s="5">
        <v>1371</v>
      </c>
      <c r="B1432" s="138">
        <f>'Expenditures 15-22'!D267</f>
        <v>29289</v>
      </c>
      <c r="D1432" s="2" t="str">
        <f t="shared" si="21"/>
        <v>Error?</v>
      </c>
    </row>
    <row r="1433" spans="1:4" x14ac:dyDescent="0.2">
      <c r="A1433" s="5">
        <v>1372</v>
      </c>
      <c r="B1433" s="138">
        <f>'Expenditures 15-22'!D268</f>
        <v>15450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85631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3725</v>
      </c>
      <c r="D1445" s="2" t="str">
        <f t="shared" si="21"/>
        <v>Error?</v>
      </c>
    </row>
    <row r="1446" spans="1:4" x14ac:dyDescent="0.2">
      <c r="A1446" s="5">
        <v>1385</v>
      </c>
      <c r="B1446" s="138">
        <f>'Expenditures 15-22'!D279</f>
        <v>105847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201896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2964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96049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2217</v>
      </c>
      <c r="C1480" s="2" t="s">
        <v>573</v>
      </c>
      <c r="D1480" s="2" t="str">
        <f t="shared" si="22"/>
        <v>Error?</v>
      </c>
    </row>
    <row r="1481" spans="1:4" x14ac:dyDescent="0.2">
      <c r="A1481" s="5">
        <v>1420</v>
      </c>
      <c r="B1481" s="138">
        <f>'Expenditures 15-22'!K238</f>
        <v>2217</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2634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2634</v>
      </c>
      <c r="C1485" s="2" t="s">
        <v>573</v>
      </c>
      <c r="D1485" s="2" t="str">
        <f t="shared" si="22"/>
        <v>Error?</v>
      </c>
    </row>
    <row r="1486" spans="1:4" x14ac:dyDescent="0.2">
      <c r="A1486" s="5">
        <v>1425</v>
      </c>
      <c r="B1486" s="138">
        <f>'Expenditures 15-22'!K245</f>
        <v>90</v>
      </c>
      <c r="C1486" s="2" t="s">
        <v>573</v>
      </c>
      <c r="D1486" s="2" t="str">
        <f t="shared" si="22"/>
        <v>Error?</v>
      </c>
    </row>
    <row r="1487" spans="1:4" x14ac:dyDescent="0.2">
      <c r="A1487" s="5">
        <v>1426</v>
      </c>
      <c r="B1487" s="138">
        <f>'Expenditures 15-22'!K246</f>
        <v>1812</v>
      </c>
      <c r="C1487" s="2" t="s">
        <v>573</v>
      </c>
      <c r="D1487" s="2" t="str">
        <f t="shared" si="22"/>
        <v>Error?</v>
      </c>
    </row>
    <row r="1488" spans="1:4" x14ac:dyDescent="0.2">
      <c r="A1488" s="5">
        <v>1427</v>
      </c>
      <c r="B1488" s="138">
        <f>'Expenditures 15-22'!K257</f>
        <v>1902</v>
      </c>
      <c r="C1488" s="2" t="s">
        <v>573</v>
      </c>
      <c r="D1488" s="2" t="str">
        <f t="shared" si="22"/>
        <v>Error?</v>
      </c>
    </row>
    <row r="1489" spans="1:4" x14ac:dyDescent="0.2">
      <c r="A1489" s="5">
        <v>1428</v>
      </c>
      <c r="B1489" s="138">
        <f>'Expenditures 15-22'!K259</f>
        <v>9738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9738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7745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33147</v>
      </c>
      <c r="C1495" s="2" t="s">
        <v>573</v>
      </c>
      <c r="D1495" s="2" t="str">
        <f t="shared" si="22"/>
        <v>Error?</v>
      </c>
    </row>
    <row r="1496" spans="1:4" x14ac:dyDescent="0.2">
      <c r="A1496" s="5">
        <v>1435</v>
      </c>
      <c r="B1496" s="138">
        <f>'Expenditures 15-22'!K267</f>
        <v>29289</v>
      </c>
      <c r="C1496" s="2" t="s">
        <v>573</v>
      </c>
      <c r="D1496" s="2" t="str">
        <f t="shared" si="22"/>
        <v>Error?</v>
      </c>
    </row>
    <row r="1497" spans="1:4" x14ac:dyDescent="0.2">
      <c r="A1497" s="5">
        <v>1436</v>
      </c>
      <c r="B1497" s="138">
        <f>'Expenditures 15-22'!K268</f>
        <v>15450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85631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3725</v>
      </c>
      <c r="C1509" s="2" t="s">
        <v>573</v>
      </c>
      <c r="D1509" s="2" t="str">
        <f t="shared" si="22"/>
        <v>Error?</v>
      </c>
    </row>
    <row r="1510" spans="1:4" x14ac:dyDescent="0.2">
      <c r="A1510" s="5">
        <v>1449</v>
      </c>
      <c r="B1510" s="138">
        <f>'Expenditures 15-22'!K279</f>
        <v>105847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201896</v>
      </c>
      <c r="C1517" s="2" t="s">
        <v>573</v>
      </c>
      <c r="D1517" s="2" t="str">
        <f t="shared" si="22"/>
        <v>Error?</v>
      </c>
    </row>
    <row r="1518" spans="1:4" x14ac:dyDescent="0.2">
      <c r="A1518" s="5">
        <v>1457</v>
      </c>
      <c r="B1518" s="138">
        <f>'Expenditures 15-22'!K296</f>
        <v>1995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17544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17544</v>
      </c>
      <c r="C1547" s="2" t="s">
        <v>573</v>
      </c>
      <c r="D1547" s="2" t="str">
        <f t="shared" si="23"/>
        <v>Error?</v>
      </c>
    </row>
    <row r="1548" spans="1:4" x14ac:dyDescent="0.2">
      <c r="A1548" s="5">
        <v>1487</v>
      </c>
      <c r="B1548" s="138">
        <f>'Expenditures 15-22'!G312</f>
        <v>17544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17544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17544</v>
      </c>
      <c r="C1559" s="2" t="s">
        <v>573</v>
      </c>
      <c r="D1559" s="2" t="str">
        <f t="shared" si="23"/>
        <v>Error?</v>
      </c>
    </row>
    <row r="1560" spans="1:4" x14ac:dyDescent="0.2">
      <c r="A1560" s="5">
        <v>1499</v>
      </c>
      <c r="B1560" s="138">
        <f>'Expenditures 15-22'!K312</f>
        <v>17544</v>
      </c>
      <c r="C1560" s="2" t="s">
        <v>573</v>
      </c>
      <c r="D1560" s="2" t="str">
        <f t="shared" si="23"/>
        <v>Error?</v>
      </c>
    </row>
    <row r="1561" spans="1:4" x14ac:dyDescent="0.2">
      <c r="A1561" s="5">
        <v>1500</v>
      </c>
      <c r="B1561" s="138">
        <f>'Expenditures 15-22'!K313</f>
        <v>166607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868891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761277</v>
      </c>
      <c r="C1630" s="2" t="s">
        <v>573</v>
      </c>
      <c r="D1630" s="2" t="str">
        <f t="shared" si="24"/>
        <v>Error?</v>
      </c>
    </row>
    <row r="1631" spans="1:4" x14ac:dyDescent="0.2">
      <c r="A1631" s="5">
        <v>1570</v>
      </c>
      <c r="B1631" s="138">
        <f>'Acct Summary 7-8'!D79</f>
        <v>335603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321158</v>
      </c>
      <c r="C1644" s="2" t="s">
        <v>573</v>
      </c>
      <c r="D1644" s="2" t="str">
        <f t="shared" si="24"/>
        <v>Error?</v>
      </c>
    </row>
    <row r="1645" spans="1:4" x14ac:dyDescent="0.2">
      <c r="A1645" s="5">
        <v>1584</v>
      </c>
      <c r="B1645" s="138">
        <f>'Acct Summary 7-8'!E79</f>
        <v>85933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20975</v>
      </c>
      <c r="C1658" s="2" t="s">
        <v>573</v>
      </c>
      <c r="D1658" s="2" t="str">
        <f t="shared" si="24"/>
        <v>Error?</v>
      </c>
    </row>
    <row r="1659" spans="1:4" x14ac:dyDescent="0.2">
      <c r="A1659" s="5">
        <v>1598</v>
      </c>
      <c r="B1659" s="138">
        <f>'Acct Summary 7-8'!F79</f>
        <v>158762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110226</v>
      </c>
      <c r="C1672" s="2" t="s">
        <v>573</v>
      </c>
      <c r="D1672" s="2" t="str">
        <f t="shared" si="25"/>
        <v>Error?</v>
      </c>
    </row>
    <row r="1673" spans="1:4" x14ac:dyDescent="0.2">
      <c r="A1673" s="5">
        <v>1612</v>
      </c>
      <c r="B1673" s="138">
        <f>'Acct Summary 7-8'!G79</f>
        <v>263426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265421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166607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2674957</v>
      </c>
      <c r="C1744" s="2" t="s">
        <v>573</v>
      </c>
      <c r="D1744" s="2" t="str">
        <f t="shared" si="26"/>
        <v>Error?</v>
      </c>
    </row>
    <row r="1745" spans="1:5" x14ac:dyDescent="0.2">
      <c r="A1745" s="5">
        <v>1684</v>
      </c>
      <c r="B1745" s="138">
        <f>'Tax Sched 23'!B5</f>
        <v>439960</v>
      </c>
      <c r="C1745" s="2" t="s">
        <v>573</v>
      </c>
      <c r="D1745" s="2" t="str">
        <f t="shared" si="26"/>
        <v>Error?</v>
      </c>
    </row>
    <row r="1746" spans="1:5" x14ac:dyDescent="0.2">
      <c r="A1746" s="5">
        <v>1685</v>
      </c>
      <c r="B1746" s="138">
        <f>'Tax Sched 23'!B6</f>
        <v>825013</v>
      </c>
      <c r="C1746" s="2" t="s">
        <v>573</v>
      </c>
      <c r="D1746" s="2" t="str">
        <f t="shared" si="26"/>
        <v>Error?</v>
      </c>
    </row>
    <row r="1747" spans="1:5" x14ac:dyDescent="0.2">
      <c r="A1747" s="5">
        <v>1686</v>
      </c>
      <c r="B1747" s="138">
        <f>'Tax Sched 23'!B7</f>
        <v>211180</v>
      </c>
      <c r="C1747" s="2" t="s">
        <v>573</v>
      </c>
      <c r="D1747" s="2" t="str">
        <f t="shared" si="26"/>
        <v>Error?</v>
      </c>
    </row>
    <row r="1748" spans="1:5" x14ac:dyDescent="0.2">
      <c r="A1748" s="5">
        <v>1687</v>
      </c>
      <c r="B1748" s="138">
        <f>'Tax Sched 23'!B8</f>
        <v>85880</v>
      </c>
      <c r="C1748" s="2" t="s">
        <v>573</v>
      </c>
      <c r="D1748" s="2" t="str">
        <f t="shared" si="26"/>
        <v>Error?</v>
      </c>
    </row>
    <row r="1749" spans="1:5" x14ac:dyDescent="0.2">
      <c r="A1749" s="5">
        <v>1688</v>
      </c>
      <c r="B1749" s="138">
        <f>'Tax Sched 23'!B10</f>
        <v>87992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99959</v>
      </c>
      <c r="C1752" s="2" t="s">
        <v>573</v>
      </c>
      <c r="D1752" s="2" t="str">
        <f t="shared" si="26"/>
        <v>Error?</v>
      </c>
    </row>
    <row r="1753" spans="1:5" x14ac:dyDescent="0.2">
      <c r="A1753" s="5">
        <v>1692</v>
      </c>
      <c r="B1753" s="138">
        <f>'Tax Sched 23'!B12</f>
        <v>87992</v>
      </c>
      <c r="C1753" s="2" t="s">
        <v>573</v>
      </c>
      <c r="D1753" s="2" t="str">
        <f t="shared" si="26"/>
        <v>Error?</v>
      </c>
    </row>
    <row r="1754" spans="1:5" x14ac:dyDescent="0.2">
      <c r="A1754" s="5">
        <v>1693</v>
      </c>
      <c r="B1754" s="138">
        <f>'Tax Sched 23'!B14</f>
        <v>35197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4686101</v>
      </c>
      <c r="C1759" s="2" t="s">
        <v>573</v>
      </c>
      <c r="D1759" s="2" t="str">
        <f t="shared" si="26"/>
        <v>Error?</v>
      </c>
    </row>
    <row r="1760" spans="1:5" x14ac:dyDescent="0.2">
      <c r="A1760" s="5">
        <v>1699</v>
      </c>
      <c r="B1760" s="138">
        <f>'Tax Sched 23'!D4</f>
        <v>2674957</v>
      </c>
      <c r="C1760" s="2" t="s">
        <v>573</v>
      </c>
      <c r="D1760" s="2" t="str">
        <f t="shared" si="26"/>
        <v>Error?</v>
      </c>
    </row>
    <row r="1761" spans="1:5" x14ac:dyDescent="0.2">
      <c r="A1761" s="5">
        <v>1700</v>
      </c>
      <c r="B1761" s="138">
        <f>'Tax Sched 23'!D5</f>
        <v>439960</v>
      </c>
      <c r="C1761" s="2" t="s">
        <v>573</v>
      </c>
      <c r="D1761" s="2" t="str">
        <f t="shared" si="26"/>
        <v>Error?</v>
      </c>
    </row>
    <row r="1762" spans="1:5" s="8" customFormat="1" x14ac:dyDescent="0.2">
      <c r="A1762" s="5">
        <v>1701</v>
      </c>
      <c r="B1762" s="138">
        <f>'Tax Sched 23'!D6</f>
        <v>825013</v>
      </c>
      <c r="C1762" s="2" t="s">
        <v>573</v>
      </c>
      <c r="D1762" s="2" t="str">
        <f t="shared" si="26"/>
        <v>Error?</v>
      </c>
      <c r="E1762" s="9"/>
    </row>
    <row r="1763" spans="1:5" x14ac:dyDescent="0.2">
      <c r="A1763" s="5">
        <v>1702</v>
      </c>
      <c r="B1763" s="138">
        <f>'Tax Sched 23'!D7</f>
        <v>211180</v>
      </c>
      <c r="C1763" s="2" t="s">
        <v>573</v>
      </c>
      <c r="D1763" s="2" t="str">
        <f t="shared" si="26"/>
        <v>Error?</v>
      </c>
    </row>
    <row r="1764" spans="1:5" x14ac:dyDescent="0.2">
      <c r="A1764" s="5">
        <v>1703</v>
      </c>
      <c r="B1764" s="138">
        <f>'Tax Sched 23'!D8</f>
        <v>85880</v>
      </c>
      <c r="C1764" s="2" t="s">
        <v>573</v>
      </c>
      <c r="D1764" s="2" t="str">
        <f t="shared" si="26"/>
        <v>Error?</v>
      </c>
    </row>
    <row r="1765" spans="1:5" x14ac:dyDescent="0.2">
      <c r="A1765" s="5">
        <v>1704</v>
      </c>
      <c r="B1765" s="138">
        <f>'Tax Sched 23'!D10</f>
        <v>87992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99959</v>
      </c>
      <c r="C1768" s="2" t="s">
        <v>573</v>
      </c>
      <c r="D1768" s="2" t="str">
        <f t="shared" si="26"/>
        <v>Error?</v>
      </c>
    </row>
    <row r="1769" spans="1:5" x14ac:dyDescent="0.2">
      <c r="A1769" s="5">
        <v>1708</v>
      </c>
      <c r="B1769" s="138">
        <f>'Tax Sched 23'!D12</f>
        <v>87992</v>
      </c>
      <c r="C1769" s="2" t="s">
        <v>573</v>
      </c>
      <c r="D1769" s="2" t="str">
        <f t="shared" si="26"/>
        <v>Error?</v>
      </c>
    </row>
    <row r="1770" spans="1:5" x14ac:dyDescent="0.2">
      <c r="A1770" s="5">
        <v>1709</v>
      </c>
      <c r="B1770" s="138">
        <f>'Tax Sched 23'!D14</f>
        <v>35197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4686101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2717353</v>
      </c>
      <c r="C1792" s="2" t="s">
        <v>573</v>
      </c>
      <c r="D1792" s="2" t="str">
        <f t="shared" si="27"/>
        <v>Error?</v>
      </c>
    </row>
    <row r="1793" spans="1:4" x14ac:dyDescent="0.2">
      <c r="A1793" s="5">
        <v>1732</v>
      </c>
      <c r="B1793" s="138">
        <f>'Tax Sched 23'!F5</f>
        <v>446933</v>
      </c>
      <c r="C1793" s="2" t="s">
        <v>573</v>
      </c>
      <c r="D1793" s="2" t="str">
        <f t="shared" si="27"/>
        <v>Error?</v>
      </c>
    </row>
    <row r="1794" spans="1:4" x14ac:dyDescent="0.2">
      <c r="A1794" s="5">
        <v>1733</v>
      </c>
      <c r="B1794" s="138">
        <f>'Tax Sched 23'!F6</f>
        <v>831295</v>
      </c>
      <c r="C1794" s="2" t="s">
        <v>573</v>
      </c>
      <c r="D1794" s="2" t="str">
        <f t="shared" si="27"/>
        <v>Error?</v>
      </c>
    </row>
    <row r="1795" spans="1:4" x14ac:dyDescent="0.2">
      <c r="A1795" s="5">
        <v>1734</v>
      </c>
      <c r="B1795" s="138">
        <f>'Tax Sched 23'!F7</f>
        <v>214528</v>
      </c>
      <c r="C1795" s="2" t="s">
        <v>573</v>
      </c>
      <c r="D1795" s="2" t="str">
        <f t="shared" si="27"/>
        <v>Error?</v>
      </c>
    </row>
    <row r="1796" spans="1:4" x14ac:dyDescent="0.2">
      <c r="A1796" s="5">
        <v>1735</v>
      </c>
      <c r="B1796" s="138">
        <f>'Tax Sched 23'!F8</f>
        <v>105119</v>
      </c>
      <c r="C1796" s="2" t="s">
        <v>573</v>
      </c>
      <c r="D1796" s="2" t="str">
        <f t="shared" si="27"/>
        <v>Error?</v>
      </c>
    </row>
    <row r="1797" spans="1:4" x14ac:dyDescent="0.2">
      <c r="A1797" s="5">
        <v>1736</v>
      </c>
      <c r="B1797" s="138">
        <f>'Tax Sched 23'!F10</f>
        <v>89387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195042</v>
      </c>
      <c r="C1800" s="2" t="s">
        <v>573</v>
      </c>
      <c r="D1800" s="2" t="str">
        <f t="shared" si="27"/>
        <v>Error?</v>
      </c>
    </row>
    <row r="1801" spans="1:4" x14ac:dyDescent="0.2">
      <c r="A1801" s="5">
        <v>1740</v>
      </c>
      <c r="B1801" s="138">
        <f>'Tax Sched 23'!F12</f>
        <v>89387</v>
      </c>
      <c r="C1801" s="2" t="s">
        <v>573</v>
      </c>
      <c r="D1801" s="2" t="str">
        <f t="shared" si="27"/>
        <v>Error?</v>
      </c>
    </row>
    <row r="1802" spans="1:4" x14ac:dyDescent="0.2">
      <c r="A1802" s="5">
        <v>1741</v>
      </c>
      <c r="B1802" s="138">
        <f>'Tax Sched 23'!F14</f>
        <v>35755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4869963</v>
      </c>
      <c r="C1807" s="2" t="s">
        <v>573</v>
      </c>
      <c r="D1807" s="2" t="str">
        <f t="shared" si="27"/>
        <v>Error?</v>
      </c>
    </row>
    <row r="1808" spans="1:4" x14ac:dyDescent="0.2">
      <c r="A1808" s="5">
        <v>1747</v>
      </c>
      <c r="B1808" s="138">
        <f>'Tax Sched 23'!E4</f>
        <v>2717353</v>
      </c>
      <c r="D1808" s="2" t="str">
        <f t="shared" si="27"/>
        <v>Error?</v>
      </c>
    </row>
    <row r="1809" spans="1:4" x14ac:dyDescent="0.2">
      <c r="A1809" s="5">
        <v>1748</v>
      </c>
      <c r="B1809" s="138">
        <f>'Tax Sched 23'!E5</f>
        <v>446933</v>
      </c>
      <c r="D1809" s="2" t="str">
        <f t="shared" si="27"/>
        <v>Error?</v>
      </c>
    </row>
    <row r="1810" spans="1:4" x14ac:dyDescent="0.2">
      <c r="A1810" s="5">
        <v>1749</v>
      </c>
      <c r="B1810" s="138">
        <f>'Tax Sched 23'!E6</f>
        <v>831295</v>
      </c>
      <c r="D1810" s="2" t="str">
        <f t="shared" si="27"/>
        <v>Error?</v>
      </c>
    </row>
    <row r="1811" spans="1:4" x14ac:dyDescent="0.2">
      <c r="A1811" s="5">
        <v>1750</v>
      </c>
      <c r="B1811" s="138">
        <f>'Tax Sched 23'!E7</f>
        <v>214528</v>
      </c>
      <c r="D1811" s="2" t="str">
        <f t="shared" si="27"/>
        <v>Error?</v>
      </c>
    </row>
    <row r="1812" spans="1:4" x14ac:dyDescent="0.2">
      <c r="A1812" s="5">
        <v>1751</v>
      </c>
      <c r="B1812" s="138">
        <f>'Tax Sched 23'!E8</f>
        <v>105119</v>
      </c>
      <c r="D1812" s="2" t="str">
        <f t="shared" si="27"/>
        <v>Error?</v>
      </c>
    </row>
    <row r="1813" spans="1:4" x14ac:dyDescent="0.2">
      <c r="A1813" s="5">
        <v>1752</v>
      </c>
      <c r="B1813" s="138">
        <f>'Tax Sched 23'!E10</f>
        <v>89387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195042</v>
      </c>
      <c r="D1816" s="2" t="str">
        <f t="shared" si="27"/>
        <v>Error?</v>
      </c>
    </row>
    <row r="1817" spans="1:4" x14ac:dyDescent="0.2">
      <c r="A1817" s="5">
        <v>1756</v>
      </c>
      <c r="B1817" s="138">
        <f>'Tax Sched 23'!E12</f>
        <v>89387</v>
      </c>
      <c r="D1817" s="2" t="str">
        <f t="shared" si="27"/>
        <v>Error?</v>
      </c>
    </row>
    <row r="1818" spans="1:4" x14ac:dyDescent="0.2">
      <c r="A1818" s="5">
        <v>1757</v>
      </c>
      <c r="B1818" s="138">
        <f>'Tax Sched 23'!E14</f>
        <v>35755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4869963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9065000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35197</v>
      </c>
      <c r="D1972" s="2" t="str">
        <f t="shared" si="29"/>
        <v>Error?</v>
      </c>
    </row>
    <row r="1973" spans="1:5" x14ac:dyDescent="0.2">
      <c r="A1973" s="5">
        <v>1912</v>
      </c>
      <c r="B1973" s="138">
        <f>'Rest Tax Levies-Tort Im 25'!H6</f>
        <v>29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35226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35226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22721</v>
      </c>
      <c r="D2008" s="2" t="str">
        <f t="shared" si="30"/>
        <v>Error?</v>
      </c>
    </row>
    <row r="2009" spans="1:4" x14ac:dyDescent="0.2">
      <c r="A2009" s="5">
        <v>1948</v>
      </c>
      <c r="B2009" s="138">
        <f>'Cap Outlay Deprec 26'!C8</f>
        <v>14157667</v>
      </c>
      <c r="D2009" s="2" t="str">
        <f t="shared" si="30"/>
        <v>Error?</v>
      </c>
    </row>
    <row r="2010" spans="1:4" x14ac:dyDescent="0.2">
      <c r="A2010" s="5">
        <v>1949</v>
      </c>
      <c r="B2010" s="138">
        <f>'Cap Outlay Deprec 26'!C10</f>
        <v>742601</v>
      </c>
      <c r="D2010" s="2" t="str">
        <f t="shared" si="30"/>
        <v>Error?</v>
      </c>
    </row>
    <row r="2011" spans="1:4" x14ac:dyDescent="0.2">
      <c r="A2011" s="5">
        <v>1950</v>
      </c>
      <c r="B2011" s="138">
        <f>'Cap Outlay Deprec 26'!C12</f>
        <v>588721</v>
      </c>
      <c r="D2011" s="2" t="str">
        <f t="shared" si="30"/>
        <v>Error?</v>
      </c>
    </row>
    <row r="2012" spans="1:4" x14ac:dyDescent="0.2">
      <c r="A2012" s="5">
        <v>1951</v>
      </c>
      <c r="B2012" s="138">
        <f>'Cap Outlay Deprec 26'!C13</f>
        <v>635728</v>
      </c>
      <c r="D2012" s="2" t="str">
        <f t="shared" si="30"/>
        <v>Error?</v>
      </c>
    </row>
    <row r="2013" spans="1:4" x14ac:dyDescent="0.2">
      <c r="A2013" s="5">
        <v>1952</v>
      </c>
      <c r="B2013" s="138">
        <f>'Cap Outlay Deprec 26'!C16</f>
        <v>16150056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39380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8151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47531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2084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2084</v>
      </c>
      <c r="C2025" s="2" t="s">
        <v>573</v>
      </c>
      <c r="D2025" s="2" t="str">
        <f t="shared" si="30"/>
        <v>Error?</v>
      </c>
    </row>
    <row r="2026" spans="1:4" x14ac:dyDescent="0.2">
      <c r="A2026" s="5">
        <v>1965</v>
      </c>
      <c r="B2026" s="138">
        <f>'Cap Outlay Deprec 26'!F5</f>
        <v>22721</v>
      </c>
      <c r="C2026" s="2" t="s">
        <v>573</v>
      </c>
      <c r="D2026" s="2" t="str">
        <f t="shared" si="30"/>
        <v>Error?</v>
      </c>
    </row>
    <row r="2027" spans="1:4" x14ac:dyDescent="0.2">
      <c r="A2027" s="5">
        <v>1966</v>
      </c>
      <c r="B2027" s="138">
        <f>'Cap Outlay Deprec 26'!F8</f>
        <v>14197047</v>
      </c>
      <c r="C2027" s="2" t="s">
        <v>573</v>
      </c>
      <c r="D2027" s="2" t="str">
        <f t="shared" si="30"/>
        <v>Error?</v>
      </c>
    </row>
    <row r="2028" spans="1:4" x14ac:dyDescent="0.2">
      <c r="A2028" s="5">
        <v>1967</v>
      </c>
      <c r="B2028" s="138">
        <f>'Cap Outlay Deprec 26'!F10</f>
        <v>742601</v>
      </c>
      <c r="C2028" s="2" t="s">
        <v>573</v>
      </c>
      <c r="D2028" s="2" t="str">
        <f t="shared" si="30"/>
        <v>Error?</v>
      </c>
    </row>
    <row r="2029" spans="1:4" x14ac:dyDescent="0.2">
      <c r="A2029" s="5">
        <v>1968</v>
      </c>
      <c r="B2029" s="138">
        <f>'Cap Outlay Deprec 26'!F12</f>
        <v>594788</v>
      </c>
      <c r="C2029" s="2" t="s">
        <v>573</v>
      </c>
      <c r="D2029" s="2" t="str">
        <f t="shared" si="30"/>
        <v>Error?</v>
      </c>
    </row>
    <row r="2030" spans="1:4" x14ac:dyDescent="0.2">
      <c r="A2030" s="5">
        <v>1969</v>
      </c>
      <c r="B2030" s="138">
        <f>'Cap Outlay Deprec 26'!F13</f>
        <v>635728</v>
      </c>
      <c r="C2030" s="2" t="s">
        <v>573</v>
      </c>
      <c r="D2030" s="2" t="str">
        <f t="shared" si="30"/>
        <v>Error?</v>
      </c>
    </row>
    <row r="2031" spans="1:4" x14ac:dyDescent="0.2">
      <c r="A2031" s="5">
        <v>1970</v>
      </c>
      <c r="B2031" s="138">
        <f>'Cap Outlay Deprec 26'!F16</f>
        <v>16195503</v>
      </c>
      <c r="C2031" s="2" t="s">
        <v>573</v>
      </c>
      <c r="D2031" s="2" t="str">
        <f t="shared" si="30"/>
        <v>Error?</v>
      </c>
    </row>
    <row r="2032" spans="1:4" x14ac:dyDescent="0.2">
      <c r="A2032" s="10">
        <v>1971</v>
      </c>
      <c r="D2032" s="2" t="str">
        <f t="shared" si="30"/>
        <v>OK</v>
      </c>
    </row>
    <row r="2033" spans="1:4" x14ac:dyDescent="0.2">
      <c r="A2033" s="5">
        <v>1972</v>
      </c>
      <c r="B2033" s="138">
        <f>'Cap Outlay Deprec 26'!H8</f>
        <v>4680043</v>
      </c>
      <c r="D2033" s="2" t="str">
        <f t="shared" si="30"/>
        <v>Error?</v>
      </c>
    </row>
    <row r="2034" spans="1:4" x14ac:dyDescent="0.2">
      <c r="A2034" s="5">
        <v>1973</v>
      </c>
      <c r="B2034" s="138">
        <f>'Cap Outlay Deprec 26'!H10</f>
        <v>410188</v>
      </c>
      <c r="D2034" s="2" t="str">
        <f t="shared" si="30"/>
        <v>Error?</v>
      </c>
    </row>
    <row r="2035" spans="1:4" x14ac:dyDescent="0.2">
      <c r="A2035" s="5">
        <v>1974</v>
      </c>
      <c r="B2035" s="138">
        <f>'Cap Outlay Deprec 26'!H12</f>
        <v>421096</v>
      </c>
      <c r="D2035" s="2" t="str">
        <f t="shared" si="30"/>
        <v>Error?</v>
      </c>
    </row>
    <row r="2036" spans="1:4" x14ac:dyDescent="0.2">
      <c r="A2036" s="5">
        <v>1975</v>
      </c>
      <c r="B2036" s="138">
        <f>'Cap Outlay Deprec 26'!H13</f>
        <v>635460</v>
      </c>
      <c r="D2036" s="2" t="str">
        <f t="shared" si="30"/>
        <v>Error?</v>
      </c>
    </row>
    <row r="2037" spans="1:4" x14ac:dyDescent="0.2">
      <c r="A2037" s="5">
        <v>1976</v>
      </c>
      <c r="B2037" s="138">
        <f>'Cap Outlay Deprec 26'!H16</f>
        <v>6149053</v>
      </c>
      <c r="C2037" s="2" t="s">
        <v>573</v>
      </c>
      <c r="D2037" s="2" t="str">
        <f t="shared" si="30"/>
        <v>Error?</v>
      </c>
    </row>
    <row r="2038" spans="1:4" x14ac:dyDescent="0.2">
      <c r="A2038" s="10">
        <v>1977</v>
      </c>
      <c r="D2038" s="2" t="str">
        <f t="shared" si="30"/>
        <v>OK</v>
      </c>
    </row>
    <row r="2039" spans="1:4" x14ac:dyDescent="0.2">
      <c r="A2039" s="5">
        <v>1978</v>
      </c>
      <c r="B2039" s="138">
        <f>'Cap Outlay Deprec 26'!I8</f>
        <v>271506</v>
      </c>
      <c r="D2039" s="2" t="str">
        <f t="shared" si="30"/>
        <v>Error?</v>
      </c>
    </row>
    <row r="2040" spans="1:4" x14ac:dyDescent="0.2">
      <c r="A2040" s="5">
        <v>1979</v>
      </c>
      <c r="B2040" s="138">
        <f>'Cap Outlay Deprec 26'!I10</f>
        <v>28073</v>
      </c>
      <c r="D2040" s="2" t="str">
        <f t="shared" si="30"/>
        <v>Error?</v>
      </c>
    </row>
    <row r="2041" spans="1:4" x14ac:dyDescent="0.2">
      <c r="A2041" s="5">
        <v>1980</v>
      </c>
      <c r="B2041" s="138">
        <f>'Cap Outlay Deprec 26'!I12</f>
        <v>59475</v>
      </c>
      <c r="D2041" s="2" t="str">
        <f t="shared" si="30"/>
        <v>Error?</v>
      </c>
    </row>
    <row r="2042" spans="1:4" x14ac:dyDescent="0.2">
      <c r="A2042" s="5">
        <v>1981</v>
      </c>
      <c r="B2042" s="138">
        <f>'Cap Outlay Deprec 26'!I13</f>
        <v>135</v>
      </c>
      <c r="D2042" s="2" t="str">
        <f t="shared" si="30"/>
        <v>Error?</v>
      </c>
    </row>
    <row r="2043" spans="1:4" x14ac:dyDescent="0.2">
      <c r="A2043" s="5">
        <v>1982</v>
      </c>
      <c r="B2043" s="138">
        <f>'Cap Outlay Deprec 26'!I16</f>
        <v>359541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2084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2084</v>
      </c>
      <c r="C2049" s="2" t="s">
        <v>573</v>
      </c>
      <c r="D2049" s="2" t="str">
        <f t="shared" si="31"/>
        <v>Error?</v>
      </c>
    </row>
    <row r="2050" spans="1:4" x14ac:dyDescent="0.2">
      <c r="A2050" s="10">
        <v>1989</v>
      </c>
      <c r="D2050" s="2" t="str">
        <f t="shared" si="31"/>
        <v>OK</v>
      </c>
    </row>
    <row r="2051" spans="1:4" x14ac:dyDescent="0.2">
      <c r="A2051" s="5">
        <v>1990</v>
      </c>
      <c r="B2051" s="138">
        <f>'Cap Outlay Deprec 26'!K8</f>
        <v>4951549</v>
      </c>
      <c r="C2051" s="2" t="s">
        <v>573</v>
      </c>
      <c r="D2051" s="2" t="str">
        <f t="shared" si="31"/>
        <v>Error?</v>
      </c>
    </row>
    <row r="2052" spans="1:4" x14ac:dyDescent="0.2">
      <c r="A2052" s="5">
        <v>1991</v>
      </c>
      <c r="B2052" s="138">
        <f>'Cap Outlay Deprec 26'!K10</f>
        <v>438261</v>
      </c>
      <c r="C2052" s="2" t="s">
        <v>573</v>
      </c>
      <c r="D2052" s="2" t="str">
        <f t="shared" si="31"/>
        <v>Error?</v>
      </c>
    </row>
    <row r="2053" spans="1:4" x14ac:dyDescent="0.2">
      <c r="A2053" s="5">
        <v>1992</v>
      </c>
      <c r="B2053" s="138">
        <f>'Cap Outlay Deprec 26'!K12</f>
        <v>478487</v>
      </c>
      <c r="C2053" s="2" t="s">
        <v>573</v>
      </c>
      <c r="D2053" s="2" t="str">
        <f t="shared" si="31"/>
        <v>Error?</v>
      </c>
    </row>
    <row r="2054" spans="1:4" x14ac:dyDescent="0.2">
      <c r="A2054" s="5">
        <v>1993</v>
      </c>
      <c r="B2054" s="138">
        <f>'Cap Outlay Deprec 26'!K13</f>
        <v>635595</v>
      </c>
      <c r="C2054" s="2" t="s">
        <v>573</v>
      </c>
      <c r="D2054" s="2" t="str">
        <f t="shared" si="31"/>
        <v>Error?</v>
      </c>
    </row>
    <row r="2055" spans="1:4" x14ac:dyDescent="0.2">
      <c r="A2055" s="5">
        <v>1994</v>
      </c>
      <c r="B2055" s="138">
        <f>'Cap Outlay Deprec 26'!K16</f>
        <v>6506510</v>
      </c>
      <c r="C2055" s="2" t="s">
        <v>573</v>
      </c>
      <c r="D2055" s="2" t="str">
        <f t="shared" si="31"/>
        <v>Error?</v>
      </c>
    </row>
    <row r="2056" spans="1:4" x14ac:dyDescent="0.2">
      <c r="A2056" s="5">
        <v>1995</v>
      </c>
      <c r="B2056" s="138">
        <f>'Cap Outlay Deprec 26'!L5</f>
        <v>22721</v>
      </c>
      <c r="C2056" s="2" t="s">
        <v>573</v>
      </c>
      <c r="D2056" s="2" t="str">
        <f t="shared" si="31"/>
        <v>Error?</v>
      </c>
    </row>
    <row r="2057" spans="1:4" x14ac:dyDescent="0.2">
      <c r="A2057" s="5">
        <v>1996</v>
      </c>
      <c r="B2057" s="138">
        <f>'Cap Outlay Deprec 26'!L8</f>
        <v>9245498</v>
      </c>
      <c r="C2057" s="2" t="s">
        <v>573</v>
      </c>
      <c r="D2057" s="2" t="str">
        <f t="shared" si="31"/>
        <v>Error?</v>
      </c>
    </row>
    <row r="2058" spans="1:4" x14ac:dyDescent="0.2">
      <c r="A2058" s="5">
        <v>1997</v>
      </c>
      <c r="B2058" s="138">
        <f>'Cap Outlay Deprec 26'!L10</f>
        <v>304340</v>
      </c>
      <c r="C2058" s="2" t="s">
        <v>573</v>
      </c>
      <c r="D2058" s="2" t="str">
        <f t="shared" si="31"/>
        <v>Error?</v>
      </c>
    </row>
    <row r="2059" spans="1:4" x14ac:dyDescent="0.2">
      <c r="A2059" s="5">
        <v>1998</v>
      </c>
      <c r="B2059" s="138">
        <f>'Cap Outlay Deprec 26'!L12</f>
        <v>116301</v>
      </c>
      <c r="C2059" s="2" t="s">
        <v>573</v>
      </c>
      <c r="D2059" s="2" t="str">
        <f t="shared" si="31"/>
        <v>Error?</v>
      </c>
    </row>
    <row r="2060" spans="1:4" x14ac:dyDescent="0.2">
      <c r="A2060" s="5">
        <v>1999</v>
      </c>
      <c r="B2060" s="138">
        <f>'Cap Outlay Deprec 26'!L13</f>
        <v>133</v>
      </c>
      <c r="C2060" s="2" t="s">
        <v>573</v>
      </c>
      <c r="D2060" s="2" t="str">
        <f t="shared" si="31"/>
        <v>Error?</v>
      </c>
    </row>
    <row r="2061" spans="1:4" x14ac:dyDescent="0.2">
      <c r="A2061" s="5">
        <v>2000</v>
      </c>
      <c r="B2061" s="138">
        <f>'Cap Outlay Deprec 26'!L16</f>
        <v>9688993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248659</v>
      </c>
      <c r="C2088" s="2" t="s">
        <v>573</v>
      </c>
      <c r="D2088" s="2" t="str">
        <f t="shared" si="31"/>
        <v>Error?</v>
      </c>
    </row>
    <row r="2089" spans="1:4" x14ac:dyDescent="0.2">
      <c r="A2089" s="5">
        <v>2028</v>
      </c>
      <c r="B2089" s="138">
        <f>'Expenditures 15-22'!K92</f>
        <v>102427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104472</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42355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125832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3093615</v>
      </c>
      <c r="C2551" s="2" t="s">
        <v>573</v>
      </c>
      <c r="D2551" s="2" t="str">
        <f t="shared" si="38"/>
        <v>Error?</v>
      </c>
    </row>
    <row r="2552" spans="1:4" x14ac:dyDescent="0.2">
      <c r="A2552" s="10">
        <v>2491</v>
      </c>
      <c r="D2552" s="2" t="str">
        <f t="shared" si="38"/>
        <v>OK</v>
      </c>
    </row>
    <row r="2553" spans="1:4" x14ac:dyDescent="0.2">
      <c r="A2553" s="5">
        <v>2492</v>
      </c>
      <c r="B2553" s="138">
        <f>'Acct Summary 7-8'!C6</f>
        <v>1821794</v>
      </c>
      <c r="C2553" s="2" t="s">
        <v>573</v>
      </c>
      <c r="D2553" s="2" t="str">
        <f t="shared" si="38"/>
        <v>Error?</v>
      </c>
    </row>
    <row r="2554" spans="1:4" x14ac:dyDescent="0.2">
      <c r="A2554" s="5">
        <v>2493</v>
      </c>
      <c r="B2554" s="138">
        <f>'Acct Summary 7-8'!C7</f>
        <v>366856</v>
      </c>
      <c r="C2554" s="2" t="s">
        <v>573</v>
      </c>
      <c r="D2554" s="2" t="str">
        <f t="shared" si="38"/>
        <v>Error?</v>
      </c>
    </row>
    <row r="2555" spans="1:4" x14ac:dyDescent="0.2">
      <c r="A2555" s="5">
        <v>2494</v>
      </c>
      <c r="B2555" s="138">
        <f>'Acct Summary 7-8'!C8</f>
        <v>5282265</v>
      </c>
      <c r="C2555" s="2" t="s">
        <v>573</v>
      </c>
      <c r="D2555" s="2" t="str">
        <f t="shared" si="38"/>
        <v>Error?</v>
      </c>
    </row>
    <row r="2556" spans="1:4" x14ac:dyDescent="0.2">
      <c r="A2556" s="5">
        <v>2495</v>
      </c>
      <c r="B2556" s="138">
        <f>'Acct Summary 7-8'!C12</f>
        <v>4140633</v>
      </c>
      <c r="C2556" s="2" t="s">
        <v>573</v>
      </c>
      <c r="D2556" s="2" t="str">
        <f t="shared" si="38"/>
        <v>Error?</v>
      </c>
    </row>
    <row r="2557" spans="1:4" x14ac:dyDescent="0.2">
      <c r="A2557" s="5">
        <v>2496</v>
      </c>
      <c r="B2557" s="138">
        <f>'Acct Summary 7-8'!C13</f>
        <v>1060734</v>
      </c>
      <c r="C2557" s="2" t="s">
        <v>573</v>
      </c>
      <c r="D2557" s="2" t="str">
        <f t="shared" si="38"/>
        <v>Error?</v>
      </c>
    </row>
    <row r="2558" spans="1:4" x14ac:dyDescent="0.2">
      <c r="A2558" s="5">
        <v>2497</v>
      </c>
      <c r="B2558" s="138">
        <f>'Acct Summary 7-8'!C14</f>
        <v>5735</v>
      </c>
      <c r="C2558" s="2" t="s">
        <v>573</v>
      </c>
      <c r="D2558" s="2" t="str">
        <f t="shared" si="38"/>
        <v>Error?</v>
      </c>
    </row>
    <row r="2559" spans="1:4" x14ac:dyDescent="0.2">
      <c r="A2559" s="5">
        <v>2498</v>
      </c>
      <c r="B2559" s="138">
        <f>'Acct Summary 7-8'!C15</f>
        <v>351086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5558188</v>
      </c>
      <c r="C2561" s="2" t="s">
        <v>573</v>
      </c>
      <c r="D2561" s="2" t="str">
        <f t="shared" si="39"/>
        <v>Error?</v>
      </c>
    </row>
    <row r="2562" spans="1:4" x14ac:dyDescent="0.2">
      <c r="A2562" s="5">
        <v>2501</v>
      </c>
      <c r="B2562" s="138">
        <f>'Acct Summary 7-8'!C20</f>
        <v>-275923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440974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440974</v>
      </c>
      <c r="C2568" s="2" t="s">
        <v>573</v>
      </c>
      <c r="D2568" s="2" t="str">
        <f t="shared" si="39"/>
        <v>Error?</v>
      </c>
    </row>
    <row r="2569" spans="1:4" x14ac:dyDescent="0.2">
      <c r="A2569" s="5">
        <v>2508</v>
      </c>
      <c r="B2569" s="138">
        <f>'Acct Summary 7-8'!D13</f>
        <v>391582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391582</v>
      </c>
      <c r="C2573" s="2" t="s">
        <v>573</v>
      </c>
      <c r="D2573" s="2" t="str">
        <f t="shared" si="39"/>
        <v>Error?</v>
      </c>
    </row>
    <row r="2574" spans="1:4" x14ac:dyDescent="0.2">
      <c r="A2574" s="5">
        <v>2513</v>
      </c>
      <c r="B2574" s="138">
        <f>'Acct Summary 7-8'!D20</f>
        <v>49392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224374</v>
      </c>
      <c r="C2591" s="2" t="s">
        <v>573</v>
      </c>
      <c r="D2591" s="2" t="str">
        <f t="shared" si="39"/>
        <v>Error?</v>
      </c>
    </row>
    <row r="2592" spans="1:4" x14ac:dyDescent="0.2">
      <c r="A2592" s="10">
        <v>2531</v>
      </c>
      <c r="D2592" s="2" t="str">
        <f t="shared" si="39"/>
        <v>OK</v>
      </c>
    </row>
    <row r="2593" spans="1:4" x14ac:dyDescent="0.2">
      <c r="A2593" s="5">
        <v>2532</v>
      </c>
      <c r="B2593" s="138">
        <f>'Acct Summary 7-8'!F6</f>
        <v>270091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494465</v>
      </c>
      <c r="C2595" s="2" t="s">
        <v>573</v>
      </c>
      <c r="D2595" s="2" t="str">
        <f t="shared" si="39"/>
        <v>Error?</v>
      </c>
    </row>
    <row r="2596" spans="1:4" x14ac:dyDescent="0.2">
      <c r="A2596" s="5">
        <v>2535</v>
      </c>
      <c r="B2596" s="138">
        <f>'Acct Summary 7-8'!F13</f>
        <v>543001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543001</v>
      </c>
      <c r="C2600" s="2" t="s">
        <v>573</v>
      </c>
      <c r="D2600" s="2" t="str">
        <f t="shared" si="39"/>
        <v>Error?</v>
      </c>
    </row>
    <row r="2601" spans="1:4" x14ac:dyDescent="0.2">
      <c r="A2601" s="5">
        <v>2540</v>
      </c>
      <c r="B2601" s="138">
        <f>'Acct Summary 7-8'!F20</f>
        <v>-48536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203891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203891</v>
      </c>
      <c r="C2606" s="2" t="s">
        <v>573</v>
      </c>
      <c r="D2606" s="2" t="str">
        <f t="shared" si="39"/>
        <v>Error?</v>
      </c>
    </row>
    <row r="2607" spans="1:4" x14ac:dyDescent="0.2">
      <c r="A2607" s="5">
        <v>2546</v>
      </c>
      <c r="B2607" s="138">
        <f>'Acct Summary 7-8'!G12</f>
        <v>96049</v>
      </c>
      <c r="C2607" s="2" t="s">
        <v>573</v>
      </c>
      <c r="D2607" s="2" t="str">
        <f t="shared" si="39"/>
        <v>Error?</v>
      </c>
    </row>
    <row r="2608" spans="1:4" x14ac:dyDescent="0.2">
      <c r="A2608" s="5">
        <v>2547</v>
      </c>
      <c r="B2608" s="138">
        <f>'Acct Summary 7-8'!G13</f>
        <v>105847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201896</v>
      </c>
      <c r="C2612" s="2" t="s">
        <v>573</v>
      </c>
      <c r="D2612" s="2" t="str">
        <f t="shared" si="39"/>
        <v>Error?</v>
      </c>
    </row>
    <row r="2613" spans="1:4" x14ac:dyDescent="0.2">
      <c r="A2613" s="5">
        <v>2552</v>
      </c>
      <c r="B2613" s="138">
        <f>'Acct Summary 7-8'!G20</f>
        <v>1995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826290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826290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891248</v>
      </c>
      <c r="C2634" s="2" t="s">
        <v>573</v>
      </c>
      <c r="D2634" s="2" t="str">
        <f t="shared" si="40"/>
        <v>Error?</v>
      </c>
    </row>
    <row r="2635" spans="1:4" x14ac:dyDescent="0.2">
      <c r="A2635" s="5">
        <v>2574</v>
      </c>
      <c r="B2635" s="138">
        <f>'Acct Summary 7-8'!E17</f>
        <v>891248</v>
      </c>
      <c r="C2635" s="2" t="s">
        <v>573</v>
      </c>
      <c r="D2635" s="2" t="str">
        <f t="shared" si="40"/>
        <v>Error?</v>
      </c>
    </row>
    <row r="2636" spans="1:4" x14ac:dyDescent="0.2">
      <c r="A2636" s="5">
        <v>2575</v>
      </c>
      <c r="B2636" s="138">
        <f>'Acct Summary 7-8'!E20</f>
        <v>-64958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184151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184151</v>
      </c>
      <c r="C2658" s="2" t="s">
        <v>573</v>
      </c>
      <c r="D2658" s="2" t="str">
        <f t="shared" si="40"/>
        <v>Error?</v>
      </c>
    </row>
    <row r="2659" spans="1:4" x14ac:dyDescent="0.2">
      <c r="A2659" s="5">
        <v>2598</v>
      </c>
      <c r="B2659" s="138">
        <f>'Acct Summary 7-8'!H13</f>
        <v>17544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17544</v>
      </c>
      <c r="C2661" s="2" t="s">
        <v>573</v>
      </c>
      <c r="D2661" s="2" t="str">
        <f t="shared" si="40"/>
        <v>Error?</v>
      </c>
    </row>
    <row r="2662" spans="1:4" x14ac:dyDescent="0.2">
      <c r="A2662" s="5">
        <v>2601</v>
      </c>
      <c r="B2662" s="138">
        <f>'Acct Summary 7-8'!H20</f>
        <v>166607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248659</v>
      </c>
      <c r="C2789" s="2" t="s">
        <v>573</v>
      </c>
      <c r="D2789" s="2" t="str">
        <f t="shared" si="42"/>
        <v>Error?</v>
      </c>
    </row>
    <row r="2790" spans="1:4" x14ac:dyDescent="0.2">
      <c r="A2790" s="5">
        <v>2729</v>
      </c>
      <c r="B2790" s="138">
        <f>'Expenditures 15-22'!E102</f>
        <v>248659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497000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2266701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8040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74957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2266701</v>
      </c>
      <c r="D2912" s="2" t="str">
        <f t="shared" si="44"/>
        <v>Error?</v>
      </c>
    </row>
    <row r="2913" spans="1:4" x14ac:dyDescent="0.2">
      <c r="A2913" s="5">
        <v>2852</v>
      </c>
      <c r="B2913" s="138">
        <f>'Assets-Liab 5-6'!I41</f>
        <v>2266701</v>
      </c>
      <c r="C2913" s="2" t="s">
        <v>573</v>
      </c>
      <c r="D2913" s="2" t="str">
        <f t="shared" si="44"/>
        <v>Error?</v>
      </c>
    </row>
    <row r="2914" spans="1:4" x14ac:dyDescent="0.2">
      <c r="A2914" s="5">
        <v>2853</v>
      </c>
      <c r="B2914" s="138">
        <f>'Assets-Liab 5-6'!L33</f>
        <v>74957</v>
      </c>
      <c r="D2914" s="2" t="str">
        <f t="shared" si="44"/>
        <v>Error?</v>
      </c>
    </row>
    <row r="2915" spans="1:4" x14ac:dyDescent="0.2">
      <c r="A2915" s="10">
        <v>2854</v>
      </c>
      <c r="D2915" s="2" t="str">
        <f t="shared" si="44"/>
        <v>OK</v>
      </c>
    </row>
    <row r="2916" spans="1:4" x14ac:dyDescent="0.2">
      <c r="A2916" s="5">
        <v>2855</v>
      </c>
      <c r="B2916" s="138">
        <f>'Assets-Liab 5-6'!L34</f>
        <v>74957</v>
      </c>
      <c r="C2916" s="2" t="s">
        <v>573</v>
      </c>
      <c r="D2916" s="2" t="str">
        <f t="shared" si="44"/>
        <v>Error?</v>
      </c>
    </row>
    <row r="2917" spans="1:4" x14ac:dyDescent="0.2">
      <c r="A2917" s="5">
        <v>2856</v>
      </c>
      <c r="B2917" s="138">
        <f>'Assets-Liab 5-6'!L41</f>
        <v>74957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248659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248659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68027</v>
      </c>
      <c r="D3055" s="2" t="str">
        <f t="shared" si="46"/>
        <v>Error?</v>
      </c>
    </row>
    <row r="3056" spans="1:4" x14ac:dyDescent="0.2">
      <c r="A3056" s="5">
        <v>2995</v>
      </c>
      <c r="B3056" s="138">
        <f>'Expenditures 15-22'!D10</f>
        <v>19139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2750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89916</v>
      </c>
      <c r="C3062" s="2" t="s">
        <v>573</v>
      </c>
      <c r="D3062" s="2" t="str">
        <f t="shared" si="46"/>
        <v>Error?</v>
      </c>
    </row>
    <row r="3063" spans="1:4" x14ac:dyDescent="0.2">
      <c r="A3063" s="10">
        <v>3002</v>
      </c>
      <c r="D3063" s="2" t="str">
        <f t="shared" si="46"/>
        <v>OK</v>
      </c>
    </row>
    <row r="3064" spans="1:4" x14ac:dyDescent="0.2">
      <c r="A3064" s="5">
        <v>3003</v>
      </c>
      <c r="B3064" s="138">
        <f>'Expenditures 15-22'!D219</f>
        <v>11724</v>
      </c>
      <c r="D3064" s="2" t="str">
        <f t="shared" si="46"/>
        <v>Error?</v>
      </c>
    </row>
    <row r="3065" spans="1:4" x14ac:dyDescent="0.2">
      <c r="A3065" s="5">
        <v>3004</v>
      </c>
      <c r="B3065" s="138">
        <f>'Expenditures 15-22'!K219</f>
        <v>11724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104516</v>
      </c>
      <c r="C3225" s="2" t="s">
        <v>573</v>
      </c>
      <c r="D3225" s="2" t="str">
        <f t="shared" si="49"/>
        <v>Error?</v>
      </c>
    </row>
    <row r="3226" spans="1:4" x14ac:dyDescent="0.2">
      <c r="A3226" s="5">
        <v>3165</v>
      </c>
      <c r="B3226" s="138">
        <f>'Acct Summary 7-8'!I8</f>
        <v>104516</v>
      </c>
      <c r="C3226" s="2" t="s">
        <v>573</v>
      </c>
      <c r="D3226" s="2" t="str">
        <f t="shared" si="49"/>
        <v>Error?</v>
      </c>
    </row>
    <row r="3227" spans="1:4" x14ac:dyDescent="0.2">
      <c r="A3227" s="5">
        <v>3166</v>
      </c>
      <c r="B3227" s="138">
        <f>'Acct Summary 7-8'!I20</f>
        <v>104516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168309</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168309</v>
      </c>
      <c r="C3232" s="2" t="s">
        <v>573</v>
      </c>
      <c r="D3232" s="2" t="str">
        <f t="shared" si="49"/>
        <v>Error?</v>
      </c>
    </row>
    <row r="3233" spans="1:4" x14ac:dyDescent="0.2">
      <c r="A3233" s="5">
        <v>3172</v>
      </c>
      <c r="B3233" s="138">
        <f>'Acct Summary 7-8'!C78</f>
        <v>-107614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63837</v>
      </c>
      <c r="C3237" s="2" t="s">
        <v>573</v>
      </c>
      <c r="D3237" s="2" t="str">
        <f t="shared" si="49"/>
        <v>Error?</v>
      </c>
    </row>
    <row r="3238" spans="1:4" x14ac:dyDescent="0.2">
      <c r="A3238" s="5">
        <v>3177</v>
      </c>
      <c r="B3238" s="138">
        <f>'Acct Summary 7-8'!D77</f>
        <v>-63837</v>
      </c>
      <c r="C3238" s="2" t="s">
        <v>573</v>
      </c>
      <c r="D3238" s="2" t="str">
        <f t="shared" si="49"/>
        <v>Error?</v>
      </c>
    </row>
    <row r="3239" spans="1:4" x14ac:dyDescent="0.2">
      <c r="A3239" s="5">
        <v>3178</v>
      </c>
      <c r="B3239" s="138">
        <f>'Acct Summary 7-8'!D78</f>
        <v>-14445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-48536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1995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-64958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166607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104472</v>
      </c>
      <c r="C3318" s="2" t="s">
        <v>573</v>
      </c>
      <c r="D3318" s="2" t="str">
        <f t="shared" si="50"/>
        <v>Error?</v>
      </c>
    </row>
    <row r="3319" spans="1:4" x14ac:dyDescent="0.2">
      <c r="A3319" s="5">
        <v>3258</v>
      </c>
      <c r="B3319" s="138">
        <f>'Acct Summary 7-8'!I77</f>
        <v>-104472</v>
      </c>
      <c r="C3319" s="2" t="s">
        <v>573</v>
      </c>
      <c r="D3319" s="2" t="str">
        <f t="shared" si="50"/>
        <v>Error?</v>
      </c>
    </row>
    <row r="3320" spans="1:4" x14ac:dyDescent="0.2">
      <c r="A3320" s="5">
        <v>3259</v>
      </c>
      <c r="B3320" s="138">
        <f>'Acct Summary 7-8'!I78</f>
        <v>44</v>
      </c>
      <c r="C3320" s="2" t="s">
        <v>573</v>
      </c>
      <c r="D3320" s="2" t="str">
        <f t="shared" si="50"/>
        <v>Error?</v>
      </c>
    </row>
    <row r="3321" spans="1:4" x14ac:dyDescent="0.2">
      <c r="A3321" s="5">
        <v>3260</v>
      </c>
      <c r="B3321" s="138">
        <f>'Acct Summary 7-8'!I79</f>
        <v>2266657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2266701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447465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78640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4847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245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532050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45696</v>
      </c>
      <c r="D3387" s="2" t="str">
        <f t="shared" si="51"/>
        <v>Error?</v>
      </c>
    </row>
    <row r="3388" spans="1:4" x14ac:dyDescent="0.2">
      <c r="A3388" s="5">
        <v>3327</v>
      </c>
      <c r="B3388" s="138">
        <f>'Expenditures 15-22'!D217</f>
        <v>35665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45696</v>
      </c>
      <c r="C3390" s="2" t="s">
        <v>573</v>
      </c>
      <c r="D3390" s="2" t="str">
        <f t="shared" si="51"/>
        <v>Error?</v>
      </c>
    </row>
    <row r="3391" spans="1:4" x14ac:dyDescent="0.2">
      <c r="A3391" s="5">
        <v>3330</v>
      </c>
      <c r="B3391" s="138">
        <f>'Expenditures 15-22'!K217</f>
        <v>35665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760613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321158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20975</v>
      </c>
      <c r="D3417" s="2" t="str">
        <f t="shared" si="52"/>
        <v>Error?</v>
      </c>
    </row>
    <row r="3418" spans="1:4" x14ac:dyDescent="0.2">
      <c r="A3418" s="10">
        <v>3357</v>
      </c>
      <c r="D3418" s="2" t="str">
        <f t="shared" si="52"/>
        <v>OK</v>
      </c>
    </row>
    <row r="3419" spans="1:4" x14ac:dyDescent="0.2">
      <c r="A3419" s="5">
        <v>3358</v>
      </c>
      <c r="B3419" s="138">
        <f>'Assets-Liab 5-6'!F4</f>
        <v>110226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265421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166607</v>
      </c>
      <c r="D3425" s="2" t="str">
        <f t="shared" si="52"/>
        <v>Error?</v>
      </c>
    </row>
    <row r="3426" spans="1:4" x14ac:dyDescent="0.2">
      <c r="A3426" s="10">
        <v>3365</v>
      </c>
      <c r="D3426" s="2" t="str">
        <f t="shared" si="52"/>
        <v>OK</v>
      </c>
    </row>
    <row r="3427" spans="1:4" x14ac:dyDescent="0.2">
      <c r="A3427" s="5">
        <v>3366</v>
      </c>
      <c r="B3427" s="138">
        <f>'Assets-Liab 5-6'!I4</f>
        <v>1769701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66917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107878</v>
      </c>
      <c r="C3446" s="2" t="s">
        <v>573</v>
      </c>
      <c r="D3446" s="2" t="str">
        <f t="shared" si="52"/>
        <v>Error?</v>
      </c>
    </row>
    <row r="3447" spans="1:4" x14ac:dyDescent="0.2">
      <c r="A3447" s="5">
        <v>3386</v>
      </c>
      <c r="B3447" s="138">
        <f>'Tax Sched 23'!D16</f>
        <v>107878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115130</v>
      </c>
      <c r="C3449" s="2" t="s">
        <v>573</v>
      </c>
      <c r="D3449" s="2" t="str">
        <f t="shared" si="52"/>
        <v>Error?</v>
      </c>
    </row>
    <row r="3450" spans="1:4" x14ac:dyDescent="0.2">
      <c r="A3450" s="5">
        <v>3389</v>
      </c>
      <c r="B3450" s="138">
        <f>'Tax Sched 23'!E16</f>
        <v>115130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246187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246187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246187</v>
      </c>
      <c r="D3567" s="2" t="str">
        <f t="shared" si="54"/>
        <v>Error?</v>
      </c>
    </row>
    <row r="3568" spans="1:4" x14ac:dyDescent="0.2">
      <c r="A3568" s="5">
        <v>3507</v>
      </c>
      <c r="B3568" s="138">
        <f>'Assets-Liab 5-6'!K41</f>
        <v>246187</v>
      </c>
      <c r="C3568" s="2" t="s">
        <v>573</v>
      </c>
      <c r="D3568" s="2" t="str">
        <f t="shared" si="54"/>
        <v>Error?</v>
      </c>
    </row>
    <row r="3569" spans="1:4" x14ac:dyDescent="0.2">
      <c r="A3569" s="5">
        <v>3508</v>
      </c>
      <c r="B3569" s="138">
        <f>'Acct Summary 7-8'!K4</f>
        <v>88283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88283</v>
      </c>
      <c r="C3571" s="2" t="s">
        <v>573</v>
      </c>
      <c r="D3571" s="2" t="str">
        <f t="shared" si="54"/>
        <v>Error?</v>
      </c>
    </row>
    <row r="3572" spans="1:4" x14ac:dyDescent="0.2">
      <c r="A3572" s="5">
        <v>3511</v>
      </c>
      <c r="B3572" s="138">
        <f>'Acct Summary 7-8'!K13</f>
        <v>64696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64696</v>
      </c>
      <c r="C3575" s="2" t="s">
        <v>573</v>
      </c>
      <c r="D3575" s="2" t="str">
        <f t="shared" si="54"/>
        <v>Error?</v>
      </c>
    </row>
    <row r="3576" spans="1:4" x14ac:dyDescent="0.2">
      <c r="A3576" s="5">
        <v>3515</v>
      </c>
      <c r="B3576" s="138">
        <f>'Acct Summary 7-8'!K20</f>
        <v>23587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23587</v>
      </c>
      <c r="C3588" s="2" t="s">
        <v>573</v>
      </c>
      <c r="D3588" s="2" t="str">
        <f t="shared" si="55"/>
        <v>Error?</v>
      </c>
    </row>
    <row r="3589" spans="1:4" x14ac:dyDescent="0.2">
      <c r="A3589" s="5">
        <v>3528</v>
      </c>
      <c r="B3589" s="138">
        <f>'Acct Summary 7-8'!K79</f>
        <v>222600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246187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43137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43137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43137</v>
      </c>
      <c r="C3636" s="2" t="s">
        <v>573</v>
      </c>
      <c r="D3636" s="2" t="str">
        <f t="shared" si="55"/>
        <v>Error?</v>
      </c>
    </row>
    <row r="3637" spans="1:4" x14ac:dyDescent="0.2">
      <c r="A3637" s="10">
        <v>3576</v>
      </c>
      <c r="D3637" s="2" t="str">
        <f t="shared" si="55"/>
        <v>OK</v>
      </c>
    </row>
    <row r="3638" spans="1:4" x14ac:dyDescent="0.2">
      <c r="A3638" s="5">
        <v>3577</v>
      </c>
      <c r="B3638" s="138">
        <f>'Expenditures 15-22'!F348</f>
        <v>21559</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21559</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21559</v>
      </c>
      <c r="C3642" s="2" t="s">
        <v>573</v>
      </c>
      <c r="D3642" s="2" t="str">
        <f t="shared" si="55"/>
        <v>Error?</v>
      </c>
    </row>
    <row r="3643" spans="1:4" x14ac:dyDescent="0.2">
      <c r="A3643" s="5">
        <v>3582</v>
      </c>
      <c r="B3643" s="138">
        <f>'Expenditures 15-22'!F367</f>
        <v>21559</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64696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64696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64696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64696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23587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30093</v>
      </c>
      <c r="C3725" s="2" t="s">
        <v>573</v>
      </c>
      <c r="D3725" s="2" t="str">
        <f t="shared" si="57"/>
        <v>Error?</v>
      </c>
    </row>
    <row r="3726" spans="1:4" x14ac:dyDescent="0.2">
      <c r="A3726" s="5">
        <v>3665</v>
      </c>
      <c r="B3726" s="138">
        <f>'Tax Sched 23'!D13</f>
        <v>30093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30034</v>
      </c>
      <c r="C3728" s="2" t="s">
        <v>573</v>
      </c>
      <c r="D3728" s="2" t="str">
        <f t="shared" si="57"/>
        <v>Error?</v>
      </c>
    </row>
    <row r="3729" spans="1:4" x14ac:dyDescent="0.2">
      <c r="A3729" s="5">
        <v>3668</v>
      </c>
      <c r="B3729" s="138">
        <f>'Tax Sched 23'!E13</f>
        <v>30034</v>
      </c>
      <c r="D3729" s="2" t="str">
        <f t="shared" si="57"/>
        <v>Error?</v>
      </c>
    </row>
    <row r="3730" spans="1:4" x14ac:dyDescent="0.2">
      <c r="A3730" s="5">
        <v>3669</v>
      </c>
      <c r="B3730" s="138">
        <f>'ICR Computation 30'!E10</f>
        <v>72989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2220441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7502706</v>
      </c>
      <c r="C4122" s="2" t="s">
        <v>573</v>
      </c>
      <c r="D4122" s="2" t="str">
        <f t="shared" si="63"/>
        <v>Error?</v>
      </c>
    </row>
    <row r="4123" spans="1:4" x14ac:dyDescent="0.2">
      <c r="A4123" s="5">
        <v>4062</v>
      </c>
      <c r="B4123" s="138">
        <f>'Acct Summary 7-8'!D10</f>
        <v>440974</v>
      </c>
      <c r="C4123" s="2" t="s">
        <v>573</v>
      </c>
      <c r="D4123" s="2" t="str">
        <f t="shared" si="63"/>
        <v>Error?</v>
      </c>
    </row>
    <row r="4124" spans="1:4" x14ac:dyDescent="0.2">
      <c r="A4124" s="5">
        <v>4063</v>
      </c>
      <c r="B4124" s="138">
        <f>'Acct Summary 7-8'!E10</f>
        <v>826290</v>
      </c>
      <c r="C4124" s="2" t="s">
        <v>573</v>
      </c>
      <c r="D4124" s="2" t="str">
        <f t="shared" si="63"/>
        <v>Error?</v>
      </c>
    </row>
    <row r="4125" spans="1:4" x14ac:dyDescent="0.2">
      <c r="A4125" s="5">
        <v>4064</v>
      </c>
      <c r="B4125" s="138">
        <f>'Acct Summary 7-8'!F10</f>
        <v>494465</v>
      </c>
      <c r="C4125" s="2" t="s">
        <v>573</v>
      </c>
      <c r="D4125" s="2" t="str">
        <f t="shared" si="63"/>
        <v>Error?</v>
      </c>
    </row>
    <row r="4126" spans="1:4" x14ac:dyDescent="0.2">
      <c r="A4126" s="5">
        <v>4065</v>
      </c>
      <c r="B4126" s="138">
        <f>'Acct Summary 7-8'!G10</f>
        <v>203891</v>
      </c>
      <c r="C4126" s="2" t="s">
        <v>573</v>
      </c>
      <c r="D4126" s="2" t="str">
        <f t="shared" si="63"/>
        <v>Error?</v>
      </c>
    </row>
    <row r="4127" spans="1:4" x14ac:dyDescent="0.2">
      <c r="A4127" s="5">
        <v>4066</v>
      </c>
      <c r="B4127" s="138">
        <f>'Acct Summary 7-8'!H10</f>
        <v>184151</v>
      </c>
      <c r="C4127" s="2" t="s">
        <v>573</v>
      </c>
      <c r="D4127" s="2" t="str">
        <f t="shared" si="63"/>
        <v>Error?</v>
      </c>
    </row>
    <row r="4128" spans="1:4" x14ac:dyDescent="0.2">
      <c r="A4128" s="5">
        <v>4067</v>
      </c>
      <c r="B4128" s="138">
        <f>'Acct Summary 7-8'!I10</f>
        <v>104516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88283</v>
      </c>
      <c r="C4130" s="2" t="s">
        <v>573</v>
      </c>
      <c r="D4130" s="2" t="str">
        <f t="shared" si="63"/>
        <v>Error?</v>
      </c>
    </row>
    <row r="4131" spans="1:4" x14ac:dyDescent="0.2">
      <c r="A4131" s="5">
        <v>4070</v>
      </c>
      <c r="B4131" s="138">
        <f>'Acct Summary 7-8'!C18</f>
        <v>2220441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7778629</v>
      </c>
      <c r="C4136" s="2" t="s">
        <v>573</v>
      </c>
      <c r="D4136" s="2" t="str">
        <f t="shared" si="63"/>
        <v>Error?</v>
      </c>
    </row>
    <row r="4137" spans="1:4" x14ac:dyDescent="0.2">
      <c r="A4137" s="5">
        <v>4076</v>
      </c>
      <c r="B4137" s="138">
        <f>'Acct Summary 7-8'!D19</f>
        <v>391582</v>
      </c>
      <c r="C4137" s="2" t="s">
        <v>573</v>
      </c>
      <c r="D4137" s="2" t="str">
        <f t="shared" si="63"/>
        <v>Error?</v>
      </c>
    </row>
    <row r="4138" spans="1:4" x14ac:dyDescent="0.2">
      <c r="A4138" s="5">
        <v>4077</v>
      </c>
      <c r="B4138" s="138">
        <f>'Acct Summary 7-8'!E19</f>
        <v>891248</v>
      </c>
      <c r="C4138" s="2" t="s">
        <v>573</v>
      </c>
      <c r="D4138" s="2" t="str">
        <f t="shared" si="63"/>
        <v>Error?</v>
      </c>
    </row>
    <row r="4139" spans="1:4" x14ac:dyDescent="0.2">
      <c r="A4139" s="5">
        <v>4078</v>
      </c>
      <c r="B4139" s="138">
        <f>'Acct Summary 7-8'!F19</f>
        <v>543001</v>
      </c>
      <c r="C4139" s="2" t="s">
        <v>573</v>
      </c>
      <c r="D4139" s="2" t="str">
        <f t="shared" si="63"/>
        <v>Error?</v>
      </c>
    </row>
    <row r="4140" spans="1:4" x14ac:dyDescent="0.2">
      <c r="A4140" s="5">
        <v>4079</v>
      </c>
      <c r="B4140" s="138">
        <f>'Acct Summary 7-8'!G19</f>
        <v>201896</v>
      </c>
      <c r="C4140" s="2" t="s">
        <v>573</v>
      </c>
      <c r="D4140" s="2" t="str">
        <f t="shared" si="63"/>
        <v>Error?</v>
      </c>
    </row>
    <row r="4141" spans="1:4" x14ac:dyDescent="0.2">
      <c r="A4141" s="5">
        <v>4080</v>
      </c>
      <c r="B4141" s="138">
        <f>'Acct Summary 7-8'!H19</f>
        <v>17544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64696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8630000</v>
      </c>
      <c r="C4171" s="2" t="s">
        <v>573</v>
      </c>
      <c r="D4171" s="2" t="str">
        <f t="shared" si="64"/>
        <v>Error?</v>
      </c>
    </row>
    <row r="4172" spans="1:4" x14ac:dyDescent="0.2">
      <c r="A4172" s="5">
        <v>4111</v>
      </c>
      <c r="B4172" s="138">
        <f>'Short-Term Long-Term Debt 24'!J49</f>
        <v>8609025</v>
      </c>
      <c r="C4172" s="2" t="s">
        <v>573</v>
      </c>
      <c r="D4172" s="2" t="str">
        <f t="shared" si="64"/>
        <v>Error?</v>
      </c>
    </row>
    <row r="4173" spans="1:4" x14ac:dyDescent="0.2">
      <c r="A4173" s="5">
        <v>4112</v>
      </c>
      <c r="B4173" s="138">
        <f>'Short-Term Long-Term Debt 24'!H49</f>
        <v>435000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1890</v>
      </c>
      <c r="C4268" s="2" t="s">
        <v>573</v>
      </c>
      <c r="D4268" s="2" t="str">
        <f t="shared" si="65"/>
        <v>Error?</v>
      </c>
    </row>
    <row r="4269" spans="1:5" x14ac:dyDescent="0.2">
      <c r="A4269" s="12">
        <v>4208</v>
      </c>
      <c r="B4269" s="138">
        <f>'FP Info 3'!J16</f>
        <v>3459362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5759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5153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15208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18148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178773202</v>
      </c>
      <c r="D4995" s="2" t="str">
        <f t="shared" si="77"/>
        <v>Error?</v>
      </c>
    </row>
    <row r="4996" spans="1:4" x14ac:dyDescent="0.2">
      <c r="A4996" s="12">
        <v>4935</v>
      </c>
      <c r="B4996" s="138">
        <f>'FP Info 3'!H31</f>
        <v>12335350.938000001</v>
      </c>
      <c r="D4996" s="2" t="str">
        <f t="shared" si="77"/>
        <v>Error?</v>
      </c>
    </row>
    <row r="4997" spans="1:4" x14ac:dyDescent="0.2">
      <c r="A4997" s="12">
        <v>4936</v>
      </c>
      <c r="B4997" s="138">
        <f>'FP Info 3'!H37</f>
        <v>8630000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63837</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63837</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30093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2674957</v>
      </c>
      <c r="D5061" s="2" t="str">
        <f t="shared" si="78"/>
        <v>Error?</v>
      </c>
    </row>
    <row r="5062" spans="1:4" x14ac:dyDescent="0.2">
      <c r="A5062" s="10">
        <v>5001</v>
      </c>
      <c r="D5062" s="2" t="str">
        <f t="shared" si="78"/>
        <v>OK</v>
      </c>
    </row>
    <row r="5063" spans="1:4" x14ac:dyDescent="0.2">
      <c r="A5063" s="5">
        <v>5002</v>
      </c>
      <c r="B5063" s="138">
        <f>'Revenues 9-14'!C7</f>
        <v>35197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2740247</v>
      </c>
      <c r="C5066" s="2" t="s">
        <v>573</v>
      </c>
      <c r="D5066" s="2" t="str">
        <f t="shared" si="78"/>
        <v>Error?</v>
      </c>
    </row>
    <row r="5067" spans="1:4" x14ac:dyDescent="0.2">
      <c r="A5067" s="5">
        <v>5006</v>
      </c>
      <c r="B5067" s="138">
        <f>'Revenues 9-14'!C14</f>
        <v>1042</v>
      </c>
      <c r="D5067" s="2" t="str">
        <f t="shared" si="78"/>
        <v>Error?</v>
      </c>
    </row>
    <row r="5068" spans="1:4" x14ac:dyDescent="0.2">
      <c r="A5068" s="5">
        <v>5007</v>
      </c>
      <c r="B5068" s="138">
        <f>'Revenues 9-14'!C15</f>
        <v>602</v>
      </c>
      <c r="D5068" s="2" t="str">
        <f t="shared" si="78"/>
        <v>Error?</v>
      </c>
    </row>
    <row r="5069" spans="1:4" x14ac:dyDescent="0.2">
      <c r="A5069" s="5">
        <v>5008</v>
      </c>
      <c r="B5069" s="138">
        <f>'Revenues 9-14'!C16</f>
        <v>45463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47107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5056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5056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301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103404</v>
      </c>
      <c r="C5096" s="2" t="s">
        <v>573</v>
      </c>
      <c r="D5096" s="2" t="str">
        <f t="shared" si="78"/>
        <v>Error?</v>
      </c>
    </row>
    <row r="5097" spans="1:4" x14ac:dyDescent="0.2">
      <c r="A5097" s="5">
        <v>5036</v>
      </c>
      <c r="B5097" s="138">
        <f>'Revenues 9-14'!C77</f>
        <v>14372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78921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10234</v>
      </c>
      <c r="D5101" s="2" t="str">
        <f t="shared" si="78"/>
        <v>Error?</v>
      </c>
    </row>
    <row r="5102" spans="1:4" x14ac:dyDescent="0.2">
      <c r="A5102" s="5">
        <v>5041</v>
      </c>
      <c r="B5102" s="138">
        <f>'Revenues 9-14'!C82</f>
        <v>103527</v>
      </c>
      <c r="C5102" s="2" t="s">
        <v>573</v>
      </c>
      <c r="D5102" s="2" t="str">
        <f t="shared" si="78"/>
        <v>Error?</v>
      </c>
    </row>
    <row r="5103" spans="1:4" x14ac:dyDescent="0.2">
      <c r="A5103" s="5">
        <v>5042</v>
      </c>
      <c r="B5103" s="138">
        <f>'Revenues 9-14'!C84</f>
        <v>61726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1707</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63433</v>
      </c>
      <c r="C5112" s="2" t="s">
        <v>573</v>
      </c>
      <c r="D5112" s="2" t="str">
        <f t="shared" si="78"/>
        <v>Error?</v>
      </c>
    </row>
    <row r="5113" spans="1:4" x14ac:dyDescent="0.2">
      <c r="A5113" s="5">
        <v>5052</v>
      </c>
      <c r="B5113" s="138">
        <f>'Revenues 9-14'!C95</f>
        <v>1080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889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24072</v>
      </c>
      <c r="D5118" s="2" t="str">
        <f t="shared" si="78"/>
        <v>Error?</v>
      </c>
    </row>
    <row r="5119" spans="1:4" x14ac:dyDescent="0.2">
      <c r="A5119" s="5">
        <v>5058</v>
      </c>
      <c r="B5119" s="138">
        <f>'Revenues 9-14'!C107</f>
        <v>4800</v>
      </c>
      <c r="D5119" s="2" t="str">
        <f t="shared" ref="D5119:D5182" si="79">IF(ISBLANK(B5119),"OK",IF(A5119-B5119=0,"OK","Error?"))</f>
        <v>Error?</v>
      </c>
    </row>
    <row r="5120" spans="1:4" x14ac:dyDescent="0.2">
      <c r="A5120" s="5">
        <v>5059</v>
      </c>
      <c r="B5120" s="138">
        <f>'Revenues 9-14'!C108</f>
        <v>30841</v>
      </c>
      <c r="C5120" s="2" t="s">
        <v>573</v>
      </c>
      <c r="D5120" s="2" t="str">
        <f t="shared" si="79"/>
        <v>Error?</v>
      </c>
    </row>
    <row r="5121" spans="1:4" x14ac:dyDescent="0.2">
      <c r="A5121" s="5">
        <v>5060</v>
      </c>
      <c r="B5121" s="138">
        <f>'Revenues 9-14'!C109</f>
        <v>3093615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1755041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1755041</v>
      </c>
      <c r="C5132" s="2" t="s">
        <v>573</v>
      </c>
      <c r="D5132" s="2" t="str">
        <f t="shared" si="79"/>
        <v>Error?</v>
      </c>
    </row>
    <row r="5133" spans="1:4" x14ac:dyDescent="0.2">
      <c r="A5133" s="5">
        <v>5072</v>
      </c>
      <c r="B5133" s="138">
        <f>'Revenues 9-14'!C125</f>
        <v>45752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20010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65762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991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66753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1821794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58383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6661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65044</v>
      </c>
      <c r="C5246" s="2" t="s">
        <v>573</v>
      </c>
      <c r="D5246" s="2" t="str">
        <f t="shared" si="80"/>
        <v>Error?</v>
      </c>
    </row>
    <row r="5247" spans="1:4" x14ac:dyDescent="0.2">
      <c r="A5247" s="5">
        <v>5186</v>
      </c>
      <c r="B5247" s="138">
        <f>'Revenues 9-14'!C200</f>
        <v>71757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15208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71757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185787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185787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366856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366856</v>
      </c>
      <c r="C5326" s="2" t="s">
        <v>573</v>
      </c>
      <c r="D5326" s="2" t="str">
        <f t="shared" si="82"/>
        <v>Error?</v>
      </c>
    </row>
    <row r="5327" spans="1:5" x14ac:dyDescent="0.2">
      <c r="A5327" s="5">
        <v>5266</v>
      </c>
      <c r="B5327" s="138">
        <f>'Revenues 9-14'!C268</f>
        <v>5282265</v>
      </c>
      <c r="C5327" s="2" t="s">
        <v>573</v>
      </c>
      <c r="D5327" s="2" t="str">
        <f t="shared" si="82"/>
        <v>Error?</v>
      </c>
    </row>
    <row r="5328" spans="1:5" x14ac:dyDescent="0.2">
      <c r="A5328" s="5">
        <v>5267</v>
      </c>
      <c r="B5328" s="138">
        <f>'Revenues 9-14'!D5</f>
        <v>439960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439960</v>
      </c>
      <c r="C5334" s="2" t="s">
        <v>573</v>
      </c>
      <c r="D5334" s="2" t="str">
        <f t="shared" si="82"/>
        <v>Error?</v>
      </c>
    </row>
    <row r="5335" spans="1:4" x14ac:dyDescent="0.2">
      <c r="A5335" s="5">
        <v>5274</v>
      </c>
      <c r="B5335" s="138">
        <f>'Revenues 9-14'!D14</f>
        <v>167</v>
      </c>
      <c r="D5335" s="2" t="str">
        <f t="shared" si="82"/>
        <v>Error?</v>
      </c>
    </row>
    <row r="5336" spans="1:4" x14ac:dyDescent="0.2">
      <c r="A5336" s="5">
        <v>5275</v>
      </c>
      <c r="B5336" s="138">
        <f>'Revenues 9-14'!D15</f>
        <v>96</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263</v>
      </c>
      <c r="C5339" s="2" t="s">
        <v>573</v>
      </c>
      <c r="D5339" s="2" t="str">
        <f t="shared" si="82"/>
        <v>Error?</v>
      </c>
    </row>
    <row r="5340" spans="1:4" x14ac:dyDescent="0.2">
      <c r="A5340" s="5">
        <v>5279</v>
      </c>
      <c r="B5340" s="138">
        <f>'Revenues 9-14'!D65</f>
        <v>751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751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440974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440974</v>
      </c>
      <c r="C5508" s="2" t="s">
        <v>573</v>
      </c>
      <c r="D5508" s="2" t="str">
        <f t="shared" si="85"/>
        <v>Error?</v>
      </c>
    </row>
    <row r="5509" spans="1:4" x14ac:dyDescent="0.2">
      <c r="A5509" s="5">
        <v>5448</v>
      </c>
      <c r="B5509" s="138">
        <f>'Revenues 9-14'!E5</f>
        <v>825013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825013</v>
      </c>
      <c r="C5513" s="2" t="s">
        <v>573</v>
      </c>
      <c r="D5513" s="2" t="str">
        <f t="shared" si="85"/>
        <v>Error?</v>
      </c>
    </row>
    <row r="5514" spans="1:4" x14ac:dyDescent="0.2">
      <c r="A5514" s="5">
        <v>5453</v>
      </c>
      <c r="B5514" s="138">
        <f>'Revenues 9-14'!E14</f>
        <v>314</v>
      </c>
      <c r="D5514" s="2" t="str">
        <f t="shared" si="85"/>
        <v>Error?</v>
      </c>
    </row>
    <row r="5515" spans="1:4" x14ac:dyDescent="0.2">
      <c r="A5515" s="5">
        <v>5454</v>
      </c>
      <c r="B5515" s="138">
        <f>'Revenues 9-14'!E15</f>
        <v>181</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495</v>
      </c>
      <c r="C5518" s="2" t="s">
        <v>573</v>
      </c>
      <c r="D5518" s="2" t="str">
        <f t="shared" si="85"/>
        <v>Error?</v>
      </c>
    </row>
    <row r="5519" spans="1:4" x14ac:dyDescent="0.2">
      <c r="A5519" s="5">
        <v>5458</v>
      </c>
      <c r="B5519" s="138">
        <f>'Revenues 9-14'!E65</f>
        <v>782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782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826290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826290</v>
      </c>
      <c r="C5552" s="2" t="s">
        <v>573</v>
      </c>
      <c r="D5552" s="2" t="str">
        <f t="shared" si="85"/>
        <v>Error?</v>
      </c>
    </row>
    <row r="5553" spans="1:4" x14ac:dyDescent="0.2">
      <c r="A5553" s="5">
        <v>5492</v>
      </c>
      <c r="B5553" s="138">
        <f>'Revenues 9-14'!F5</f>
        <v>211180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211180</v>
      </c>
      <c r="C5557" s="2" t="s">
        <v>573</v>
      </c>
      <c r="D5557" s="2" t="str">
        <f t="shared" si="85"/>
        <v>Error?</v>
      </c>
    </row>
    <row r="5558" spans="1:4" x14ac:dyDescent="0.2">
      <c r="A5558" s="5">
        <v>5497</v>
      </c>
      <c r="B5558" s="138">
        <f>'Revenues 9-14'!F14</f>
        <v>80</v>
      </c>
      <c r="D5558" s="2" t="str">
        <f t="shared" si="85"/>
        <v>Error?</v>
      </c>
    </row>
    <row r="5559" spans="1:4" x14ac:dyDescent="0.2">
      <c r="A5559" s="5">
        <v>5498</v>
      </c>
      <c r="B5559" s="138">
        <f>'Revenues 9-14'!F15</f>
        <v>46</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12673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12673</v>
      </c>
      <c r="C5579" s="2" t="s">
        <v>573</v>
      </c>
      <c r="D5579" s="2" t="str">
        <f t="shared" si="86"/>
        <v>Error?</v>
      </c>
    </row>
    <row r="5580" spans="1:4" x14ac:dyDescent="0.2">
      <c r="A5580" s="5">
        <v>5519</v>
      </c>
      <c r="B5580" s="138">
        <f>'Revenues 9-14'!F65</f>
        <v>395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395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224374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158321</v>
      </c>
      <c r="D5615" s="2" t="str">
        <f t="shared" si="86"/>
        <v>Error?</v>
      </c>
    </row>
    <row r="5616" spans="1:4" x14ac:dyDescent="0.2">
      <c r="A5616" s="10">
        <v>5555</v>
      </c>
      <c r="D5616" s="2" t="str">
        <f t="shared" si="86"/>
        <v>OK</v>
      </c>
    </row>
    <row r="5617" spans="1:5" x14ac:dyDescent="0.2">
      <c r="A5617" s="5">
        <v>5556</v>
      </c>
      <c r="B5617" s="138">
        <f>'Revenues 9-14'!F153</f>
        <v>111770</v>
      </c>
      <c r="D5617" s="2" t="str">
        <f t="shared" si="86"/>
        <v>Error?</v>
      </c>
    </row>
    <row r="5618" spans="1:5" x14ac:dyDescent="0.2">
      <c r="A5618" s="5">
        <v>5557</v>
      </c>
      <c r="B5618" s="138">
        <f>'Revenues 9-14'!F155</f>
        <v>270091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270091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270091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494465</v>
      </c>
      <c r="C5720" s="2" t="s">
        <v>573</v>
      </c>
      <c r="D5720" s="2" t="str">
        <f t="shared" si="88"/>
        <v>Error?</v>
      </c>
    </row>
    <row r="5721" spans="1:4" x14ac:dyDescent="0.2">
      <c r="A5721" s="5">
        <v>5660</v>
      </c>
      <c r="B5721" s="138">
        <f>'Revenues 9-14'!G5</f>
        <v>85880</v>
      </c>
      <c r="D5721" s="2" t="str">
        <f t="shared" si="88"/>
        <v>Error?</v>
      </c>
    </row>
    <row r="5722" spans="1:4" x14ac:dyDescent="0.2">
      <c r="A5722" s="5">
        <v>5661</v>
      </c>
      <c r="B5722" s="138">
        <f>'Revenues 9-14'!G7</f>
        <v>0</v>
      </c>
      <c r="D5722" s="2" t="str">
        <f t="shared" si="88"/>
        <v>Error?</v>
      </c>
    </row>
    <row r="5723" spans="1:4" x14ac:dyDescent="0.2">
      <c r="A5723" s="5">
        <v>5662</v>
      </c>
      <c r="B5723" s="138">
        <f>'Revenues 9-14'!G8</f>
        <v>107878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193758</v>
      </c>
      <c r="C5725" s="2" t="s">
        <v>573</v>
      </c>
      <c r="D5725" s="2" t="str">
        <f t="shared" si="88"/>
        <v>Error?</v>
      </c>
    </row>
    <row r="5726" spans="1:4" x14ac:dyDescent="0.2">
      <c r="A5726" s="5">
        <v>5665</v>
      </c>
      <c r="B5726" s="138">
        <f>'Revenues 9-14'!G14</f>
        <v>74</v>
      </c>
      <c r="D5726" s="2" t="str">
        <f t="shared" si="88"/>
        <v>Error?</v>
      </c>
    </row>
    <row r="5727" spans="1:4" x14ac:dyDescent="0.2">
      <c r="A5727" s="5">
        <v>5666</v>
      </c>
      <c r="B5727" s="138">
        <f>'Revenues 9-14'!G15</f>
        <v>42</v>
      </c>
      <c r="D5727" s="2" t="str">
        <f t="shared" si="88"/>
        <v>Error?</v>
      </c>
    </row>
    <row r="5728" spans="1:4" x14ac:dyDescent="0.2">
      <c r="A5728" s="5">
        <v>5667</v>
      </c>
      <c r="B5728" s="138">
        <f>'Revenues 9-14'!G16</f>
        <v>9296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9412</v>
      </c>
      <c r="C5730" s="2" t="s">
        <v>573</v>
      </c>
      <c r="D5730" s="2" t="str">
        <f t="shared" si="88"/>
        <v>Error?</v>
      </c>
    </row>
    <row r="5731" spans="1:4" x14ac:dyDescent="0.2">
      <c r="A5731" s="5">
        <v>5670</v>
      </c>
      <c r="B5731" s="138">
        <f>'Revenues 9-14'!G65</f>
        <v>721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721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203891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184151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184151</v>
      </c>
      <c r="C5915" s="2" t="s">
        <v>573</v>
      </c>
      <c r="D5915" s="2" t="str">
        <f t="shared" si="91"/>
        <v>Error?</v>
      </c>
    </row>
    <row r="5916" spans="1:4" x14ac:dyDescent="0.2">
      <c r="A5916" s="5">
        <v>5855</v>
      </c>
      <c r="B5916" s="138">
        <f>'Revenues 9-14'!I5</f>
        <v>87992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87992</v>
      </c>
      <c r="C5918" s="2" t="s">
        <v>573</v>
      </c>
      <c r="D5918" s="2" t="str">
        <f t="shared" si="91"/>
        <v>Error?</v>
      </c>
    </row>
    <row r="5919" spans="1:4" x14ac:dyDescent="0.2">
      <c r="A5919" s="5">
        <v>5858</v>
      </c>
      <c r="B5919" s="138">
        <f>'Revenues 9-14'!I14</f>
        <v>33</v>
      </c>
      <c r="D5919" s="2" t="str">
        <f t="shared" si="91"/>
        <v>Error?</v>
      </c>
    </row>
    <row r="5920" spans="1:4" x14ac:dyDescent="0.2">
      <c r="A5920" s="5">
        <v>5859</v>
      </c>
      <c r="B5920" s="138">
        <f>'Revenues 9-14'!I15</f>
        <v>19</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52</v>
      </c>
      <c r="C5923" s="2" t="s">
        <v>573</v>
      </c>
      <c r="D5923" s="2" t="str">
        <f t="shared" si="91"/>
        <v>Error?</v>
      </c>
    </row>
    <row r="5924" spans="1:4" x14ac:dyDescent="0.2">
      <c r="A5924" s="5">
        <v>5863</v>
      </c>
      <c r="B5924" s="138">
        <f>'Revenues 9-14'!I65</f>
        <v>16472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16472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104516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87992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87992</v>
      </c>
      <c r="C5987" s="2" t="s">
        <v>573</v>
      </c>
      <c r="D5987" s="2" t="str">
        <f t="shared" si="92"/>
        <v>Error?</v>
      </c>
    </row>
    <row r="5988" spans="1:4" x14ac:dyDescent="0.2">
      <c r="A5988" s="5">
        <v>5927</v>
      </c>
      <c r="B5988" s="138">
        <f>'Revenues 9-14'!K14</f>
        <v>33</v>
      </c>
      <c r="D5988" s="2" t="str">
        <f t="shared" si="92"/>
        <v>Error?</v>
      </c>
    </row>
    <row r="5989" spans="1:4" x14ac:dyDescent="0.2">
      <c r="A5989" s="5">
        <v>5928</v>
      </c>
      <c r="B5989" s="138">
        <f>'Revenues 9-14'!K15</f>
        <v>19</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52</v>
      </c>
      <c r="C5992" s="2" t="s">
        <v>573</v>
      </c>
      <c r="D5992" s="2" t="str">
        <f t="shared" si="92"/>
        <v>Error?</v>
      </c>
    </row>
    <row r="5993" spans="1:4" x14ac:dyDescent="0.2">
      <c r="A5993" s="5">
        <v>5932</v>
      </c>
      <c r="B5993" s="138">
        <f>'Revenues 9-14'!K65</f>
        <v>239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88283</v>
      </c>
      <c r="C6023" s="2" t="s">
        <v>573</v>
      </c>
      <c r="D6023" s="2" t="str">
        <f t="shared" si="93"/>
        <v>Error?</v>
      </c>
    </row>
    <row r="6024" spans="1:5" x14ac:dyDescent="0.2">
      <c r="A6024" s="5">
        <v>5963</v>
      </c>
      <c r="B6024" s="138">
        <f>'Revenues 9-14'!G109</f>
        <v>203891</v>
      </c>
      <c r="C6024" s="2" t="s">
        <v>573</v>
      </c>
      <c r="D6024" s="2" t="str">
        <f t="shared" si="93"/>
        <v>Error?</v>
      </c>
    </row>
    <row r="6025" spans="1:5" x14ac:dyDescent="0.2">
      <c r="A6025" s="5">
        <v>5964</v>
      </c>
      <c r="B6025" s="138">
        <f>'Revenues 9-14'!H109</f>
        <v>184151</v>
      </c>
      <c r="C6025" s="2" t="s">
        <v>573</v>
      </c>
      <c r="D6025" s="2" t="str">
        <f t="shared" si="93"/>
        <v>Error?</v>
      </c>
    </row>
    <row r="6026" spans="1:5" x14ac:dyDescent="0.2">
      <c r="A6026" s="5">
        <v>5965</v>
      </c>
      <c r="B6026" s="138">
        <f>'Revenues 9-14'!I109</f>
        <v>104516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88283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103103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20802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830.8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664</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195125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195125</v>
      </c>
      <c r="D6215" s="2" t="str">
        <f t="shared" si="96"/>
        <v>Error?</v>
      </c>
      <c r="E6215" s="2" t="s">
        <v>190</v>
      </c>
    </row>
    <row r="6216" spans="1:5" x14ac:dyDescent="0.2">
      <c r="A6216">
        <v>6155</v>
      </c>
      <c r="B6216" s="138">
        <f>'Assets-Liab 5-6'!J41</f>
        <v>195125</v>
      </c>
      <c r="D6216" s="2" t="str">
        <f t="shared" si="96"/>
        <v>Error?</v>
      </c>
      <c r="E6216" s="2" t="s">
        <v>190</v>
      </c>
    </row>
    <row r="6217" spans="1:5" x14ac:dyDescent="0.2">
      <c r="A6217">
        <v>6156</v>
      </c>
      <c r="B6217" s="138">
        <f>'Assets-Liab 5-6'!J4</f>
        <v>195125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100158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100158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100158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123693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123693</v>
      </c>
      <c r="D6229" s="2" t="str">
        <f t="shared" si="96"/>
        <v>Error?</v>
      </c>
      <c r="E6229" s="2" t="s">
        <v>190</v>
      </c>
    </row>
    <row r="6230" spans="1:5" x14ac:dyDescent="0.2">
      <c r="A6230">
        <v>6169</v>
      </c>
      <c r="B6230" s="138">
        <f>'Acct Summary 7-8'!J20</f>
        <v>-23535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-23535</v>
      </c>
      <c r="D6263" s="2" t="str">
        <f t="shared" si="96"/>
        <v>Error?</v>
      </c>
      <c r="E6263" s="2" t="s">
        <v>190</v>
      </c>
    </row>
    <row r="6264" spans="1:5" x14ac:dyDescent="0.2">
      <c r="A6264">
        <v>6203</v>
      </c>
      <c r="B6264" s="138">
        <f>'Acct Summary 7-8'!J79</f>
        <v>218660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195125</v>
      </c>
      <c r="D6266" s="2" t="str">
        <f t="shared" si="96"/>
        <v>Error?</v>
      </c>
      <c r="E6266" s="2" t="s">
        <v>190</v>
      </c>
    </row>
    <row r="6267" spans="1:5" x14ac:dyDescent="0.2">
      <c r="A6267">
        <v>6206</v>
      </c>
      <c r="B6267" s="138">
        <f>'Acct Summary 7-8'!C82</f>
        <v>-107614</v>
      </c>
      <c r="D6267" s="2" t="str">
        <f t="shared" si="96"/>
        <v>Error?</v>
      </c>
      <c r="E6267" s="2" t="s">
        <v>190</v>
      </c>
    </row>
    <row r="6268" spans="1:5" x14ac:dyDescent="0.2">
      <c r="A6268">
        <v>6207</v>
      </c>
      <c r="B6268" s="138">
        <f>'Acct Summary 7-8'!D82</f>
        <v>-14445</v>
      </c>
      <c r="D6268" s="2" t="str">
        <f t="shared" si="96"/>
        <v>Error?</v>
      </c>
      <c r="E6268" s="2" t="s">
        <v>190</v>
      </c>
    </row>
    <row r="6269" spans="1:5" x14ac:dyDescent="0.2">
      <c r="A6269">
        <v>6208</v>
      </c>
      <c r="B6269" s="138">
        <f>'Acct Summary 7-8'!E82</f>
        <v>-64958</v>
      </c>
      <c r="D6269" s="2" t="str">
        <f t="shared" si="96"/>
        <v>Error?</v>
      </c>
      <c r="E6269" s="2" t="s">
        <v>190</v>
      </c>
    </row>
    <row r="6270" spans="1:5" x14ac:dyDescent="0.2">
      <c r="A6270">
        <v>6209</v>
      </c>
      <c r="B6270" s="138">
        <f>'Acct Summary 7-8'!F82</f>
        <v>-48536</v>
      </c>
      <c r="D6270" s="2" t="str">
        <f t="shared" si="96"/>
        <v>Error?</v>
      </c>
      <c r="E6270" s="2" t="s">
        <v>190</v>
      </c>
    </row>
    <row r="6271" spans="1:5" x14ac:dyDescent="0.2">
      <c r="A6271">
        <v>6210</v>
      </c>
      <c r="B6271" s="138">
        <f>'Acct Summary 7-8'!G82</f>
        <v>1995</v>
      </c>
      <c r="D6271" s="2" t="str">
        <f t="shared" ref="D6271:D6334" si="97">IF(ISBLANK(B6271),"OK",IF(A6271-B6271=0,"OK","Error?"))</f>
        <v>Error?</v>
      </c>
      <c r="E6271" s="2" t="s">
        <v>190</v>
      </c>
    </row>
    <row r="6272" spans="1:5" x14ac:dyDescent="0.2">
      <c r="A6272">
        <v>6211</v>
      </c>
      <c r="B6272" s="138">
        <f>'Acct Summary 7-8'!H82</f>
        <v>166607</v>
      </c>
      <c r="D6272" s="2" t="str">
        <f t="shared" si="97"/>
        <v>Error?</v>
      </c>
      <c r="E6272" s="2" t="s">
        <v>190</v>
      </c>
    </row>
    <row r="6273" spans="1:5" x14ac:dyDescent="0.2">
      <c r="A6273">
        <v>6212</v>
      </c>
      <c r="B6273" s="138">
        <f>'Acct Summary 7-8'!I82</f>
        <v>44</v>
      </c>
      <c r="D6273" s="2" t="str">
        <f t="shared" si="97"/>
        <v>Error?</v>
      </c>
      <c r="E6273" s="2" t="s">
        <v>190</v>
      </c>
    </row>
    <row r="6274" spans="1:5" x14ac:dyDescent="0.2">
      <c r="A6274">
        <v>6213</v>
      </c>
      <c r="B6274" s="138">
        <f>'Acct Summary 7-8'!J82</f>
        <v>-23535</v>
      </c>
      <c r="D6274" s="2" t="str">
        <f t="shared" si="97"/>
        <v>Error?</v>
      </c>
      <c r="E6274" s="2" t="s">
        <v>190</v>
      </c>
    </row>
    <row r="6275" spans="1:5" x14ac:dyDescent="0.2">
      <c r="A6275">
        <v>6214</v>
      </c>
      <c r="B6275" s="138">
        <f>'Acct Summary 7-8'!K82</f>
        <v>23587</v>
      </c>
      <c r="D6275" s="2" t="str">
        <f t="shared" si="97"/>
        <v>Error?</v>
      </c>
      <c r="E6275" s="2" t="s">
        <v>190</v>
      </c>
    </row>
    <row r="6276" spans="1:5" x14ac:dyDescent="0.2">
      <c r="A6276">
        <v>6215</v>
      </c>
      <c r="B6276" s="138">
        <f>'Acct Summary 7-8'!C83</f>
        <v>-0.1413598466786728</v>
      </c>
      <c r="D6276" s="2" t="str">
        <f t="shared" si="97"/>
        <v>Error?</v>
      </c>
      <c r="E6276" s="2" t="s">
        <v>190</v>
      </c>
    </row>
    <row r="6277" spans="1:5" x14ac:dyDescent="0.2">
      <c r="A6277">
        <v>6216</v>
      </c>
      <c r="B6277" s="138">
        <f>'Acct Summary 7-8'!D83</f>
        <v>-4.497786136418834E-2</v>
      </c>
      <c r="D6277" s="2" t="str">
        <f t="shared" si="97"/>
        <v>Error?</v>
      </c>
      <c r="E6277" s="2" t="s">
        <v>190</v>
      </c>
    </row>
    <row r="6278" spans="1:5" x14ac:dyDescent="0.2">
      <c r="A6278">
        <v>6217</v>
      </c>
      <c r="B6278" s="138">
        <f>'Acct Summary 7-8'!E83</f>
        <v>-3.0969249106078665</v>
      </c>
      <c r="D6278" s="2" t="str">
        <f t="shared" si="97"/>
        <v>Error?</v>
      </c>
      <c r="E6278" s="2" t="s">
        <v>190</v>
      </c>
    </row>
    <row r="6279" spans="1:5" x14ac:dyDescent="0.2">
      <c r="A6279">
        <v>6218</v>
      </c>
      <c r="B6279" s="138">
        <f>'Acct Summary 7-8'!F83</f>
        <v>-0.44033168218024787</v>
      </c>
      <c r="D6279" s="2" t="str">
        <f t="shared" si="97"/>
        <v>Error?</v>
      </c>
      <c r="E6279" s="2" t="s">
        <v>190</v>
      </c>
    </row>
    <row r="6280" spans="1:5" x14ac:dyDescent="0.2">
      <c r="A6280">
        <v>6219</v>
      </c>
      <c r="B6280" s="138">
        <f>'Acct Summary 7-8'!G83</f>
        <v>7.5163608003888166E-3</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1.9411470679194124E-5</v>
      </c>
      <c r="D6282" s="2" t="str">
        <f t="shared" si="97"/>
        <v>Error?</v>
      </c>
      <c r="E6282" s="2" t="s">
        <v>190</v>
      </c>
    </row>
    <row r="6283" spans="1:5" x14ac:dyDescent="0.2">
      <c r="A6283">
        <v>6222</v>
      </c>
      <c r="B6283" s="138">
        <f>'Acct Summary 7-8'!J83</f>
        <v>-0.12061499039077514</v>
      </c>
      <c r="D6283" s="2" t="str">
        <f t="shared" si="97"/>
        <v>Error?</v>
      </c>
      <c r="E6283" s="2" t="s">
        <v>190</v>
      </c>
    </row>
    <row r="6284" spans="1:5" x14ac:dyDescent="0.2">
      <c r="A6284">
        <v>6223</v>
      </c>
      <c r="B6284" s="138">
        <f>'Acct Summary 7-8'!K83</f>
        <v>9.5809283187170732E-2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99959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99959</v>
      </c>
      <c r="D6301" s="2" t="str">
        <f t="shared" si="97"/>
        <v>Error?</v>
      </c>
      <c r="E6301" s="2" t="s">
        <v>190</v>
      </c>
    </row>
    <row r="6302" spans="1:5" x14ac:dyDescent="0.2">
      <c r="A6302">
        <v>6241</v>
      </c>
      <c r="B6302" s="138">
        <f>'Revenues 9-14'!J14</f>
        <v>38</v>
      </c>
      <c r="D6302" s="2" t="str">
        <f t="shared" si="97"/>
        <v>Error?</v>
      </c>
      <c r="E6302" s="2" t="s">
        <v>190</v>
      </c>
    </row>
    <row r="6303" spans="1:5" x14ac:dyDescent="0.2">
      <c r="A6303">
        <v>6242</v>
      </c>
      <c r="B6303" s="138">
        <f>'Revenues 9-14'!J15</f>
        <v>22</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60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100158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47700</v>
      </c>
      <c r="D6880" s="2" t="str">
        <f t="shared" si="106"/>
        <v>Error?</v>
      </c>
    </row>
    <row r="6881" spans="1:4" x14ac:dyDescent="0.2">
      <c r="A6881">
        <v>6820</v>
      </c>
      <c r="B6881" s="138">
        <f>'Expenditures 15-22'!K22</f>
        <v>47700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102427</v>
      </c>
      <c r="D6983" s="2" t="str">
        <f t="shared" si="108"/>
        <v>Error?</v>
      </c>
    </row>
    <row r="6984" spans="1:4" x14ac:dyDescent="0.2">
      <c r="A6984">
        <v>6923</v>
      </c>
      <c r="B6984" s="138">
        <f>'Expenditures 15-22'!K86</f>
        <v>102427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102427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123693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100158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37051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37051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10698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10698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45152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45152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11250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11250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16015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16015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3527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3527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123693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123693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123693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123693</v>
      </c>
      <c r="D7224" s="2" t="str">
        <f t="shared" si="111"/>
        <v>Error?</v>
      </c>
    </row>
    <row r="7225" spans="1:4" x14ac:dyDescent="0.2">
      <c r="A7225">
        <v>7164</v>
      </c>
      <c r="B7225" s="138">
        <f>'Expenditures 15-22'!K343</f>
        <v>-23535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2618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2618</v>
      </c>
      <c r="D7618" s="2" t="str">
        <f t="shared" si="124"/>
        <v>Error?</v>
      </c>
      <c r="E7618" s="2" t="s">
        <v>19</v>
      </c>
    </row>
    <row r="7619" spans="1:5" x14ac:dyDescent="0.2">
      <c r="A7619">
        <f t="shared" si="123"/>
        <v>7558</v>
      </c>
      <c r="B7619" s="138">
        <f>'Cap Outlay Deprec 26'!H14</f>
        <v>2266</v>
      </c>
      <c r="D7619" s="2" t="str">
        <f t="shared" si="124"/>
        <v>Error?</v>
      </c>
      <c r="E7619" s="2" t="s">
        <v>19</v>
      </c>
    </row>
    <row r="7620" spans="1:5" x14ac:dyDescent="0.2">
      <c r="A7620">
        <f t="shared" si="123"/>
        <v>7559</v>
      </c>
      <c r="B7620" s="138">
        <f>'Cap Outlay Deprec 26'!I14</f>
        <v>352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2618</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359541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35226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184151</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104472</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253120</v>
      </c>
      <c r="D7797" s="2" t="str">
        <f t="shared" si="127"/>
        <v>Error?</v>
      </c>
      <c r="E7797" s="4" t="s">
        <v>1904</v>
      </c>
    </row>
    <row r="7798" spans="1:5" x14ac:dyDescent="0.2">
      <c r="A7798">
        <v>7737</v>
      </c>
      <c r="B7798" s="138">
        <f>'Contracts Paid in CY 29'!F141</f>
        <v>43894</v>
      </c>
      <c r="D7798" s="2" t="str">
        <f t="shared" si="127"/>
        <v>Error?</v>
      </c>
      <c r="E7798" s="4" t="s">
        <v>1904</v>
      </c>
    </row>
    <row r="7799" spans="1:5" x14ac:dyDescent="0.2">
      <c r="A7799">
        <v>7738</v>
      </c>
      <c r="B7799" s="138">
        <f>'Contracts Paid in CY 29'!G141</f>
        <v>209226</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8" t="s">
        <v>1989</v>
      </c>
      <c r="B4" s="2399"/>
      <c r="C4" s="2399"/>
      <c r="D4" s="2399"/>
      <c r="E4" s="2399"/>
      <c r="F4" s="2399"/>
      <c r="G4" s="2399"/>
      <c r="H4" s="2399"/>
      <c r="I4" s="2399"/>
      <c r="J4" s="2399"/>
      <c r="K4" s="2399"/>
      <c r="L4" s="2399"/>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0" t="str">
        <f>COVER!A17</f>
        <v>Metamora CCSD 1</v>
      </c>
      <c r="B7" s="2401"/>
      <c r="C7" s="2401"/>
      <c r="D7" s="2402"/>
      <c r="E7" s="2403">
        <f>COVER!A13</f>
        <v>53102001004</v>
      </c>
      <c r="F7" s="2404"/>
      <c r="G7" s="2410" t="str">
        <f>COVER!T23</f>
        <v>066-005027</v>
      </c>
      <c r="H7" s="2411"/>
      <c r="I7" s="2411"/>
      <c r="J7" s="2411"/>
      <c r="K7" s="2411"/>
      <c r="L7" s="2412"/>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3"/>
      <c r="B9" s="2414"/>
      <c r="C9" s="2414"/>
      <c r="D9" s="2414"/>
      <c r="E9" s="2414"/>
      <c r="F9" s="2415"/>
      <c r="G9" s="2384" t="str">
        <f>COVER!T13</f>
        <v>Gorenz and Associates, Ltd.</v>
      </c>
      <c r="H9" s="2416"/>
      <c r="I9" s="2416"/>
      <c r="J9" s="2416"/>
      <c r="K9" s="2416"/>
      <c r="L9" s="2417"/>
    </row>
    <row r="10" spans="1:29" ht="13.5" customHeight="1" x14ac:dyDescent="0.2">
      <c r="A10" s="2390" t="str">
        <f>COVER!A38</f>
        <v>Martin Payne</v>
      </c>
      <c r="B10" s="2391"/>
      <c r="C10" s="2391"/>
      <c r="D10" s="2391"/>
      <c r="E10" s="2391"/>
      <c r="F10" s="2392"/>
      <c r="G10" s="2384" t="str">
        <f>COVER!T17</f>
        <v>4200 N Knoxville Ave</v>
      </c>
      <c r="H10" s="2385"/>
      <c r="I10" s="2385"/>
      <c r="J10" s="2385"/>
      <c r="K10" s="2385"/>
      <c r="L10" s="2386"/>
    </row>
    <row r="11" spans="1:29" ht="13.5" customHeight="1" x14ac:dyDescent="0.2">
      <c r="A11" s="1181" t="s">
        <v>1519</v>
      </c>
      <c r="B11" s="1182"/>
      <c r="C11" s="1183"/>
      <c r="D11" s="1188"/>
      <c r="E11" s="1183"/>
      <c r="F11" s="1187"/>
      <c r="G11" s="2384" t="str">
        <f>COVER!T19</f>
        <v>Peoria</v>
      </c>
      <c r="H11" s="2385"/>
      <c r="I11" s="2385"/>
      <c r="J11" s="2385"/>
      <c r="K11" s="2385"/>
      <c r="L11" s="2386"/>
    </row>
    <row r="12" spans="1:29" ht="13.5" customHeight="1" x14ac:dyDescent="0.2">
      <c r="A12" s="2393" t="s">
        <v>1518</v>
      </c>
      <c r="B12" s="2394"/>
      <c r="C12" s="2394"/>
      <c r="D12" s="2394"/>
      <c r="E12" s="2394"/>
      <c r="F12" s="2395"/>
      <c r="G12" s="2387"/>
      <c r="H12" s="2388"/>
      <c r="I12" s="2388"/>
      <c r="J12" s="2388"/>
      <c r="K12" s="2388"/>
      <c r="L12" s="2389"/>
    </row>
    <row r="13" spans="1:29" ht="13.5" customHeight="1" x14ac:dyDescent="0.2">
      <c r="A13" s="2384"/>
      <c r="B13" s="2385"/>
      <c r="C13" s="2385"/>
      <c r="D13" s="2385"/>
      <c r="E13" s="2385"/>
      <c r="F13" s="2386"/>
      <c r="G13" s="2379" t="s">
        <v>1520</v>
      </c>
      <c r="H13" s="2380"/>
      <c r="I13" s="2396" t="str">
        <f>COVER!T25</f>
        <v>jhohulin@gorenzcpa.com</v>
      </c>
      <c r="J13" s="2397"/>
      <c r="K13" s="2397"/>
      <c r="L13" s="2398"/>
    </row>
    <row r="14" spans="1:29" ht="13.5" customHeight="1" x14ac:dyDescent="0.2">
      <c r="A14" s="2384" t="str">
        <f>COVER!A19</f>
        <v>815 East Chatham</v>
      </c>
      <c r="B14" s="2385"/>
      <c r="C14" s="2385"/>
      <c r="D14" s="2385"/>
      <c r="E14" s="2385"/>
      <c r="F14" s="2386"/>
      <c r="G14" s="1192" t="s">
        <v>1185</v>
      </c>
      <c r="H14" s="1190"/>
      <c r="I14" s="1190"/>
      <c r="J14" s="1190"/>
      <c r="K14" s="1190"/>
      <c r="L14" s="1191"/>
    </row>
    <row r="15" spans="1:29" ht="13.5" customHeight="1" x14ac:dyDescent="0.2">
      <c r="A15" s="2384" t="str">
        <f>COVER!A21</f>
        <v>Metamora</v>
      </c>
      <c r="B15" s="2385"/>
      <c r="C15" s="2385"/>
      <c r="D15" s="2385"/>
      <c r="E15" s="2385"/>
      <c r="F15" s="2386"/>
      <c r="G15" s="2381" t="str">
        <f>COVER!T15</f>
        <v>Jason A. Hohulin, CPA</v>
      </c>
      <c r="H15" s="2382"/>
      <c r="I15" s="2382"/>
      <c r="J15" s="2382"/>
      <c r="K15" s="2382"/>
      <c r="L15" s="2383"/>
    </row>
    <row r="16" spans="1:29" ht="12.2" customHeight="1" x14ac:dyDescent="0.2">
      <c r="A16" s="2406">
        <f>COVER!A25</f>
        <v>61548</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92" t="s">
        <v>1184</v>
      </c>
      <c r="H17" s="1190"/>
      <c r="I17" s="1190"/>
      <c r="J17" s="1190"/>
      <c r="K17" s="1194" t="s">
        <v>1183</v>
      </c>
      <c r="L17" s="1187"/>
      <c r="M17" s="1180"/>
    </row>
    <row r="18" spans="1:13" ht="12.2" customHeight="1" x14ac:dyDescent="0.2">
      <c r="A18" s="2390"/>
      <c r="B18" s="2391"/>
      <c r="C18" s="2391"/>
      <c r="D18" s="2391"/>
      <c r="E18" s="2391"/>
      <c r="F18" s="2392"/>
      <c r="G18" s="2400" t="str">
        <f>COVER!T21</f>
        <v>309-685-7621</v>
      </c>
      <c r="H18" s="2401"/>
      <c r="I18" s="2401"/>
      <c r="J18" s="2401"/>
      <c r="K18" s="2400" t="str">
        <f>COVER!X21</f>
        <v>309-685-4758</v>
      </c>
      <c r="L18" s="2405"/>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2" t="str">
        <f>'Single Audit Cover'!A7</f>
        <v>Metamora CCSD 1</v>
      </c>
      <c r="B1" s="2399"/>
      <c r="C1" s="2399"/>
      <c r="D1" s="2399"/>
    </row>
    <row r="2" spans="1:11" s="1209" customFormat="1" ht="12.75" x14ac:dyDescent="0.2">
      <c r="A2" s="2423">
        <f>'Single Audit Cover'!E7</f>
        <v>53102001004</v>
      </c>
      <c r="B2" s="2424"/>
      <c r="C2" s="2424"/>
      <c r="D2" s="2424"/>
    </row>
    <row r="3" spans="1:11" s="1209" customFormat="1" ht="12.75" x14ac:dyDescent="0.2">
      <c r="A3" s="2422" t="s">
        <v>1513</v>
      </c>
      <c r="B3" s="2399"/>
      <c r="C3" s="2399"/>
      <c r="D3" s="2399"/>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6" t="str">
        <f>'Single Audit Cover'!A7</f>
        <v>Metamora CCSD 1</v>
      </c>
      <c r="B1" s="2426"/>
      <c r="C1" s="2426"/>
      <c r="D1" s="2426"/>
      <c r="E1" s="2426"/>
    </row>
    <row r="2" spans="1:5" x14ac:dyDescent="0.2">
      <c r="A2" s="2427">
        <f>'Single Audit Cover'!E7</f>
        <v>53102001004</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4" t="s">
        <v>1243</v>
      </c>
    </row>
    <row r="10" spans="1:5" x14ac:dyDescent="0.2">
      <c r="A10" s="1255" t="s">
        <v>1242</v>
      </c>
      <c r="B10" s="1256" t="s">
        <v>1241</v>
      </c>
      <c r="C10" s="1256"/>
      <c r="D10" s="1257">
        <f>SUM('Acct Summary 7-8'!C7:K7)</f>
        <v>366856</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20802</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-5153</v>
      </c>
    </row>
    <row r="19" spans="1:4" ht="13.5" thickBot="1" x14ac:dyDescent="0.25">
      <c r="A19" s="1259" t="s">
        <v>1235</v>
      </c>
      <c r="D19" s="1260">
        <f>SUM(D10:D17)</f>
        <v>382505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8"/>
      <c r="B24" s="2428"/>
      <c r="D24" s="1262"/>
    </row>
    <row r="25" spans="1:4" x14ac:dyDescent="0.2">
      <c r="A25" s="2425"/>
      <c r="B25" s="2425"/>
      <c r="D25" s="1262"/>
    </row>
    <row r="26" spans="1:4" x14ac:dyDescent="0.2">
      <c r="A26" s="2425"/>
      <c r="B26" s="2425"/>
      <c r="D26" s="1262"/>
    </row>
    <row r="27" spans="1:4" x14ac:dyDescent="0.2">
      <c r="A27" s="2425"/>
      <c r="B27" s="2425"/>
      <c r="D27" s="1262"/>
    </row>
    <row r="28" spans="1:4" x14ac:dyDescent="0.2">
      <c r="A28" s="2425"/>
      <c r="B28" s="2425"/>
      <c r="D28" s="1262"/>
    </row>
    <row r="29" spans="1:4" x14ac:dyDescent="0.2">
      <c r="A29" s="2425"/>
      <c r="B29" s="2425"/>
      <c r="D29" s="1262"/>
    </row>
    <row r="30" spans="1:4" x14ac:dyDescent="0.2">
      <c r="A30" s="2425"/>
      <c r="B30" s="2425"/>
      <c r="D30" s="1262"/>
    </row>
    <row r="32" spans="1:4" x14ac:dyDescent="0.2">
      <c r="A32" s="1254" t="s">
        <v>1233</v>
      </c>
      <c r="D32" s="1257">
        <f>SUM(D19:D30)</f>
        <v>382505</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5"/>
      <c r="B40" s="2425"/>
      <c r="D40" s="1262"/>
    </row>
    <row r="41" spans="1:4" x14ac:dyDescent="0.2">
      <c r="A41" s="2425"/>
      <c r="B41" s="2425"/>
      <c r="D41" s="1265"/>
    </row>
    <row r="42" spans="1:4" x14ac:dyDescent="0.2">
      <c r="A42" s="2425"/>
      <c r="B42" s="2425"/>
      <c r="D42" s="1265"/>
    </row>
    <row r="43" spans="1:4" x14ac:dyDescent="0.2">
      <c r="A43" s="2425"/>
      <c r="B43" s="2425"/>
      <c r="D43" s="1265"/>
    </row>
    <row r="44" spans="1:4" x14ac:dyDescent="0.2">
      <c r="A44" s="2425"/>
      <c r="B44" s="2425"/>
      <c r="D44" s="1265"/>
    </row>
    <row r="45" spans="1:4" x14ac:dyDescent="0.2">
      <c r="A45" s="2425"/>
      <c r="B45" s="2425"/>
      <c r="D45" s="1265"/>
    </row>
    <row r="47" spans="1:4" x14ac:dyDescent="0.2">
      <c r="B47" s="1266" t="s">
        <v>1227</v>
      </c>
      <c r="C47" s="1266"/>
      <c r="D47" s="1267">
        <f>SUM(D35:D45)</f>
        <v>0</v>
      </c>
    </row>
    <row r="49" spans="2:4" x14ac:dyDescent="0.2">
      <c r="B49" s="1266" t="s">
        <v>1226</v>
      </c>
      <c r="C49" s="1266"/>
      <c r="D49" s="1267">
        <f>D32-D47</f>
        <v>382505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9" t="str">
        <f>'Single Audit Cover'!A7</f>
        <v>Metamora CCSD 1</v>
      </c>
      <c r="C1" s="2430"/>
      <c r="D1" s="2430"/>
      <c r="E1" s="2430"/>
      <c r="F1" s="2430"/>
      <c r="G1" s="2430"/>
      <c r="H1" s="2430"/>
      <c r="I1" s="2430"/>
      <c r="J1" s="2430"/>
      <c r="K1" s="2430"/>
      <c r="L1" s="2430"/>
      <c r="M1" s="2430"/>
    </row>
    <row r="2" spans="2:14" ht="15" x14ac:dyDescent="0.2">
      <c r="B2" s="2431">
        <f>'Single Audit Cover'!E7</f>
        <v>53102001004</v>
      </c>
      <c r="C2" s="2431"/>
      <c r="D2" s="2431"/>
      <c r="E2" s="2431"/>
      <c r="F2" s="2431"/>
      <c r="G2" s="2431"/>
      <c r="H2" s="2431"/>
      <c r="I2" s="2431"/>
      <c r="J2" s="2431"/>
      <c r="K2" s="2431"/>
      <c r="L2" s="2431"/>
      <c r="M2" s="2431"/>
      <c r="N2" s="1296"/>
    </row>
    <row r="3" spans="2:14" ht="15" x14ac:dyDescent="0.2">
      <c r="B3" s="2432" t="s">
        <v>1219</v>
      </c>
      <c r="C3" s="2432"/>
      <c r="D3" s="2432"/>
      <c r="E3" s="2432"/>
      <c r="F3" s="2432"/>
      <c r="G3" s="2432"/>
      <c r="H3" s="2432"/>
      <c r="I3" s="2432"/>
      <c r="J3" s="2432"/>
      <c r="K3" s="2432"/>
      <c r="L3" s="2432"/>
      <c r="M3" s="2432"/>
      <c r="N3" s="1296"/>
    </row>
    <row r="4" spans="2:14" ht="15" x14ac:dyDescent="0.2">
      <c r="B4" s="2433" t="str">
        <f>'Single Audit Cover'!A4</f>
        <v>Year Ending June 30, 2019</v>
      </c>
      <c r="C4" s="2433"/>
      <c r="D4" s="2433"/>
      <c r="E4" s="2433"/>
      <c r="F4" s="2433"/>
      <c r="G4" s="2433"/>
      <c r="H4" s="2433"/>
      <c r="I4" s="2433"/>
      <c r="J4" s="2433"/>
      <c r="K4" s="2433"/>
      <c r="L4" s="2433"/>
      <c r="M4" s="2433"/>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Metamora CCSD 1</v>
      </c>
      <c r="B1" s="2443"/>
      <c r="C1" s="2443"/>
      <c r="D1" s="2443"/>
      <c r="E1" s="2443"/>
      <c r="F1" s="2443"/>
    </row>
    <row r="2" spans="1:7" ht="13.5" customHeight="1" x14ac:dyDescent="0.2">
      <c r="A2" s="2431">
        <f>'Single Audit Cover'!E7</f>
        <v>53102001004</v>
      </c>
      <c r="B2" s="2431"/>
      <c r="C2" s="2431"/>
      <c r="D2" s="2431"/>
      <c r="E2" s="2431"/>
      <c r="F2" s="2431"/>
      <c r="G2" s="1269"/>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0" t="s">
        <v>1728</v>
      </c>
      <c r="C6" s="317"/>
      <c r="D6" s="317"/>
    </row>
    <row r="7" spans="1:7" ht="60.95" customHeight="1" x14ac:dyDescent="0.2">
      <c r="A7" s="2442" t="s">
        <v>1729</v>
      </c>
      <c r="B7" s="2442"/>
      <c r="C7" s="2442"/>
      <c r="D7" s="2442"/>
      <c r="E7" s="2442"/>
      <c r="F7" s="2442"/>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42" t="s">
        <v>1731</v>
      </c>
      <c r="B13" s="2442"/>
      <c r="C13" s="2442"/>
      <c r="D13" s="2442"/>
      <c r="E13" s="2442"/>
      <c r="F13" s="2442"/>
    </row>
    <row r="14" spans="1:7" ht="9.75" customHeight="1" x14ac:dyDescent="0.2">
      <c r="C14" s="1254"/>
      <c r="D14" s="1254"/>
    </row>
    <row r="15" spans="1:7" ht="13.5" customHeight="1" x14ac:dyDescent="0.2">
      <c r="C15" s="1843" t="s">
        <v>1270</v>
      </c>
      <c r="D15" s="2440" t="s">
        <v>1269</v>
      </c>
      <c r="E15" s="2440"/>
      <c r="F15" s="2440"/>
    </row>
    <row r="16" spans="1:7" ht="13.5" customHeight="1" x14ac:dyDescent="0.2">
      <c r="A16" s="1276"/>
      <c r="B16" s="1270" t="s">
        <v>1268</v>
      </c>
      <c r="C16" s="1843" t="s">
        <v>1267</v>
      </c>
      <c r="D16" s="2441" t="s">
        <v>1588</v>
      </c>
      <c r="E16" s="2441"/>
      <c r="F16" s="2441"/>
    </row>
    <row r="17" spans="1:6" ht="20.45" customHeight="1" x14ac:dyDescent="0.2">
      <c r="A17" s="1277"/>
      <c r="B17" s="1278"/>
      <c r="C17" s="1279"/>
      <c r="D17" s="2435"/>
      <c r="E17" s="2435"/>
      <c r="F17" s="2435"/>
    </row>
    <row r="18" spans="1:6" ht="20.65" customHeight="1" x14ac:dyDescent="0.2">
      <c r="A18" s="1277"/>
      <c r="B18" s="1278"/>
      <c r="C18" s="1279"/>
      <c r="D18" s="2435"/>
      <c r="E18" s="2435"/>
      <c r="F18" s="2435"/>
    </row>
    <row r="19" spans="1:6" ht="20.65" customHeight="1" x14ac:dyDescent="0.2">
      <c r="A19" s="1277"/>
      <c r="B19" s="1278"/>
      <c r="C19" s="1279"/>
      <c r="D19" s="2435"/>
      <c r="E19" s="2435"/>
      <c r="F19" s="2435"/>
    </row>
    <row r="20" spans="1:6" ht="20.65" customHeight="1" x14ac:dyDescent="0.2">
      <c r="A20" s="1277"/>
      <c r="B20" s="1278"/>
      <c r="C20" s="1279"/>
      <c r="D20" s="2435"/>
      <c r="E20" s="2435"/>
      <c r="F20" s="2435"/>
    </row>
    <row r="21" spans="1:6" ht="20.65" customHeight="1" x14ac:dyDescent="0.2">
      <c r="A21" s="1277"/>
      <c r="B21" s="1278"/>
      <c r="C21" s="1279"/>
      <c r="D21" s="2435"/>
      <c r="E21" s="2435"/>
      <c r="F21" s="2435"/>
    </row>
    <row r="22" spans="1:6" ht="20.65" customHeight="1" x14ac:dyDescent="0.2">
      <c r="A22" s="1277"/>
      <c r="B22" s="1278"/>
      <c r="C22" s="1279"/>
      <c r="D22" s="2435"/>
      <c r="E22" s="2435"/>
      <c r="F22" s="2435"/>
    </row>
    <row r="23" spans="1:6" ht="20.65" customHeight="1" x14ac:dyDescent="0.2">
      <c r="A23" s="1277"/>
      <c r="B23" s="1278"/>
      <c r="C23" s="1279"/>
      <c r="D23" s="2435"/>
      <c r="E23" s="2435"/>
      <c r="F23" s="2435"/>
    </row>
    <row r="24" spans="1:6" ht="20.65" customHeight="1" x14ac:dyDescent="0.2">
      <c r="A24" s="1277"/>
      <c r="B24" s="1278"/>
      <c r="C24" s="1279"/>
      <c r="D24" s="2435"/>
      <c r="E24" s="2435"/>
      <c r="F24" s="2435"/>
    </row>
    <row r="25" spans="1:6" ht="20.65" customHeight="1" x14ac:dyDescent="0.2">
      <c r="A25" s="1277"/>
      <c r="B25" s="1278"/>
      <c r="C25" s="1279"/>
      <c r="D25" s="2435"/>
      <c r="E25" s="2435"/>
      <c r="F25" s="2435"/>
    </row>
    <row r="26" spans="1:6" ht="20.65" customHeight="1" x14ac:dyDescent="0.2">
      <c r="A26" s="1277"/>
      <c r="B26" s="1278"/>
      <c r="C26" s="1279"/>
      <c r="D26" s="2435"/>
      <c r="E26" s="2435"/>
      <c r="F26" s="2435"/>
    </row>
    <row r="27" spans="1:6" ht="20.65" customHeight="1" x14ac:dyDescent="0.2">
      <c r="A27" s="1277"/>
      <c r="B27" s="1278"/>
      <c r="C27" s="1279"/>
      <c r="D27" s="2435"/>
      <c r="E27" s="2435"/>
      <c r="F27" s="2435"/>
    </row>
    <row r="28" spans="1:6" ht="20.65" customHeight="1" x14ac:dyDescent="0.2">
      <c r="A28" s="1277"/>
      <c r="B28" s="1278"/>
      <c r="C28" s="1279"/>
      <c r="D28" s="2435"/>
      <c r="E28" s="2435"/>
      <c r="F28" s="2435"/>
    </row>
    <row r="29" spans="1:6" ht="20.65" customHeight="1" x14ac:dyDescent="0.2">
      <c r="A29" s="1277"/>
      <c r="B29" s="1278"/>
      <c r="C29" s="1279"/>
      <c r="D29" s="2435"/>
      <c r="E29" s="2435"/>
      <c r="F29" s="2435"/>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36" t="s">
        <v>1732</v>
      </c>
      <c r="B32" s="2436"/>
      <c r="C32" s="2436"/>
      <c r="D32" s="2436"/>
      <c r="E32" s="2436"/>
      <c r="F32" s="2436"/>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37">
        <f>+C33+C34</f>
        <v>0</v>
      </c>
      <c r="F34" s="2438"/>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39" t="s">
        <v>1590</v>
      </c>
      <c r="C49" s="2439"/>
      <c r="D49" s="2439"/>
      <c r="E49" s="1393"/>
    </row>
    <row r="50" spans="1:5" s="1294" customFormat="1" ht="3.75" customHeight="1" x14ac:dyDescent="0.2">
      <c r="A50" s="1293"/>
      <c r="B50" s="1842"/>
      <c r="C50" s="1842"/>
      <c r="D50" s="1842"/>
      <c r="E50" s="1393"/>
    </row>
    <row r="51" spans="1:5" s="1294" customFormat="1" ht="20.25" customHeight="1" x14ac:dyDescent="0.2">
      <c r="A51" s="1295">
        <v>6</v>
      </c>
      <c r="B51" s="2434" t="s">
        <v>1551</v>
      </c>
      <c r="C51" s="2434"/>
      <c r="D51" s="2434"/>
    </row>
    <row r="52" spans="1:5" ht="14.25" customHeight="1" x14ac:dyDescent="0.2">
      <c r="A52" s="1295"/>
      <c r="B52" s="2434"/>
      <c r="C52" s="2434"/>
      <c r="D52" s="243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2072</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t="s">
        <v>2109</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Metamora CCSD 1</v>
      </c>
      <c r="C1" s="2458"/>
      <c r="D1" s="2458"/>
      <c r="E1" s="2458"/>
      <c r="F1" s="2458"/>
      <c r="G1" s="2458"/>
      <c r="H1" s="2458"/>
      <c r="I1" s="2458"/>
      <c r="J1" s="1403"/>
    </row>
    <row r="2" spans="2:10" s="317" customFormat="1" ht="12.75" customHeight="1" x14ac:dyDescent="0.2">
      <c r="B2" s="2459">
        <f>'Single Audit Cover'!E7</f>
        <v>53102001004</v>
      </c>
      <c r="C2" s="2460"/>
      <c r="D2" s="2460"/>
      <c r="E2" s="2460"/>
      <c r="F2" s="2460"/>
      <c r="G2" s="2460"/>
      <c r="H2" s="2460"/>
      <c r="I2" s="2460"/>
      <c r="J2" s="1403"/>
    </row>
    <row r="3" spans="2:10" s="317" customFormat="1" ht="12.75" customHeight="1" x14ac:dyDescent="0.2">
      <c r="B3" s="2461" t="s">
        <v>1285</v>
      </c>
      <c r="C3" s="2462"/>
      <c r="D3" s="2462"/>
      <c r="E3" s="2462"/>
      <c r="F3" s="2462"/>
      <c r="G3" s="2462"/>
      <c r="H3" s="2462"/>
      <c r="I3" s="2462"/>
      <c r="J3" s="1404"/>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61" t="s">
        <v>1284</v>
      </c>
      <c r="C7" s="2462"/>
      <c r="D7" s="2462"/>
      <c r="E7" s="2462"/>
      <c r="F7" s="2462"/>
      <c r="G7" s="2462"/>
      <c r="H7" s="2462"/>
      <c r="I7" s="2462"/>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63"/>
      <c r="D11" s="2463"/>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64"/>
      <c r="E29" s="2464"/>
      <c r="F29" s="2464"/>
      <c r="G29" s="2464"/>
      <c r="H29" s="2464"/>
      <c r="I29" s="2464"/>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5" t="s">
        <v>1751</v>
      </c>
      <c r="D37" s="2466"/>
      <c r="E37" s="2466"/>
      <c r="F37" s="2467"/>
      <c r="G37" s="2465" t="s">
        <v>1592</v>
      </c>
      <c r="H37" s="2466"/>
      <c r="I37" s="2467"/>
    </row>
    <row r="38" spans="2:9" ht="16.5" customHeight="1" x14ac:dyDescent="0.2">
      <c r="B38" s="1425"/>
      <c r="C38" s="2453"/>
      <c r="D38" s="2454"/>
      <c r="E38" s="2454"/>
      <c r="F38" s="2455"/>
      <c r="G38" s="2468"/>
      <c r="H38" s="2469"/>
      <c r="I38" s="2470"/>
    </row>
    <row r="39" spans="2:9" ht="16.5" customHeight="1" x14ac:dyDescent="0.2">
      <c r="B39" s="1425"/>
      <c r="C39" s="2453"/>
      <c r="D39" s="2454"/>
      <c r="E39" s="2454"/>
      <c r="F39" s="2455"/>
      <c r="G39" s="2456"/>
      <c r="H39" s="2456"/>
      <c r="I39" s="2456"/>
    </row>
    <row r="40" spans="2:9" ht="16.5" customHeight="1" x14ac:dyDescent="0.2">
      <c r="B40" s="1425"/>
      <c r="C40" s="2453"/>
      <c r="D40" s="2454"/>
      <c r="E40" s="2454"/>
      <c r="F40" s="2455"/>
      <c r="G40" s="2456"/>
      <c r="H40" s="2456"/>
      <c r="I40" s="2456"/>
    </row>
    <row r="41" spans="2:9" ht="16.5" customHeight="1" x14ac:dyDescent="0.2">
      <c r="B41" s="1425"/>
      <c r="C41" s="2453"/>
      <c r="D41" s="2454"/>
      <c r="E41" s="2454"/>
      <c r="F41" s="2455"/>
      <c r="G41" s="2456"/>
      <c r="H41" s="2456"/>
      <c r="I41" s="2456"/>
    </row>
    <row r="42" spans="2:9" ht="16.5" customHeight="1" x14ac:dyDescent="0.2">
      <c r="B42" s="1425"/>
      <c r="C42" s="2453"/>
      <c r="D42" s="2454"/>
      <c r="E42" s="2454"/>
      <c r="F42" s="2455"/>
      <c r="G42" s="2456"/>
      <c r="H42" s="2456"/>
      <c r="I42" s="2456"/>
    </row>
    <row r="43" spans="2:9" ht="16.5" customHeight="1" x14ac:dyDescent="0.2">
      <c r="B43" s="1425"/>
      <c r="C43" s="2446" t="s">
        <v>1593</v>
      </c>
      <c r="D43" s="2447"/>
      <c r="E43" s="2447"/>
      <c r="F43" s="2448"/>
      <c r="G43" s="2449">
        <f>SUM(G38:I42)</f>
        <v>0</v>
      </c>
      <c r="H43" s="2449"/>
      <c r="I43" s="2449"/>
    </row>
    <row r="44" spans="2:9" ht="12.75" customHeight="1" x14ac:dyDescent="0.2"/>
    <row r="45" spans="2:9" ht="12.75" customHeight="1" x14ac:dyDescent="0.2">
      <c r="B45" s="1416" t="s">
        <v>1841</v>
      </c>
      <c r="D45" s="2450">
        <v>0</v>
      </c>
      <c r="E45" s="2451"/>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52"/>
      <c r="F49" s="2452"/>
      <c r="G49" s="2452"/>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Metamora CCSD 1</v>
      </c>
      <c r="C1" s="2457"/>
      <c r="D1" s="2457"/>
      <c r="E1" s="2457"/>
      <c r="F1" s="2457"/>
      <c r="G1" s="2457"/>
      <c r="H1" s="2457"/>
      <c r="I1" s="2457"/>
      <c r="J1" s="2457"/>
      <c r="K1" s="2457"/>
      <c r="L1" s="1368"/>
      <c r="M1" s="1368"/>
    </row>
    <row r="2" spans="1:13" ht="12" customHeight="1" x14ac:dyDescent="0.2">
      <c r="B2" s="2459">
        <f>'Single Audit Cover'!E7</f>
        <v>53102001004</v>
      </c>
      <c r="C2" s="2459"/>
      <c r="D2" s="2459"/>
      <c r="E2" s="2459"/>
      <c r="F2" s="2459"/>
      <c r="G2" s="2459"/>
      <c r="H2" s="2459"/>
      <c r="I2" s="2459"/>
      <c r="J2" s="2459"/>
      <c r="K2" s="2459"/>
      <c r="L2" s="1369"/>
      <c r="M2" s="1370"/>
    </row>
    <row r="3" spans="1:13" ht="10.35" customHeight="1" x14ac:dyDescent="0.2">
      <c r="B3" s="2473" t="s">
        <v>1285</v>
      </c>
      <c r="C3" s="2473"/>
      <c r="D3" s="2473"/>
      <c r="E3" s="2473"/>
      <c r="F3" s="2473"/>
      <c r="G3" s="2473"/>
      <c r="H3" s="2473"/>
      <c r="I3" s="2473"/>
      <c r="J3" s="2473"/>
      <c r="K3" s="2473"/>
      <c r="L3" s="1371"/>
      <c r="M3" s="1371"/>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4" t="s">
        <v>1296</v>
      </c>
      <c r="C7" s="2474"/>
      <c r="D7" s="2475"/>
      <c r="E7" s="2475"/>
      <c r="F7" s="2475"/>
      <c r="G7" s="2475"/>
      <c r="H7" s="2475"/>
      <c r="I7" s="2475"/>
      <c r="J7" s="2475"/>
      <c r="K7" s="247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t="s">
        <v>2095</v>
      </c>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2"/>
      <c r="C14" s="2472"/>
      <c r="D14" s="2472"/>
      <c r="E14" s="2472"/>
      <c r="F14" s="2472"/>
      <c r="G14" s="2472"/>
      <c r="H14" s="2472"/>
      <c r="I14" s="2472"/>
      <c r="J14" s="2472"/>
      <c r="K14" s="247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2"/>
      <c r="C17" s="2472"/>
      <c r="D17" s="2472"/>
      <c r="E17" s="2472"/>
      <c r="F17" s="2472"/>
      <c r="G17" s="2472"/>
      <c r="H17" s="2472"/>
      <c r="I17" s="2472"/>
      <c r="J17" s="2472"/>
      <c r="K17" s="247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6"/>
      <c r="C20" s="2476"/>
      <c r="D20" s="2472"/>
      <c r="E20" s="2472"/>
      <c r="F20" s="2472"/>
      <c r="G20" s="2472"/>
      <c r="H20" s="2472"/>
      <c r="I20" s="2472"/>
      <c r="J20" s="2472"/>
      <c r="K20" s="247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2"/>
      <c r="C23" s="2472"/>
      <c r="D23" s="2472"/>
      <c r="E23" s="2472"/>
      <c r="F23" s="2472"/>
      <c r="G23" s="2472"/>
      <c r="H23" s="2472"/>
      <c r="I23" s="2472"/>
      <c r="J23" s="2472"/>
      <c r="K23" s="247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2"/>
      <c r="C26" s="2472"/>
      <c r="D26" s="2472"/>
      <c r="E26" s="2472"/>
      <c r="F26" s="2472"/>
      <c r="G26" s="2472"/>
      <c r="H26" s="2472"/>
      <c r="I26" s="2472"/>
      <c r="J26" s="2472"/>
      <c r="K26" s="247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1"/>
      <c r="C29" s="2471"/>
      <c r="D29" s="2472"/>
      <c r="E29" s="2472"/>
      <c r="F29" s="2472"/>
      <c r="G29" s="2472"/>
      <c r="H29" s="2472"/>
      <c r="I29" s="2472"/>
      <c r="J29" s="2472"/>
      <c r="K29" s="247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71"/>
      <c r="C32" s="2471"/>
      <c r="D32" s="2472"/>
      <c r="E32" s="2472"/>
      <c r="F32" s="2472"/>
      <c r="G32" s="2472"/>
      <c r="H32" s="2472"/>
      <c r="I32" s="2472"/>
      <c r="J32" s="2472"/>
      <c r="K32" s="247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Metamora CCSD 1</v>
      </c>
      <c r="C1" s="2480"/>
      <c r="D1" s="2480"/>
      <c r="E1" s="2480"/>
      <c r="F1" s="2480"/>
      <c r="G1" s="2480"/>
      <c r="H1" s="2480"/>
      <c r="I1" s="2480"/>
      <c r="J1" s="2480"/>
      <c r="K1" s="2480"/>
      <c r="L1" s="1446"/>
    </row>
    <row r="2" spans="1:12" ht="12.75" customHeight="1" x14ac:dyDescent="0.2">
      <c r="B2" s="2481">
        <f>'Single Audit Cover'!E7</f>
        <v>53102001004</v>
      </c>
      <c r="C2" s="2481"/>
      <c r="D2" s="2481"/>
      <c r="E2" s="2481"/>
      <c r="F2" s="2481"/>
      <c r="G2" s="2481"/>
      <c r="H2" s="2481"/>
      <c r="I2" s="2481"/>
      <c r="J2" s="2481"/>
      <c r="K2" s="2481"/>
      <c r="L2" s="1447"/>
    </row>
    <row r="3" spans="1:12" ht="12.75" customHeight="1" x14ac:dyDescent="0.2">
      <c r="B3" s="2473" t="s">
        <v>1285</v>
      </c>
      <c r="C3" s="2473"/>
      <c r="D3" s="2473"/>
      <c r="E3" s="2473"/>
      <c r="F3" s="2473"/>
      <c r="G3" s="2473"/>
      <c r="H3" s="2473"/>
      <c r="I3" s="2473"/>
      <c r="J3" s="2473"/>
      <c r="K3" s="2473"/>
      <c r="L3" s="1371"/>
    </row>
    <row r="4" spans="1:12" ht="12.75" customHeight="1" x14ac:dyDescent="0.2">
      <c r="B4" s="2473" t="str">
        <f>'Single Audit Cover'!A4</f>
        <v>Year Ending June 30, 2019</v>
      </c>
      <c r="C4" s="2473"/>
      <c r="D4" s="2473"/>
      <c r="E4" s="2473"/>
      <c r="F4" s="2473"/>
      <c r="G4" s="2473"/>
      <c r="H4" s="2473"/>
      <c r="I4" s="2473"/>
      <c r="J4" s="2473"/>
      <c r="K4" s="2473"/>
      <c r="L4" s="1371"/>
    </row>
    <row r="5" spans="1:12" ht="5.25" customHeight="1" x14ac:dyDescent="0.2">
      <c r="B5" s="1254" t="s">
        <v>1169</v>
      </c>
      <c r="C5" s="1254"/>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64"/>
      <c r="G12" s="2464"/>
      <c r="H12" s="2464"/>
      <c r="I12" s="2464"/>
      <c r="J12" s="2464"/>
      <c r="K12" s="2464"/>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77"/>
      <c r="E14" s="2477"/>
      <c r="F14" s="2477"/>
      <c r="H14" s="1456" t="s">
        <v>1303</v>
      </c>
      <c r="I14" s="2478"/>
      <c r="J14" s="2478"/>
      <c r="K14" s="2478"/>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78"/>
      <c r="E16" s="2478"/>
      <c r="F16" s="2478"/>
      <c r="G16" s="2478"/>
      <c r="H16" s="2478"/>
      <c r="I16" s="2478"/>
      <c r="J16" s="2478"/>
      <c r="K16" s="2478"/>
      <c r="L16" s="322"/>
    </row>
    <row r="17" spans="2:12" ht="13.5" customHeight="1" x14ac:dyDescent="0.2">
      <c r="B17" s="1381" t="s">
        <v>1301</v>
      </c>
      <c r="C17" s="1381"/>
      <c r="D17" s="2479"/>
      <c r="E17" s="2479"/>
      <c r="F17" s="2479"/>
      <c r="G17" s="2479"/>
      <c r="H17" s="2479"/>
      <c r="I17" s="2479"/>
      <c r="J17" s="2479"/>
      <c r="K17" s="247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72"/>
      <c r="C20" s="2472"/>
      <c r="D20" s="2472"/>
      <c r="E20" s="2472"/>
      <c r="F20" s="2472"/>
      <c r="G20" s="2472"/>
      <c r="H20" s="2472"/>
      <c r="I20" s="2472"/>
      <c r="J20" s="2472"/>
      <c r="K20" s="247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7" t="str">
        <f>'Single Audit Cover'!A7</f>
        <v>Metamora CCSD 1</v>
      </c>
      <c r="C1" s="2457"/>
      <c r="D1" s="2457"/>
      <c r="E1" s="1466"/>
    </row>
    <row r="2" spans="2:5" s="1276" customFormat="1" ht="12.75" customHeight="1" x14ac:dyDescent="0.2">
      <c r="B2" s="2459">
        <f>'Single Audit Cover'!E7</f>
        <v>53102001004</v>
      </c>
      <c r="C2" s="2459"/>
      <c r="D2" s="2459"/>
      <c r="E2" s="1467"/>
    </row>
    <row r="3" spans="2:5" ht="12.75" customHeight="1" x14ac:dyDescent="0.2">
      <c r="B3" s="2473" t="s">
        <v>1766</v>
      </c>
      <c r="C3" s="2473"/>
      <c r="D3" s="2473"/>
      <c r="E3" s="1268"/>
    </row>
    <row r="4" spans="2:5" s="1276" customFormat="1" ht="12.75" customHeight="1" x14ac:dyDescent="0.2">
      <c r="B4" s="2483" t="str">
        <f>'Single Audit Cover'!A4</f>
        <v>Year Ending June 30, 2019</v>
      </c>
      <c r="C4" s="2483"/>
      <c r="D4" s="2483"/>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2096</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178773202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1.52E-2</v>
      </c>
      <c r="E10" s="356" t="s">
        <v>1005</v>
      </c>
      <c r="F10" s="355">
        <v>2.5000000000000001E-3</v>
      </c>
      <c r="G10" s="356" t="s">
        <v>1005</v>
      </c>
      <c r="H10" s="355">
        <v>1.1999999999999999E-3</v>
      </c>
      <c r="I10" s="356" t="s">
        <v>1006</v>
      </c>
      <c r="J10" s="1729">
        <f>ROUND(D10+F10+H10,5)</f>
        <v>1.89E-2</v>
      </c>
      <c r="K10" s="222"/>
      <c r="L10" s="355">
        <v>5.0000000000000001E-4</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6322220</v>
      </c>
      <c r="E16" s="356"/>
      <c r="F16" s="1730">
        <f>SUM('Acct Summary 7-8'!C17,'Acct Summary 7-8'!D17,'Acct Summary 7-8'!F17)</f>
        <v>6492771</v>
      </c>
      <c r="G16" s="356"/>
      <c r="H16" s="1730">
        <f>SUM(D16-F16)</f>
        <v>-170551</v>
      </c>
      <c r="I16" s="222"/>
      <c r="J16" s="1730">
        <f>SUM('Acct Summary 7-8'!C81,'Acct Summary 7-8'!D81,'Acct Summary 7-8'!F81,'Acct Summary 7-8'!I81)</f>
        <v>3459362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586</v>
      </c>
      <c r="D31" s="237" t="s">
        <v>1072</v>
      </c>
      <c r="E31" s="222"/>
      <c r="F31" s="222"/>
      <c r="G31" s="363"/>
      <c r="H31" s="1732">
        <f>IF(B31="X",(J7*0.069),IF(B32="X",(J7*0.138),"Enter x in a.or b."))</f>
        <v>12335350.938000001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8630000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Metamora CCSD 1</v>
      </c>
      <c r="E7" s="391"/>
      <c r="G7" s="252"/>
      <c r="H7" s="387"/>
      <c r="I7" s="387"/>
      <c r="J7" s="387"/>
      <c r="K7" s="387"/>
      <c r="L7" s="329"/>
      <c r="M7" s="329"/>
      <c r="N7" s="329"/>
      <c r="O7" s="329"/>
      <c r="P7" s="329"/>
    </row>
    <row r="8" spans="1:18" ht="12.75" x14ac:dyDescent="0.2">
      <c r="A8" s="329"/>
      <c r="B8" s="329"/>
      <c r="C8" s="389" t="s">
        <v>1125</v>
      </c>
      <c r="D8" s="392">
        <f>COVER!A13</f>
        <v>53102001004</v>
      </c>
      <c r="E8" s="393"/>
      <c r="G8" s="329"/>
      <c r="H8" s="329"/>
      <c r="I8" s="329"/>
      <c r="J8" s="329"/>
      <c r="K8" s="329"/>
      <c r="L8" s="329"/>
      <c r="M8" s="329"/>
      <c r="N8" s="329"/>
      <c r="O8" s="329"/>
      <c r="P8" s="329"/>
    </row>
    <row r="9" spans="1:18" ht="12.75" x14ac:dyDescent="0.2">
      <c r="A9" s="329"/>
      <c r="B9" s="329"/>
      <c r="C9" s="389" t="s">
        <v>713</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3459362</v>
      </c>
      <c r="I12" s="404"/>
      <c r="J12" s="404"/>
      <c r="K12" s="405">
        <f>TRUNC((H12/H13*100000),5)/100000</f>
        <v>0.54717520109999995</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6322220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6492771</v>
      </c>
      <c r="I17" s="404"/>
      <c r="J17" s="416"/>
      <c r="K17" s="405">
        <f>TRUNC((H17/H18*100000),5)/100000</f>
        <v>1.0269764418</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6322220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16.576507899999999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3458698</v>
      </c>
      <c r="I24" s="422"/>
      <c r="J24" s="422"/>
      <c r="K24" s="423">
        <f>TRUNC(((H24/H25*100000)/100000),2)</f>
        <v>191.77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18035.474999999999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2871991.4901299998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8630000</v>
      </c>
      <c r="I32" s="420"/>
      <c r="J32" s="420"/>
      <c r="K32" s="423">
        <f>TRUNC(100-((((H32/H33*100))*100)/100),2)</f>
        <v>30.03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12335350.938000001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O31" sqref="O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6"/>
      <c r="D3" s="1557"/>
      <c r="E3" s="1557"/>
      <c r="F3" s="1557"/>
      <c r="G3" s="1557"/>
      <c r="H3" s="1557"/>
      <c r="I3" s="1557"/>
      <c r="J3" s="1557"/>
      <c r="K3" s="1557"/>
      <c r="L3" s="1557"/>
      <c r="M3" s="1558"/>
      <c r="N3" s="1559"/>
    </row>
    <row r="4" spans="1:14" ht="13.5" customHeight="1" x14ac:dyDescent="0.2">
      <c r="A4" s="463" t="s">
        <v>1651</v>
      </c>
      <c r="B4" s="464"/>
      <c r="C4" s="465">
        <v>760613</v>
      </c>
      <c r="D4" s="465">
        <v>321158</v>
      </c>
      <c r="E4" s="465">
        <v>20975</v>
      </c>
      <c r="F4" s="465">
        <v>110226</v>
      </c>
      <c r="G4" s="465">
        <v>265421</v>
      </c>
      <c r="H4" s="465">
        <v>166607</v>
      </c>
      <c r="I4" s="465">
        <v>1769701</v>
      </c>
      <c r="J4" s="465">
        <v>195125</v>
      </c>
      <c r="K4" s="465">
        <v>246187</v>
      </c>
      <c r="L4" s="465">
        <v>66917</v>
      </c>
      <c r="M4" s="468"/>
      <c r="N4" s="469"/>
    </row>
    <row r="5" spans="1:14" x14ac:dyDescent="0.2">
      <c r="A5" s="463" t="s">
        <v>992</v>
      </c>
      <c r="B5" s="470">
        <v>120</v>
      </c>
      <c r="C5" s="465">
        <v>0</v>
      </c>
      <c r="D5" s="465">
        <v>0</v>
      </c>
      <c r="E5" s="465">
        <v>0</v>
      </c>
      <c r="F5" s="465">
        <v>0</v>
      </c>
      <c r="G5" s="465">
        <v>0</v>
      </c>
      <c r="H5" s="465">
        <v>0</v>
      </c>
      <c r="I5" s="465">
        <v>497000</v>
      </c>
      <c r="J5" s="465">
        <v>0</v>
      </c>
      <c r="K5" s="465">
        <v>0</v>
      </c>
      <c r="L5" s="465">
        <v>8040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664</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761277</v>
      </c>
      <c r="D13" s="1734">
        <f t="shared" ref="D13:L13" si="0">SUM(D4:D12)</f>
        <v>321158</v>
      </c>
      <c r="E13" s="1734">
        <f t="shared" si="0"/>
        <v>20975</v>
      </c>
      <c r="F13" s="1734">
        <f t="shared" si="0"/>
        <v>110226</v>
      </c>
      <c r="G13" s="1734">
        <f t="shared" si="0"/>
        <v>265421</v>
      </c>
      <c r="H13" s="1734">
        <f t="shared" si="0"/>
        <v>166607</v>
      </c>
      <c r="I13" s="1734">
        <f t="shared" si="0"/>
        <v>2266701</v>
      </c>
      <c r="J13" s="1734">
        <f t="shared" si="0"/>
        <v>195125</v>
      </c>
      <c r="K13" s="1734">
        <f t="shared" si="0"/>
        <v>246187</v>
      </c>
      <c r="L13" s="1734">
        <f t="shared" si="0"/>
        <v>74957</v>
      </c>
      <c r="M13" s="468"/>
      <c r="N13" s="469"/>
    </row>
    <row r="14" spans="1:14" ht="18" customHeight="1" thickTop="1" x14ac:dyDescent="0.2">
      <c r="A14" s="2107" t="s">
        <v>147</v>
      </c>
      <c r="B14" s="2108"/>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22721</v>
      </c>
      <c r="N16" s="482"/>
    </row>
    <row r="17" spans="1:14" s="483" customFormat="1" ht="12.75" customHeight="1" x14ac:dyDescent="0.2">
      <c r="A17" s="480" t="s">
        <v>1403</v>
      </c>
      <c r="B17" s="481">
        <v>230</v>
      </c>
      <c r="C17" s="475"/>
      <c r="D17" s="475"/>
      <c r="E17" s="475"/>
      <c r="F17" s="475"/>
      <c r="G17" s="475"/>
      <c r="H17" s="475"/>
      <c r="I17" s="475"/>
      <c r="J17" s="475"/>
      <c r="K17" s="475"/>
      <c r="L17" s="475"/>
      <c r="M17" s="465">
        <v>14197047</v>
      </c>
      <c r="N17" s="482"/>
    </row>
    <row r="18" spans="1:14" s="483" customFormat="1" ht="12.75" customHeight="1" x14ac:dyDescent="0.2">
      <c r="A18" s="480" t="s">
        <v>1404</v>
      </c>
      <c r="B18" s="481">
        <v>240</v>
      </c>
      <c r="C18" s="475"/>
      <c r="D18" s="475"/>
      <c r="E18" s="475"/>
      <c r="F18" s="475"/>
      <c r="G18" s="475"/>
      <c r="H18" s="475"/>
      <c r="I18" s="475"/>
      <c r="J18" s="475"/>
      <c r="K18" s="475"/>
      <c r="L18" s="475"/>
      <c r="M18" s="465">
        <v>742601</v>
      </c>
      <c r="N18" s="482"/>
    </row>
    <row r="19" spans="1:14" s="483" customFormat="1" ht="12.75" customHeight="1" x14ac:dyDescent="0.2">
      <c r="A19" s="480" t="s">
        <v>1405</v>
      </c>
      <c r="B19" s="481">
        <v>250</v>
      </c>
      <c r="C19" s="475"/>
      <c r="D19" s="475"/>
      <c r="E19" s="475"/>
      <c r="F19" s="475"/>
      <c r="G19" s="475"/>
      <c r="H19" s="475"/>
      <c r="I19" s="475"/>
      <c r="J19" s="475"/>
      <c r="K19" s="475"/>
      <c r="L19" s="475"/>
      <c r="M19" s="465">
        <v>1233134</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20975</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8609025</v>
      </c>
    </row>
    <row r="23" spans="1:14" ht="13.5" customHeight="1" thickBot="1" x14ac:dyDescent="0.25">
      <c r="A23" s="1733" t="s">
        <v>643</v>
      </c>
      <c r="B23" s="1738"/>
      <c r="C23" s="468"/>
      <c r="D23" s="468"/>
      <c r="E23" s="468"/>
      <c r="F23" s="468"/>
      <c r="G23" s="468"/>
      <c r="H23" s="468"/>
      <c r="I23" s="468"/>
      <c r="J23" s="468"/>
      <c r="K23" s="468"/>
      <c r="L23" s="468"/>
      <c r="M23" s="1685">
        <f>SUM(M15:M22)</f>
        <v>16195503</v>
      </c>
      <c r="N23" s="1685">
        <f>SUM(N21:N22)</f>
        <v>8630000</v>
      </c>
    </row>
    <row r="24" spans="1:14" ht="18" customHeight="1" thickTop="1" x14ac:dyDescent="0.2">
      <c r="A24" s="2109" t="s">
        <v>598</v>
      </c>
      <c r="B24" s="2110"/>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74957</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74957</v>
      </c>
      <c r="M34" s="468"/>
      <c r="N34" s="478"/>
    </row>
    <row r="35" spans="1:14" ht="18" customHeight="1" thickTop="1" x14ac:dyDescent="0.2">
      <c r="A35" s="2111" t="s">
        <v>529</v>
      </c>
      <c r="B35" s="2112"/>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8630000</v>
      </c>
    </row>
    <row r="37" spans="1:14" ht="13.5" thickBot="1" x14ac:dyDescent="0.25">
      <c r="A37" s="1733" t="s">
        <v>653</v>
      </c>
      <c r="B37" s="1738"/>
      <c r="C37" s="475"/>
      <c r="D37" s="475"/>
      <c r="E37" s="475"/>
      <c r="F37" s="475"/>
      <c r="G37" s="475"/>
      <c r="H37" s="475"/>
      <c r="I37" s="475"/>
      <c r="J37" s="475"/>
      <c r="K37" s="475"/>
      <c r="L37" s="478"/>
      <c r="M37" s="468"/>
      <c r="N37" s="1685">
        <f>SUM(N36:N36)</f>
        <v>8630000</v>
      </c>
    </row>
    <row r="38" spans="1:14" s="329" customFormat="1" ht="13.5" customHeight="1" thickTop="1" x14ac:dyDescent="0.2">
      <c r="A38" s="493" t="s">
        <v>420</v>
      </c>
      <c r="B38" s="481">
        <v>714</v>
      </c>
      <c r="C38" s="465">
        <v>42355</v>
      </c>
      <c r="D38" s="465">
        <v>0</v>
      </c>
      <c r="E38" s="465">
        <v>0</v>
      </c>
      <c r="F38" s="465">
        <v>0</v>
      </c>
      <c r="G38" s="465">
        <v>125832</v>
      </c>
      <c r="H38" s="465">
        <v>0</v>
      </c>
      <c r="I38" s="465">
        <v>0</v>
      </c>
      <c r="J38" s="465">
        <v>0</v>
      </c>
      <c r="K38" s="465">
        <v>0</v>
      </c>
      <c r="L38" s="465">
        <v>0</v>
      </c>
      <c r="M38" s="494"/>
      <c r="N38" s="494"/>
    </row>
    <row r="39" spans="1:14" s="329" customFormat="1" ht="13.5" customHeight="1" x14ac:dyDescent="0.2">
      <c r="A39" s="493" t="s">
        <v>342</v>
      </c>
      <c r="B39" s="481">
        <v>730</v>
      </c>
      <c r="C39" s="465">
        <v>718922</v>
      </c>
      <c r="D39" s="465">
        <v>321158</v>
      </c>
      <c r="E39" s="465">
        <v>20975</v>
      </c>
      <c r="F39" s="465">
        <v>110226</v>
      </c>
      <c r="G39" s="465">
        <v>139589</v>
      </c>
      <c r="H39" s="465">
        <v>166607</v>
      </c>
      <c r="I39" s="465">
        <v>2266701</v>
      </c>
      <c r="J39" s="465">
        <v>195125</v>
      </c>
      <c r="K39" s="465">
        <v>246187</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16195503</v>
      </c>
      <c r="N40" s="494"/>
    </row>
    <row r="41" spans="1:14" ht="13.5" customHeight="1" thickBot="1" x14ac:dyDescent="0.25">
      <c r="A41" s="1733" t="s">
        <v>655</v>
      </c>
      <c r="B41" s="1703"/>
      <c r="C41" s="1685">
        <f>(SUM(C34,C37,C38,C39))</f>
        <v>761277</v>
      </c>
      <c r="D41" s="1685">
        <f t="shared" ref="D41:L41" si="2">SUM(D34,D37,D38:D39)</f>
        <v>321158</v>
      </c>
      <c r="E41" s="1685">
        <f t="shared" si="2"/>
        <v>20975</v>
      </c>
      <c r="F41" s="1685">
        <f t="shared" si="2"/>
        <v>110226</v>
      </c>
      <c r="G41" s="1685">
        <f t="shared" si="2"/>
        <v>265421</v>
      </c>
      <c r="H41" s="1685">
        <f t="shared" si="2"/>
        <v>166607</v>
      </c>
      <c r="I41" s="1685">
        <f t="shared" si="2"/>
        <v>2266701</v>
      </c>
      <c r="J41" s="1685">
        <f t="shared" si="2"/>
        <v>195125</v>
      </c>
      <c r="K41" s="1685">
        <f t="shared" si="2"/>
        <v>246187</v>
      </c>
      <c r="L41" s="1685">
        <f t="shared" si="2"/>
        <v>74957</v>
      </c>
      <c r="M41" s="1685">
        <f>SUM(M40)</f>
        <v>16195503</v>
      </c>
      <c r="N41" s="1685">
        <f>SUM(N37)</f>
        <v>8630000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O31" sqref="O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21"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3" t="s">
        <v>1175</v>
      </c>
      <c r="B3" s="2134"/>
      <c r="C3" s="1570"/>
      <c r="D3" s="1571"/>
      <c r="E3" s="1571"/>
      <c r="F3" s="1571"/>
      <c r="G3" s="1571"/>
      <c r="H3" s="1571"/>
      <c r="I3" s="1571"/>
      <c r="J3" s="1571"/>
      <c r="K3" s="1572"/>
      <c r="L3" s="503"/>
    </row>
    <row r="4" spans="1:13" ht="15.75" customHeight="1" x14ac:dyDescent="0.2">
      <c r="A4" s="1925" t="s">
        <v>1499</v>
      </c>
      <c r="B4" s="1926">
        <v>1000</v>
      </c>
      <c r="C4" s="1739">
        <f>'Revenues 9-14'!C109</f>
        <v>3093615</v>
      </c>
      <c r="D4" s="1739">
        <f>'Revenues 9-14'!D109</f>
        <v>440974</v>
      </c>
      <c r="E4" s="1739">
        <f>'Revenues 9-14'!E109</f>
        <v>826290</v>
      </c>
      <c r="F4" s="1739">
        <f>'Revenues 9-14'!F109</f>
        <v>224374</v>
      </c>
      <c r="G4" s="1739">
        <f>'Revenues 9-14'!G109</f>
        <v>203891</v>
      </c>
      <c r="H4" s="1739">
        <f>'Revenues 9-14'!H109</f>
        <v>184151</v>
      </c>
      <c r="I4" s="1739">
        <f>'Revenues 9-14'!I109</f>
        <v>104516</v>
      </c>
      <c r="J4" s="1739">
        <f>'Revenues 9-14'!J109</f>
        <v>100158</v>
      </c>
      <c r="K4" s="1739">
        <f>'Revenues 9-14'!K109</f>
        <v>88283</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1821794</v>
      </c>
      <c r="D6" s="1740">
        <f>'Revenues 9-14'!D170</f>
        <v>0</v>
      </c>
      <c r="E6" s="1740">
        <f>'Revenues 9-14'!E170</f>
        <v>0</v>
      </c>
      <c r="F6" s="1740">
        <f>'Revenues 9-14'!F170</f>
        <v>270091</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366856</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5282265</v>
      </c>
      <c r="D8" s="1685">
        <f t="shared" ref="D8:K8" si="0">SUM(D4:D7)</f>
        <v>440974</v>
      </c>
      <c r="E8" s="1685">
        <f t="shared" si="0"/>
        <v>826290</v>
      </c>
      <c r="F8" s="1685">
        <f t="shared" si="0"/>
        <v>494465</v>
      </c>
      <c r="G8" s="1685">
        <f t="shared" si="0"/>
        <v>203891</v>
      </c>
      <c r="H8" s="1685">
        <f t="shared" si="0"/>
        <v>184151</v>
      </c>
      <c r="I8" s="1685">
        <f t="shared" si="0"/>
        <v>104516</v>
      </c>
      <c r="J8" s="1685">
        <f t="shared" si="0"/>
        <v>100158</v>
      </c>
      <c r="K8" s="1685">
        <f t="shared" si="0"/>
        <v>88283</v>
      </c>
      <c r="L8" s="347"/>
    </row>
    <row r="9" spans="1:13" ht="15.75" thickTop="1" x14ac:dyDescent="0.2">
      <c r="A9" s="511" t="s">
        <v>1653</v>
      </c>
      <c r="B9" s="512">
        <v>3998</v>
      </c>
      <c r="C9" s="465">
        <v>2220441</v>
      </c>
      <c r="D9" s="513"/>
      <c r="E9" s="479"/>
      <c r="F9" s="479"/>
      <c r="G9" s="514"/>
      <c r="H9" s="479"/>
      <c r="I9" s="506" t="s">
        <v>1169</v>
      </c>
      <c r="J9" s="476"/>
      <c r="K9" s="479"/>
      <c r="L9" s="347"/>
    </row>
    <row r="10" spans="1:13" s="516" customFormat="1" ht="13.5" thickBot="1" x14ac:dyDescent="0.25">
      <c r="A10" s="1733" t="s">
        <v>1173</v>
      </c>
      <c r="B10" s="1706"/>
      <c r="C10" s="1685">
        <f>SUM(C8:C9)</f>
        <v>7502706</v>
      </c>
      <c r="D10" s="1685">
        <f t="shared" ref="D10:K10" si="1">SUM(D8:D9)</f>
        <v>440974</v>
      </c>
      <c r="E10" s="1685">
        <f t="shared" si="1"/>
        <v>826290</v>
      </c>
      <c r="F10" s="1685">
        <f t="shared" si="1"/>
        <v>494465</v>
      </c>
      <c r="G10" s="1685">
        <f t="shared" si="1"/>
        <v>203891</v>
      </c>
      <c r="H10" s="1685">
        <f t="shared" si="1"/>
        <v>184151</v>
      </c>
      <c r="I10" s="1685">
        <f t="shared" si="1"/>
        <v>104516</v>
      </c>
      <c r="J10" s="1685">
        <f t="shared" si="1"/>
        <v>100158</v>
      </c>
      <c r="K10" s="1685">
        <f t="shared" si="1"/>
        <v>88283</v>
      </c>
      <c r="L10" s="515"/>
    </row>
    <row r="11" spans="1:13" s="516" customFormat="1" ht="16.7" customHeight="1" thickTop="1" x14ac:dyDescent="0.2">
      <c r="A11" s="2107" t="s">
        <v>1176</v>
      </c>
      <c r="B11" s="2108"/>
      <c r="C11" s="1567"/>
      <c r="D11" s="1568"/>
      <c r="E11" s="1568"/>
      <c r="F11" s="1568"/>
      <c r="G11" s="1568"/>
      <c r="H11" s="1568"/>
      <c r="I11" s="1568"/>
      <c r="J11" s="1568"/>
      <c r="K11" s="1569"/>
      <c r="L11" s="515"/>
    </row>
    <row r="12" spans="1:13" ht="15.75" customHeight="1" x14ac:dyDescent="0.2">
      <c r="A12" s="1573" t="s">
        <v>456</v>
      </c>
      <c r="B12" s="1575">
        <v>1000</v>
      </c>
      <c r="C12" s="1739">
        <f>'Expenditures 15-22'!K33</f>
        <v>4140633</v>
      </c>
      <c r="D12" s="517" t="s">
        <v>1169</v>
      </c>
      <c r="E12" s="468" t="s">
        <v>1169</v>
      </c>
      <c r="F12" s="468" t="s">
        <v>1169</v>
      </c>
      <c r="G12" s="1739">
        <f>'Expenditures 15-22'!K229</f>
        <v>96049</v>
      </c>
      <c r="H12" s="518"/>
      <c r="I12" s="468" t="s">
        <v>1169</v>
      </c>
      <c r="J12" s="468" t="s">
        <v>1169</v>
      </c>
      <c r="K12" s="518" t="s">
        <v>1169</v>
      </c>
      <c r="L12" s="347"/>
    </row>
    <row r="13" spans="1:13" ht="15.75" customHeight="1" x14ac:dyDescent="0.2">
      <c r="A13" s="1573" t="s">
        <v>457</v>
      </c>
      <c r="B13" s="1575">
        <v>2000</v>
      </c>
      <c r="C13" s="1740">
        <f>'Expenditures 15-22'!K74</f>
        <v>1060734</v>
      </c>
      <c r="D13" s="1740">
        <f>'Expenditures 15-22'!K129</f>
        <v>391582</v>
      </c>
      <c r="E13" s="469" t="s">
        <v>1169</v>
      </c>
      <c r="F13" s="1740">
        <f>'Expenditures 15-22'!K184</f>
        <v>543001</v>
      </c>
      <c r="G13" s="1740">
        <f>'Expenditures 15-22'!K279</f>
        <v>105847</v>
      </c>
      <c r="H13" s="1740">
        <f>'Expenditures 15-22'!K303</f>
        <v>17544</v>
      </c>
      <c r="I13" s="468" t="s">
        <v>1169</v>
      </c>
      <c r="J13" s="1740">
        <f>'Expenditures 15-22'!K330</f>
        <v>123693</v>
      </c>
      <c r="K13" s="1744">
        <f>'Expenditures 15-22'!K352</f>
        <v>64696</v>
      </c>
      <c r="L13" s="347"/>
    </row>
    <row r="14" spans="1:13" ht="15.75" customHeight="1" x14ac:dyDescent="0.2">
      <c r="A14" s="1573" t="s">
        <v>449</v>
      </c>
      <c r="B14" s="1575">
        <v>3000</v>
      </c>
      <c r="C14" s="1740">
        <f>'Expenditures 15-22'!K75</f>
        <v>5735</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351086</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891248</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5558188</v>
      </c>
      <c r="D17" s="1685">
        <f t="shared" si="2"/>
        <v>391582</v>
      </c>
      <c r="E17" s="1685">
        <f t="shared" si="2"/>
        <v>891248</v>
      </c>
      <c r="F17" s="1685">
        <f t="shared" si="2"/>
        <v>543001</v>
      </c>
      <c r="G17" s="1685">
        <f t="shared" si="2"/>
        <v>201896</v>
      </c>
      <c r="H17" s="1685">
        <f t="shared" si="2"/>
        <v>17544</v>
      </c>
      <c r="I17" s="468"/>
      <c r="J17" s="1685">
        <f>SUM(J12:J16)</f>
        <v>123693</v>
      </c>
      <c r="K17" s="1685">
        <f>SUM(K12:K16)</f>
        <v>64696</v>
      </c>
      <c r="L17" s="347"/>
    </row>
    <row r="18" spans="1:12" ht="15" customHeight="1" thickTop="1" x14ac:dyDescent="0.2">
      <c r="A18" s="1741" t="s">
        <v>1654</v>
      </c>
      <c r="B18" s="1742">
        <v>4180</v>
      </c>
      <c r="C18" s="1739">
        <f t="shared" ref="C18:H18" si="3">C9</f>
        <v>2220441</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7778629</v>
      </c>
      <c r="D19" s="1685">
        <f t="shared" si="4"/>
        <v>391582</v>
      </c>
      <c r="E19" s="1685">
        <f t="shared" si="4"/>
        <v>891248</v>
      </c>
      <c r="F19" s="1685">
        <f t="shared" si="4"/>
        <v>543001</v>
      </c>
      <c r="G19" s="1685">
        <f t="shared" si="4"/>
        <v>201896</v>
      </c>
      <c r="H19" s="1685">
        <f t="shared" si="4"/>
        <v>17544</v>
      </c>
      <c r="I19" s="468"/>
      <c r="J19" s="1685">
        <f>SUM(J17:J18)</f>
        <v>123693</v>
      </c>
      <c r="K19" s="1685">
        <f>SUM(K17:K18)</f>
        <v>64696</v>
      </c>
      <c r="L19" s="347"/>
    </row>
    <row r="20" spans="1:12" ht="16.5" thickTop="1" thickBot="1" x14ac:dyDescent="0.25">
      <c r="A20" s="2123" t="s">
        <v>1655</v>
      </c>
      <c r="B20" s="2124"/>
      <c r="C20" s="1743">
        <f>C8-C17</f>
        <v>-275923</v>
      </c>
      <c r="D20" s="1743">
        <f t="shared" ref="D20:K20" si="5">D8-D17</f>
        <v>49392</v>
      </c>
      <c r="E20" s="1743">
        <f t="shared" si="5"/>
        <v>-64958</v>
      </c>
      <c r="F20" s="1743">
        <f t="shared" si="5"/>
        <v>-48536</v>
      </c>
      <c r="G20" s="1743">
        <f t="shared" si="5"/>
        <v>1995</v>
      </c>
      <c r="H20" s="1743">
        <f t="shared" si="5"/>
        <v>166607</v>
      </c>
      <c r="I20" s="1743">
        <f t="shared" si="5"/>
        <v>104516</v>
      </c>
      <c r="J20" s="1743">
        <f t="shared" si="5"/>
        <v>-23535</v>
      </c>
      <c r="K20" s="1743">
        <f t="shared" si="5"/>
        <v>23587</v>
      </c>
      <c r="L20" s="347"/>
    </row>
    <row r="21" spans="1:12" ht="16.7" customHeight="1" thickTop="1" x14ac:dyDescent="0.2">
      <c r="A21" s="2135" t="s">
        <v>595</v>
      </c>
      <c r="B21" s="2136"/>
      <c r="C21" s="1567"/>
      <c r="D21" s="1568"/>
      <c r="E21" s="1568"/>
      <c r="F21" s="1568"/>
      <c r="G21" s="1568"/>
      <c r="H21" s="1568"/>
      <c r="I21" s="1568"/>
      <c r="J21" s="1568"/>
      <c r="K21" s="1569"/>
      <c r="L21" s="521"/>
    </row>
    <row r="22" spans="1:12" ht="15.75" customHeight="1" collapsed="1" x14ac:dyDescent="0.2">
      <c r="A22" s="2131" t="s">
        <v>596</v>
      </c>
      <c r="B22" s="2132"/>
      <c r="C22" s="475"/>
      <c r="D22" s="475"/>
      <c r="E22" s="475"/>
      <c r="F22" s="475"/>
      <c r="G22" s="475"/>
      <c r="H22" s="475"/>
      <c r="I22" s="475"/>
      <c r="J22" s="475"/>
      <c r="K22" s="475"/>
      <c r="L22" s="347"/>
    </row>
    <row r="23" spans="1:12" s="483" customFormat="1" ht="15.75" customHeight="1" x14ac:dyDescent="0.2">
      <c r="A23" s="2127" t="s">
        <v>293</v>
      </c>
      <c r="B23" s="2128"/>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104472</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63837</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9" t="s">
        <v>981</v>
      </c>
      <c r="B32" s="2130"/>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7" t="s">
        <v>374</v>
      </c>
      <c r="B44" s="2138"/>
      <c r="C44" s="1700">
        <f>SUM(C24:C43)</f>
        <v>168309</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31" t="s">
        <v>108</v>
      </c>
      <c r="B45" s="2132"/>
      <c r="C45" s="525"/>
      <c r="D45" s="525"/>
      <c r="E45" s="525"/>
      <c r="F45" s="525"/>
      <c r="G45" s="525"/>
      <c r="H45" s="525"/>
      <c r="I45" s="525"/>
      <c r="J45" s="525"/>
      <c r="K45" s="525"/>
      <c r="L45" s="347"/>
    </row>
    <row r="46" spans="1:12" s="483" customFormat="1" ht="15.75" customHeight="1" x14ac:dyDescent="0.2">
      <c r="A46" s="2139" t="s">
        <v>109</v>
      </c>
      <c r="B46" s="2140"/>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104472</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63837</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3" t="s">
        <v>440</v>
      </c>
      <c r="B76" s="2114"/>
      <c r="C76" s="1700">
        <f t="shared" ref="C76:K76" si="7">SUM(C47:C75)</f>
        <v>0</v>
      </c>
      <c r="D76" s="1700">
        <f t="shared" si="7"/>
        <v>63837</v>
      </c>
      <c r="E76" s="1700">
        <f t="shared" si="7"/>
        <v>0</v>
      </c>
      <c r="F76" s="1700">
        <f t="shared" si="7"/>
        <v>0</v>
      </c>
      <c r="G76" s="1700">
        <f t="shared" si="7"/>
        <v>0</v>
      </c>
      <c r="H76" s="1700">
        <f t="shared" si="7"/>
        <v>0</v>
      </c>
      <c r="I76" s="1700">
        <f t="shared" si="7"/>
        <v>104472</v>
      </c>
      <c r="J76" s="1700">
        <f t="shared" si="7"/>
        <v>0</v>
      </c>
      <c r="K76" s="1700">
        <f t="shared" si="7"/>
        <v>0</v>
      </c>
      <c r="L76" s="521"/>
    </row>
    <row r="77" spans="1:12" ht="14.25" thickTop="1" thickBot="1" x14ac:dyDescent="0.25">
      <c r="A77" s="2115" t="s">
        <v>1177</v>
      </c>
      <c r="B77" s="2116"/>
      <c r="C77" s="1700">
        <f t="shared" ref="C77:K77" si="8">C44-C76</f>
        <v>168309</v>
      </c>
      <c r="D77" s="1700">
        <f t="shared" si="8"/>
        <v>-63837</v>
      </c>
      <c r="E77" s="1700">
        <f t="shared" si="8"/>
        <v>0</v>
      </c>
      <c r="F77" s="1700">
        <f t="shared" si="8"/>
        <v>0</v>
      </c>
      <c r="G77" s="1700">
        <f t="shared" si="8"/>
        <v>0</v>
      </c>
      <c r="H77" s="1700">
        <f t="shared" si="8"/>
        <v>0</v>
      </c>
      <c r="I77" s="1700">
        <f t="shared" si="8"/>
        <v>-104472</v>
      </c>
      <c r="J77" s="1700">
        <f t="shared" si="8"/>
        <v>0</v>
      </c>
      <c r="K77" s="1700">
        <f t="shared" si="8"/>
        <v>0</v>
      </c>
      <c r="L77" s="347"/>
    </row>
    <row r="78" spans="1:12" ht="21.75" customHeight="1" thickTop="1" thickBot="1" x14ac:dyDescent="0.25">
      <c r="A78" s="2119" t="s">
        <v>597</v>
      </c>
      <c r="B78" s="2120"/>
      <c r="C78" s="1699">
        <f t="shared" ref="C78:K78" si="9">C20+C77</f>
        <v>-107614</v>
      </c>
      <c r="D78" s="1699">
        <f t="shared" si="9"/>
        <v>-14445</v>
      </c>
      <c r="E78" s="1699">
        <f t="shared" si="9"/>
        <v>-64958</v>
      </c>
      <c r="F78" s="1699">
        <f t="shared" si="9"/>
        <v>-48536</v>
      </c>
      <c r="G78" s="1699">
        <f t="shared" si="9"/>
        <v>1995</v>
      </c>
      <c r="H78" s="1699">
        <f t="shared" si="9"/>
        <v>166607</v>
      </c>
      <c r="I78" s="1699">
        <f t="shared" si="9"/>
        <v>44</v>
      </c>
      <c r="J78" s="1699">
        <f t="shared" si="9"/>
        <v>-23535</v>
      </c>
      <c r="K78" s="1699">
        <f t="shared" si="9"/>
        <v>23587</v>
      </c>
      <c r="L78" s="530"/>
    </row>
    <row r="79" spans="1:12" ht="13.5" thickTop="1" x14ac:dyDescent="0.2">
      <c r="A79" s="1491" t="s">
        <v>1949</v>
      </c>
      <c r="B79" s="531"/>
      <c r="C79" s="476">
        <v>868891</v>
      </c>
      <c r="D79" s="476">
        <v>335603</v>
      </c>
      <c r="E79" s="476">
        <v>85933</v>
      </c>
      <c r="F79" s="476">
        <v>158762</v>
      </c>
      <c r="G79" s="476">
        <v>263426</v>
      </c>
      <c r="H79" s="476">
        <v>0</v>
      </c>
      <c r="I79" s="476">
        <v>2266657</v>
      </c>
      <c r="J79" s="476">
        <v>218660</v>
      </c>
      <c r="K79" s="476">
        <v>222600</v>
      </c>
      <c r="L79" s="347"/>
    </row>
    <row r="80" spans="1:12" x14ac:dyDescent="0.2">
      <c r="A80" s="2125" t="s">
        <v>1795</v>
      </c>
      <c r="B80" s="2126"/>
      <c r="C80" s="467">
        <v>0</v>
      </c>
      <c r="D80" s="467">
        <v>0</v>
      </c>
      <c r="E80" s="467">
        <v>0</v>
      </c>
      <c r="F80" s="467">
        <v>0</v>
      </c>
      <c r="G80" s="467">
        <v>0</v>
      </c>
      <c r="H80" s="467">
        <v>0</v>
      </c>
      <c r="I80" s="467">
        <v>0</v>
      </c>
      <c r="J80" s="467">
        <v>0</v>
      </c>
      <c r="K80" s="467">
        <v>0</v>
      </c>
      <c r="L80" s="347"/>
    </row>
    <row r="81" spans="1:12" ht="13.5" thickBot="1" x14ac:dyDescent="0.25">
      <c r="A81" s="2117" t="s">
        <v>1950</v>
      </c>
      <c r="B81" s="2118"/>
      <c r="C81" s="1685">
        <f>(SUM(C78:C80))</f>
        <v>761277</v>
      </c>
      <c r="D81" s="1685">
        <f>SUM(D78:D80)</f>
        <v>321158</v>
      </c>
      <c r="E81" s="1685">
        <f t="shared" ref="E81:K81" si="10">SUM(E78:E80)</f>
        <v>20975</v>
      </c>
      <c r="F81" s="1685">
        <f t="shared" si="10"/>
        <v>110226</v>
      </c>
      <c r="G81" s="1685">
        <f t="shared" si="10"/>
        <v>265421</v>
      </c>
      <c r="H81" s="1685">
        <f t="shared" si="10"/>
        <v>166607</v>
      </c>
      <c r="I81" s="1685">
        <f t="shared" si="10"/>
        <v>2266701</v>
      </c>
      <c r="J81" s="1685">
        <f t="shared" si="10"/>
        <v>195125</v>
      </c>
      <c r="K81" s="1685">
        <f t="shared" si="10"/>
        <v>246187</v>
      </c>
      <c r="L81" s="347"/>
    </row>
    <row r="82" spans="1:12" ht="0.75" customHeight="1" thickTop="1" thickBot="1" x14ac:dyDescent="0.25">
      <c r="A82" s="533" t="s">
        <v>343</v>
      </c>
      <c r="B82" s="534"/>
      <c r="C82" s="535">
        <f>(C81-C79)</f>
        <v>-107614</v>
      </c>
      <c r="D82" s="535">
        <f t="shared" ref="D82:K82" si="11">(D81-D79)</f>
        <v>-14445</v>
      </c>
      <c r="E82" s="535">
        <f t="shared" si="11"/>
        <v>-64958</v>
      </c>
      <c r="F82" s="535">
        <f t="shared" si="11"/>
        <v>-48536</v>
      </c>
      <c r="G82" s="535">
        <f t="shared" si="11"/>
        <v>1995</v>
      </c>
      <c r="H82" s="535">
        <f t="shared" si="11"/>
        <v>166607</v>
      </c>
      <c r="I82" s="535">
        <f t="shared" si="11"/>
        <v>44</v>
      </c>
      <c r="J82" s="535">
        <f t="shared" si="11"/>
        <v>-23535</v>
      </c>
      <c r="K82" s="535">
        <f t="shared" si="11"/>
        <v>23587</v>
      </c>
    </row>
    <row r="83" spans="1:12" ht="14.25" hidden="1" thickTop="1" thickBot="1" x14ac:dyDescent="0.25">
      <c r="A83" s="536" t="s">
        <v>344</v>
      </c>
      <c r="B83" s="464"/>
      <c r="C83" s="537">
        <f>C82/C81</f>
        <v>-0.1413598466786728</v>
      </c>
      <c r="D83" s="537">
        <f t="shared" ref="D83:K83" si="12">D82/D81</f>
        <v>-4.497786136418834E-2</v>
      </c>
      <c r="E83" s="537">
        <f t="shared" si="12"/>
        <v>-3.0969249106078665</v>
      </c>
      <c r="F83" s="537">
        <f t="shared" si="12"/>
        <v>-0.44033168218024787</v>
      </c>
      <c r="G83" s="537">
        <f t="shared" si="12"/>
        <v>7.5163608003888166E-3</v>
      </c>
      <c r="H83" s="537">
        <f t="shared" si="12"/>
        <v>1</v>
      </c>
      <c r="I83" s="537">
        <f t="shared" si="12"/>
        <v>1.9411470679194124E-5</v>
      </c>
      <c r="J83" s="537">
        <f t="shared" si="12"/>
        <v>-0.12061499039077514</v>
      </c>
      <c r="K83" s="537">
        <f t="shared" si="12"/>
        <v>9.5809283187170732E-2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O31" sqref="O31"/>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2674957</v>
      </c>
      <c r="D5" s="479">
        <v>439960</v>
      </c>
      <c r="E5" s="466">
        <v>825013</v>
      </c>
      <c r="F5" s="545">
        <v>211180</v>
      </c>
      <c r="G5" s="466">
        <v>85880</v>
      </c>
      <c r="H5" s="466">
        <v>0</v>
      </c>
      <c r="I5" s="466">
        <v>87992</v>
      </c>
      <c r="J5" s="467">
        <v>99959</v>
      </c>
      <c r="K5" s="466">
        <v>87992</v>
      </c>
    </row>
    <row r="6" spans="1:12" ht="15" x14ac:dyDescent="0.2">
      <c r="A6" s="463" t="s">
        <v>1662</v>
      </c>
      <c r="B6" s="470">
        <v>1130</v>
      </c>
      <c r="C6" s="466">
        <v>30093</v>
      </c>
      <c r="D6" s="466">
        <v>0</v>
      </c>
      <c r="E6" s="474"/>
      <c r="F6" s="474"/>
      <c r="G6" s="468"/>
      <c r="H6" s="468"/>
      <c r="I6" s="468"/>
      <c r="J6" s="468"/>
      <c r="K6" s="468"/>
    </row>
    <row r="7" spans="1:12" x14ac:dyDescent="0.2">
      <c r="A7" s="463" t="s">
        <v>110</v>
      </c>
      <c r="B7" s="546">
        <v>1140</v>
      </c>
      <c r="C7" s="466">
        <v>35197</v>
      </c>
      <c r="D7" s="466">
        <v>0</v>
      </c>
      <c r="E7" s="468"/>
      <c r="F7" s="467">
        <v>0</v>
      </c>
      <c r="G7" s="467">
        <v>0</v>
      </c>
      <c r="H7" s="467">
        <v>0</v>
      </c>
      <c r="I7" s="468"/>
      <c r="J7" s="468"/>
      <c r="K7" s="468"/>
    </row>
    <row r="8" spans="1:12" x14ac:dyDescent="0.2">
      <c r="A8" s="463" t="s">
        <v>413</v>
      </c>
      <c r="B8" s="470">
        <v>1150</v>
      </c>
      <c r="C8" s="474"/>
      <c r="D8" s="474"/>
      <c r="E8" s="475"/>
      <c r="F8" s="475"/>
      <c r="G8" s="479">
        <v>107878</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2740247</v>
      </c>
      <c r="D12" s="1704">
        <f t="shared" si="0"/>
        <v>439960</v>
      </c>
      <c r="E12" s="1704">
        <f t="shared" si="0"/>
        <v>825013</v>
      </c>
      <c r="F12" s="1704">
        <f t="shared" si="0"/>
        <v>211180</v>
      </c>
      <c r="G12" s="1704">
        <f t="shared" si="0"/>
        <v>193758</v>
      </c>
      <c r="H12" s="1704">
        <f t="shared" si="0"/>
        <v>0</v>
      </c>
      <c r="I12" s="1704">
        <f t="shared" si="0"/>
        <v>87992</v>
      </c>
      <c r="J12" s="1704">
        <f t="shared" si="0"/>
        <v>99959</v>
      </c>
      <c r="K12" s="1685">
        <f t="shared" si="0"/>
        <v>87992</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1042</v>
      </c>
      <c r="D14" s="466">
        <v>167</v>
      </c>
      <c r="E14" s="466">
        <v>314</v>
      </c>
      <c r="F14" s="466">
        <v>80</v>
      </c>
      <c r="G14" s="466">
        <v>74</v>
      </c>
      <c r="H14" s="466">
        <v>0</v>
      </c>
      <c r="I14" s="466">
        <v>33</v>
      </c>
      <c r="J14" s="467">
        <v>38</v>
      </c>
      <c r="K14" s="466">
        <v>33</v>
      </c>
    </row>
    <row r="15" spans="1:12" ht="12.75" customHeight="1" x14ac:dyDescent="0.2">
      <c r="A15" s="463" t="s">
        <v>95</v>
      </c>
      <c r="B15" s="470">
        <v>1220</v>
      </c>
      <c r="C15" s="548">
        <v>602</v>
      </c>
      <c r="D15" s="466">
        <v>96</v>
      </c>
      <c r="E15" s="466">
        <v>181</v>
      </c>
      <c r="F15" s="466">
        <v>46</v>
      </c>
      <c r="G15" s="466">
        <v>42</v>
      </c>
      <c r="H15" s="466">
        <v>0</v>
      </c>
      <c r="I15" s="466">
        <v>19</v>
      </c>
      <c r="J15" s="467">
        <v>22</v>
      </c>
      <c r="K15" s="466">
        <v>19</v>
      </c>
    </row>
    <row r="16" spans="1:12" ht="15" customHeight="1" x14ac:dyDescent="0.2">
      <c r="A16" s="463" t="s">
        <v>1663</v>
      </c>
      <c r="B16" s="546">
        <v>1230</v>
      </c>
      <c r="C16" s="548">
        <v>45463</v>
      </c>
      <c r="D16" s="466">
        <v>0</v>
      </c>
      <c r="E16" s="466">
        <v>0</v>
      </c>
      <c r="F16" s="466">
        <v>0</v>
      </c>
      <c r="G16" s="466">
        <v>9296</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47107</v>
      </c>
      <c r="D18" s="1707">
        <f t="shared" ref="D18:K18" si="1">SUM(D14:D17)</f>
        <v>263</v>
      </c>
      <c r="E18" s="1707">
        <f t="shared" si="1"/>
        <v>495</v>
      </c>
      <c r="F18" s="1707">
        <f t="shared" si="1"/>
        <v>126</v>
      </c>
      <c r="G18" s="1707">
        <f t="shared" si="1"/>
        <v>9412</v>
      </c>
      <c r="H18" s="1707">
        <f t="shared" si="1"/>
        <v>0</v>
      </c>
      <c r="I18" s="1707">
        <f t="shared" si="1"/>
        <v>52</v>
      </c>
      <c r="J18" s="1707">
        <f t="shared" si="1"/>
        <v>60</v>
      </c>
      <c r="K18" s="1708">
        <f t="shared" si="1"/>
        <v>52</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12673</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12673</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5056</v>
      </c>
      <c r="D65" s="466">
        <v>751</v>
      </c>
      <c r="E65" s="466">
        <v>782</v>
      </c>
      <c r="F65" s="467">
        <v>395</v>
      </c>
      <c r="G65" s="466">
        <v>721</v>
      </c>
      <c r="H65" s="466">
        <v>0</v>
      </c>
      <c r="I65" s="466">
        <v>16472</v>
      </c>
      <c r="J65" s="467">
        <v>139</v>
      </c>
      <c r="K65" s="466">
        <v>239</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5056</v>
      </c>
      <c r="D67" s="1685">
        <f t="shared" ref="D67:K67" si="2">SUM(D65:D66)</f>
        <v>751</v>
      </c>
      <c r="E67" s="1685">
        <f t="shared" si="2"/>
        <v>782</v>
      </c>
      <c r="F67" s="1685">
        <f t="shared" si="2"/>
        <v>395</v>
      </c>
      <c r="G67" s="1685">
        <f t="shared" si="2"/>
        <v>721</v>
      </c>
      <c r="H67" s="1685">
        <f t="shared" si="2"/>
        <v>0</v>
      </c>
      <c r="I67" s="1685">
        <f t="shared" si="2"/>
        <v>16472</v>
      </c>
      <c r="J67" s="1685">
        <f t="shared" si="2"/>
        <v>139</v>
      </c>
      <c r="K67" s="1685">
        <f t="shared" si="2"/>
        <v>239</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103103</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301</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103404</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14372</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78921</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10234</v>
      </c>
      <c r="D81" s="466">
        <v>0</v>
      </c>
      <c r="E81" s="468"/>
      <c r="F81" s="468"/>
      <c r="G81" s="468"/>
      <c r="H81" s="468"/>
      <c r="I81" s="468"/>
      <c r="J81" s="468"/>
      <c r="K81" s="468"/>
    </row>
    <row r="82" spans="1:11" ht="12.75" customHeight="1" thickBot="1" x14ac:dyDescent="0.25">
      <c r="A82" s="1705" t="s">
        <v>241</v>
      </c>
      <c r="B82" s="1706"/>
      <c r="C82" s="1704">
        <f>SUM(C77:C81)</f>
        <v>103527</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61726</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1707</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63433</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1080</v>
      </c>
      <c r="D95" s="548">
        <v>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889</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184151</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24072</v>
      </c>
      <c r="D106" s="486">
        <v>0</v>
      </c>
      <c r="E106" s="467">
        <v>0</v>
      </c>
      <c r="F106" s="467">
        <v>0</v>
      </c>
      <c r="G106" s="467">
        <v>0</v>
      </c>
      <c r="H106" s="467">
        <v>0</v>
      </c>
      <c r="I106" s="518"/>
      <c r="J106" s="467">
        <v>0</v>
      </c>
      <c r="K106" s="467">
        <v>0</v>
      </c>
    </row>
    <row r="107" spans="1:12" ht="12.75" customHeight="1" x14ac:dyDescent="0.2">
      <c r="A107" s="463" t="s">
        <v>78</v>
      </c>
      <c r="B107" s="470">
        <v>1999</v>
      </c>
      <c r="C107" s="548">
        <v>4800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30841</v>
      </c>
      <c r="D108" s="1704">
        <f t="shared" ref="D108:K108" si="3">SUM(D95:D107)</f>
        <v>0</v>
      </c>
      <c r="E108" s="1704">
        <f t="shared" si="3"/>
        <v>0</v>
      </c>
      <c r="F108" s="1704">
        <f t="shared" si="3"/>
        <v>0</v>
      </c>
      <c r="G108" s="1704">
        <f t="shared" si="3"/>
        <v>0</v>
      </c>
      <c r="H108" s="1704">
        <f t="shared" si="3"/>
        <v>184151</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3093615</v>
      </c>
      <c r="D109" s="1712">
        <f t="shared" si="4"/>
        <v>440974</v>
      </c>
      <c r="E109" s="1712">
        <f t="shared" si="4"/>
        <v>826290</v>
      </c>
      <c r="F109" s="1712">
        <f t="shared" si="4"/>
        <v>224374</v>
      </c>
      <c r="G109" s="1712">
        <f t="shared" si="4"/>
        <v>203891</v>
      </c>
      <c r="H109" s="1712">
        <f t="shared" si="4"/>
        <v>184151</v>
      </c>
      <c r="I109" s="1712">
        <f t="shared" si="4"/>
        <v>104516</v>
      </c>
      <c r="J109" s="1712">
        <f t="shared" si="4"/>
        <v>100158</v>
      </c>
      <c r="K109" s="1699">
        <f t="shared" si="4"/>
        <v>88283</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1755041</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1755041</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45752</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20010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65762</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991</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158321</v>
      </c>
      <c r="G152" s="467">
        <v>0</v>
      </c>
      <c r="H152" s="468"/>
      <c r="I152" s="468"/>
      <c r="J152" s="468"/>
      <c r="K152" s="468"/>
    </row>
    <row r="153" spans="1:11" ht="12.75" customHeight="1" x14ac:dyDescent="0.2">
      <c r="A153" s="463" t="s">
        <v>1057</v>
      </c>
      <c r="B153" s="559">
        <v>3510</v>
      </c>
      <c r="C153" s="548">
        <v>0</v>
      </c>
      <c r="D153" s="466">
        <v>0</v>
      </c>
      <c r="E153" s="558"/>
      <c r="F153" s="466">
        <v>111770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270091</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41" t="s">
        <v>398</v>
      </c>
      <c r="B169" s="2142"/>
      <c r="C169" s="1719">
        <f t="shared" ref="C169:K169" si="6">SUM(C132,C141,C145,C146:C150,C155,C156:C167,C168)</f>
        <v>66753</v>
      </c>
      <c r="D169" s="1719">
        <f t="shared" si="6"/>
        <v>0</v>
      </c>
      <c r="E169" s="1719">
        <f t="shared" si="6"/>
        <v>0</v>
      </c>
      <c r="F169" s="1719">
        <f t="shared" si="6"/>
        <v>270091</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1821794</v>
      </c>
      <c r="D170" s="1712">
        <f t="shared" si="7"/>
        <v>0</v>
      </c>
      <c r="E170" s="1712">
        <f t="shared" si="7"/>
        <v>0</v>
      </c>
      <c r="F170" s="1712">
        <f t="shared" si="7"/>
        <v>270091</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3" t="s">
        <v>1492</v>
      </c>
      <c r="B172" s="2144"/>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7" t="s">
        <v>1665</v>
      </c>
      <c r="B175" s="214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1" t="s">
        <v>1664</v>
      </c>
      <c r="B176" s="2152"/>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9" t="s">
        <v>785</v>
      </c>
      <c r="B181" s="2150"/>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5" t="s">
        <v>1803</v>
      </c>
      <c r="B182" s="2146"/>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58383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6661</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65044</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71757</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71757</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15208</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15208</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185787</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185787</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18148</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5759</v>
      </c>
      <c r="D263" s="573">
        <v>0</v>
      </c>
      <c r="E263" s="468"/>
      <c r="F263" s="573">
        <v>0</v>
      </c>
      <c r="G263" s="573">
        <v>0</v>
      </c>
      <c r="H263" s="468"/>
      <c r="I263" s="468"/>
      <c r="J263" s="468"/>
      <c r="K263" s="468"/>
    </row>
    <row r="264" spans="1:11" ht="12.75" customHeight="1" thickTop="1" thickBot="1" x14ac:dyDescent="0.25">
      <c r="A264" s="463" t="s">
        <v>377</v>
      </c>
      <c r="B264" s="470">
        <v>4992</v>
      </c>
      <c r="C264" s="572">
        <v>5153</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366856</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366856</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5282265</v>
      </c>
      <c r="D268" s="1712">
        <f t="shared" si="12"/>
        <v>440974</v>
      </c>
      <c r="E268" s="1712">
        <f t="shared" si="12"/>
        <v>826290</v>
      </c>
      <c r="F268" s="1712">
        <f t="shared" si="12"/>
        <v>494465</v>
      </c>
      <c r="G268" s="1712">
        <f t="shared" si="12"/>
        <v>203891</v>
      </c>
      <c r="H268" s="1712">
        <f t="shared" si="12"/>
        <v>184151</v>
      </c>
      <c r="I268" s="1712">
        <f t="shared" si="12"/>
        <v>104516</v>
      </c>
      <c r="J268" s="1712">
        <f t="shared" si="12"/>
        <v>100158</v>
      </c>
      <c r="K268" s="1699">
        <f t="shared" si="12"/>
        <v>88283</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O31" sqref="O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21"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3"/>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9" t="s">
        <v>297</v>
      </c>
      <c r="B3" s="2160"/>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2535549</v>
      </c>
      <c r="D5" s="466">
        <v>510468</v>
      </c>
      <c r="E5" s="466">
        <v>52124</v>
      </c>
      <c r="F5" s="466">
        <v>271672</v>
      </c>
      <c r="G5" s="466">
        <v>5003</v>
      </c>
      <c r="H5" s="466">
        <v>0</v>
      </c>
      <c r="I5" s="467">
        <v>0</v>
      </c>
      <c r="J5" s="467">
        <v>0</v>
      </c>
      <c r="K5" s="1668">
        <f>SUM(C5:J5)</f>
        <v>3374816</v>
      </c>
      <c r="L5" s="471">
        <v>3354286</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447465</v>
      </c>
      <c r="D8" s="466">
        <v>78640</v>
      </c>
      <c r="E8" s="466">
        <v>853</v>
      </c>
      <c r="F8" s="466">
        <v>4847</v>
      </c>
      <c r="G8" s="466">
        <v>0</v>
      </c>
      <c r="H8" s="466">
        <v>245</v>
      </c>
      <c r="I8" s="467">
        <v>0</v>
      </c>
      <c r="J8" s="467">
        <v>0</v>
      </c>
      <c r="K8" s="1668">
        <f t="shared" si="0"/>
        <v>532050</v>
      </c>
      <c r="L8" s="471">
        <v>515039</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68027</v>
      </c>
      <c r="D10" s="466">
        <v>19139</v>
      </c>
      <c r="E10" s="466">
        <v>0</v>
      </c>
      <c r="F10" s="466">
        <v>2750</v>
      </c>
      <c r="G10" s="466">
        <v>0</v>
      </c>
      <c r="H10" s="466">
        <v>0</v>
      </c>
      <c r="I10" s="467">
        <v>0</v>
      </c>
      <c r="J10" s="467">
        <v>0</v>
      </c>
      <c r="K10" s="1668">
        <f t="shared" si="0"/>
        <v>89916</v>
      </c>
      <c r="L10" s="471">
        <v>104741</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902</v>
      </c>
    </row>
    <row r="14" spans="1:14" x14ac:dyDescent="0.2">
      <c r="A14" s="1501" t="s">
        <v>963</v>
      </c>
      <c r="B14" s="611">
        <v>1500</v>
      </c>
      <c r="C14" s="466">
        <v>55352</v>
      </c>
      <c r="D14" s="466">
        <v>7043</v>
      </c>
      <c r="E14" s="466">
        <v>17096</v>
      </c>
      <c r="F14" s="466">
        <v>12426</v>
      </c>
      <c r="G14" s="466">
        <v>0</v>
      </c>
      <c r="H14" s="466">
        <v>4234</v>
      </c>
      <c r="I14" s="467">
        <v>0</v>
      </c>
      <c r="J14" s="467">
        <v>0</v>
      </c>
      <c r="K14" s="1668">
        <f t="shared" si="0"/>
        <v>96151</v>
      </c>
      <c r="L14" s="471">
        <v>76297</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47700</v>
      </c>
      <c r="I22" s="613"/>
      <c r="J22" s="475"/>
      <c r="K22" s="1668">
        <f t="shared" si="0"/>
        <v>47700</v>
      </c>
      <c r="L22" s="471">
        <v>51000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3106393</v>
      </c>
      <c r="D33" s="1667">
        <f t="shared" ref="D33:L33" si="1">SUM(D5:D32)</f>
        <v>615290</v>
      </c>
      <c r="E33" s="1667">
        <f t="shared" si="1"/>
        <v>70073</v>
      </c>
      <c r="F33" s="1667">
        <f t="shared" si="1"/>
        <v>291695</v>
      </c>
      <c r="G33" s="1667">
        <f t="shared" si="1"/>
        <v>5003</v>
      </c>
      <c r="H33" s="1667">
        <f t="shared" si="1"/>
        <v>52179</v>
      </c>
      <c r="I33" s="1667">
        <f t="shared" si="1"/>
        <v>0</v>
      </c>
      <c r="J33" s="1667">
        <f t="shared" si="1"/>
        <v>0</v>
      </c>
      <c r="K33" s="1667">
        <f t="shared" si="1"/>
        <v>4140633</v>
      </c>
      <c r="L33" s="1667">
        <f t="shared" si="1"/>
        <v>4102265</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0</v>
      </c>
      <c r="D38" s="466">
        <v>0</v>
      </c>
      <c r="E38" s="466">
        <v>1450</v>
      </c>
      <c r="F38" s="466">
        <v>0</v>
      </c>
      <c r="G38" s="466">
        <v>0</v>
      </c>
      <c r="H38" s="466">
        <v>0</v>
      </c>
      <c r="I38" s="467">
        <v>0</v>
      </c>
      <c r="J38" s="467">
        <v>0</v>
      </c>
      <c r="K38" s="1668">
        <f t="shared" si="2"/>
        <v>1450</v>
      </c>
      <c r="L38" s="466">
        <v>3183</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13064</v>
      </c>
      <c r="D41" s="466">
        <v>5046</v>
      </c>
      <c r="E41" s="466">
        <v>468</v>
      </c>
      <c r="F41" s="466">
        <v>0</v>
      </c>
      <c r="G41" s="466">
        <v>0</v>
      </c>
      <c r="H41" s="466">
        <v>0</v>
      </c>
      <c r="I41" s="467">
        <v>0</v>
      </c>
      <c r="J41" s="467">
        <v>0</v>
      </c>
      <c r="K41" s="1668">
        <f t="shared" si="2"/>
        <v>18578</v>
      </c>
      <c r="L41" s="466">
        <v>15980</v>
      </c>
    </row>
    <row r="42" spans="1:14" ht="12.75" customHeight="1" thickBot="1" x14ac:dyDescent="0.25">
      <c r="A42" s="1665" t="s">
        <v>560</v>
      </c>
      <c r="B42" s="1666" t="s">
        <v>716</v>
      </c>
      <c r="C42" s="1667">
        <f>SUM(C36:C41)</f>
        <v>13064</v>
      </c>
      <c r="D42" s="1667">
        <f t="shared" ref="D42:L42" si="3">SUM(D36:D41)</f>
        <v>5046</v>
      </c>
      <c r="E42" s="1667">
        <f t="shared" si="3"/>
        <v>1918</v>
      </c>
      <c r="F42" s="1667">
        <f t="shared" si="3"/>
        <v>0</v>
      </c>
      <c r="G42" s="1667">
        <f t="shared" si="3"/>
        <v>0</v>
      </c>
      <c r="H42" s="1667">
        <f t="shared" si="3"/>
        <v>0</v>
      </c>
      <c r="I42" s="1667">
        <f t="shared" si="3"/>
        <v>0</v>
      </c>
      <c r="J42" s="1667">
        <f t="shared" si="3"/>
        <v>0</v>
      </c>
      <c r="K42" s="1667">
        <f t="shared" si="3"/>
        <v>20028</v>
      </c>
      <c r="L42" s="1667">
        <f t="shared" si="3"/>
        <v>19163</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25144</v>
      </c>
      <c r="F44" s="479">
        <v>0</v>
      </c>
      <c r="G44" s="479">
        <v>0</v>
      </c>
      <c r="H44" s="479">
        <v>0</v>
      </c>
      <c r="I44" s="467">
        <v>0</v>
      </c>
      <c r="J44" s="467">
        <v>0</v>
      </c>
      <c r="K44" s="1669">
        <f>SUM(C44:J44)</f>
        <v>25144</v>
      </c>
      <c r="L44" s="479">
        <v>14154</v>
      </c>
    </row>
    <row r="45" spans="1:14" x14ac:dyDescent="0.2">
      <c r="A45" s="1501" t="s">
        <v>815</v>
      </c>
      <c r="B45" s="611">
        <v>2220</v>
      </c>
      <c r="C45" s="466">
        <v>15746</v>
      </c>
      <c r="D45" s="466">
        <v>5377</v>
      </c>
      <c r="E45" s="466">
        <v>0</v>
      </c>
      <c r="F45" s="466">
        <v>999</v>
      </c>
      <c r="G45" s="466">
        <v>0</v>
      </c>
      <c r="H45" s="466">
        <v>0</v>
      </c>
      <c r="I45" s="467">
        <v>0</v>
      </c>
      <c r="J45" s="467">
        <v>0</v>
      </c>
      <c r="K45" s="1669">
        <f>SUM(C45:J45)</f>
        <v>22122</v>
      </c>
      <c r="L45" s="466">
        <v>21784</v>
      </c>
    </row>
    <row r="46" spans="1:14" x14ac:dyDescent="0.2">
      <c r="A46" s="1501" t="s">
        <v>816</v>
      </c>
      <c r="B46" s="611">
        <v>2230</v>
      </c>
      <c r="C46" s="466">
        <v>0</v>
      </c>
      <c r="D46" s="466">
        <v>0</v>
      </c>
      <c r="E46" s="466">
        <v>0</v>
      </c>
      <c r="F46" s="466">
        <v>8497</v>
      </c>
      <c r="G46" s="466">
        <v>0</v>
      </c>
      <c r="H46" s="466">
        <v>0</v>
      </c>
      <c r="I46" s="467">
        <v>0</v>
      </c>
      <c r="J46" s="467">
        <v>0</v>
      </c>
      <c r="K46" s="1669">
        <f>SUM(C46:J46)</f>
        <v>8497</v>
      </c>
      <c r="L46" s="466">
        <v>8549</v>
      </c>
    </row>
    <row r="47" spans="1:14" ht="12.75" customHeight="1" thickBot="1" x14ac:dyDescent="0.25">
      <c r="A47" s="1665" t="s">
        <v>561</v>
      </c>
      <c r="B47" s="1666" t="s">
        <v>32</v>
      </c>
      <c r="C47" s="1667">
        <f>SUM(C44:C46)</f>
        <v>15746</v>
      </c>
      <c r="D47" s="1667">
        <f t="shared" ref="D47:K47" si="4">SUM(D44:D46)</f>
        <v>5377</v>
      </c>
      <c r="E47" s="1667">
        <f t="shared" si="4"/>
        <v>25144</v>
      </c>
      <c r="F47" s="1667">
        <f t="shared" si="4"/>
        <v>9496</v>
      </c>
      <c r="G47" s="1667">
        <f t="shared" si="4"/>
        <v>0</v>
      </c>
      <c r="H47" s="1667">
        <f t="shared" si="4"/>
        <v>0</v>
      </c>
      <c r="I47" s="1667">
        <f t="shared" si="4"/>
        <v>0</v>
      </c>
      <c r="J47" s="1667">
        <f t="shared" si="4"/>
        <v>0</v>
      </c>
      <c r="K47" s="1667">
        <f t="shared" si="4"/>
        <v>55763</v>
      </c>
      <c r="L47" s="1667">
        <f>SUM(L44:L46)</f>
        <v>44487</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1180</v>
      </c>
      <c r="D49" s="479">
        <v>0</v>
      </c>
      <c r="E49" s="479">
        <v>59335</v>
      </c>
      <c r="F49" s="479">
        <v>1939</v>
      </c>
      <c r="G49" s="479">
        <v>0</v>
      </c>
      <c r="H49" s="479">
        <v>5879</v>
      </c>
      <c r="I49" s="467">
        <v>0</v>
      </c>
      <c r="J49" s="467">
        <v>0</v>
      </c>
      <c r="K49" s="1669">
        <f>SUM(C49:J49)</f>
        <v>68333</v>
      </c>
      <c r="L49" s="479">
        <v>75913</v>
      </c>
    </row>
    <row r="50" spans="1:14" x14ac:dyDescent="0.2">
      <c r="A50" s="1501" t="s">
        <v>818</v>
      </c>
      <c r="B50" s="611">
        <v>2320</v>
      </c>
      <c r="C50" s="467">
        <v>124582</v>
      </c>
      <c r="D50" s="466">
        <v>44798</v>
      </c>
      <c r="E50" s="466">
        <v>1665</v>
      </c>
      <c r="F50" s="466">
        <v>311</v>
      </c>
      <c r="G50" s="466">
        <v>0</v>
      </c>
      <c r="H50" s="466">
        <v>375</v>
      </c>
      <c r="I50" s="467">
        <v>0</v>
      </c>
      <c r="J50" s="467">
        <v>0</v>
      </c>
      <c r="K50" s="1669">
        <f>SUM(C50:J50)</f>
        <v>171731</v>
      </c>
      <c r="L50" s="466">
        <v>175245</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125762</v>
      </c>
      <c r="D53" s="1667">
        <f t="shared" ref="D53:L53" si="5">SUM(D49:D52)</f>
        <v>44798</v>
      </c>
      <c r="E53" s="1667">
        <f t="shared" si="5"/>
        <v>61000</v>
      </c>
      <c r="F53" s="1667">
        <f t="shared" si="5"/>
        <v>2250</v>
      </c>
      <c r="G53" s="1667">
        <f t="shared" si="5"/>
        <v>0</v>
      </c>
      <c r="H53" s="1667">
        <f t="shared" si="5"/>
        <v>6254</v>
      </c>
      <c r="I53" s="1667">
        <f t="shared" si="5"/>
        <v>0</v>
      </c>
      <c r="J53" s="1667">
        <f t="shared" si="5"/>
        <v>0</v>
      </c>
      <c r="K53" s="1667">
        <f t="shared" si="5"/>
        <v>240064</v>
      </c>
      <c r="L53" s="1667">
        <f t="shared" si="5"/>
        <v>251158</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213408</v>
      </c>
      <c r="D55" s="479">
        <v>83972</v>
      </c>
      <c r="E55" s="479">
        <v>1899</v>
      </c>
      <c r="F55" s="479">
        <v>3472</v>
      </c>
      <c r="G55" s="479">
        <v>0</v>
      </c>
      <c r="H55" s="479">
        <v>75</v>
      </c>
      <c r="I55" s="467">
        <v>0</v>
      </c>
      <c r="J55" s="467">
        <v>0</v>
      </c>
      <c r="K55" s="1669">
        <f>SUM(C55:J55)</f>
        <v>302826</v>
      </c>
      <c r="L55" s="479">
        <v>292577</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213408</v>
      </c>
      <c r="D57" s="1671">
        <f t="shared" ref="D57:K57" si="6">SUM(D55:D56)</f>
        <v>83972</v>
      </c>
      <c r="E57" s="1671">
        <f t="shared" si="6"/>
        <v>1899</v>
      </c>
      <c r="F57" s="1671">
        <f t="shared" si="6"/>
        <v>3472</v>
      </c>
      <c r="G57" s="1671">
        <f t="shared" si="6"/>
        <v>0</v>
      </c>
      <c r="H57" s="1671">
        <f t="shared" si="6"/>
        <v>75</v>
      </c>
      <c r="I57" s="1671">
        <f t="shared" si="6"/>
        <v>0</v>
      </c>
      <c r="J57" s="1671">
        <f t="shared" si="6"/>
        <v>0</v>
      </c>
      <c r="K57" s="1671">
        <f t="shared" si="6"/>
        <v>302826</v>
      </c>
      <c r="L57" s="1667">
        <f>SUM(L55:L56)</f>
        <v>292577</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43775</v>
      </c>
      <c r="D60" s="466">
        <v>5686</v>
      </c>
      <c r="E60" s="466">
        <v>9960</v>
      </c>
      <c r="F60" s="466">
        <v>597</v>
      </c>
      <c r="G60" s="466">
        <v>0</v>
      </c>
      <c r="H60" s="466">
        <v>0</v>
      </c>
      <c r="I60" s="467">
        <v>0</v>
      </c>
      <c r="J60" s="467">
        <v>0</v>
      </c>
      <c r="K60" s="1669">
        <f t="shared" si="7"/>
        <v>60018</v>
      </c>
      <c r="L60" s="466">
        <v>62991</v>
      </c>
      <c r="M60" s="606"/>
      <c r="N60" s="606"/>
    </row>
    <row r="61" spans="1:14" s="343" customFormat="1" x14ac:dyDescent="0.2">
      <c r="A61" s="1501" t="s">
        <v>197</v>
      </c>
      <c r="B61" s="611">
        <v>2540</v>
      </c>
      <c r="C61" s="466">
        <v>0</v>
      </c>
      <c r="D61" s="466">
        <v>0</v>
      </c>
      <c r="E61" s="466">
        <v>15744</v>
      </c>
      <c r="F61" s="466">
        <v>127124</v>
      </c>
      <c r="G61" s="466">
        <v>0</v>
      </c>
      <c r="H61" s="466">
        <v>0</v>
      </c>
      <c r="I61" s="467">
        <v>0</v>
      </c>
      <c r="J61" s="467">
        <v>0</v>
      </c>
      <c r="K61" s="1669">
        <f t="shared" si="7"/>
        <v>142868</v>
      </c>
      <c r="L61" s="466">
        <v>150047</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102196</v>
      </c>
      <c r="D63" s="466">
        <v>13712</v>
      </c>
      <c r="E63" s="466">
        <v>3779</v>
      </c>
      <c r="F63" s="466">
        <v>79907</v>
      </c>
      <c r="G63" s="466">
        <v>0</v>
      </c>
      <c r="H63" s="466">
        <v>0</v>
      </c>
      <c r="I63" s="467">
        <v>0</v>
      </c>
      <c r="J63" s="467">
        <v>0</v>
      </c>
      <c r="K63" s="1669">
        <f t="shared" si="7"/>
        <v>199594</v>
      </c>
      <c r="L63" s="466">
        <v>299942</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145971</v>
      </c>
      <c r="D65" s="1667">
        <f t="shared" ref="D65:L65" si="8">SUM(D59:D64)</f>
        <v>19398</v>
      </c>
      <c r="E65" s="1667">
        <f t="shared" si="8"/>
        <v>29483</v>
      </c>
      <c r="F65" s="1667">
        <f t="shared" si="8"/>
        <v>207628</v>
      </c>
      <c r="G65" s="1667">
        <f t="shared" si="8"/>
        <v>0</v>
      </c>
      <c r="H65" s="1667">
        <f t="shared" si="8"/>
        <v>0</v>
      </c>
      <c r="I65" s="1667">
        <f t="shared" si="8"/>
        <v>0</v>
      </c>
      <c r="J65" s="1667">
        <f t="shared" si="8"/>
        <v>0</v>
      </c>
      <c r="K65" s="1667">
        <f t="shared" si="8"/>
        <v>402480</v>
      </c>
      <c r="L65" s="1667">
        <f t="shared" si="8"/>
        <v>512980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35313</v>
      </c>
      <c r="D73" s="467">
        <v>0</v>
      </c>
      <c r="E73" s="467">
        <v>0</v>
      </c>
      <c r="F73" s="467">
        <v>4260</v>
      </c>
      <c r="G73" s="467">
        <v>0</v>
      </c>
      <c r="H73" s="467">
        <v>0</v>
      </c>
      <c r="I73" s="467">
        <v>0</v>
      </c>
      <c r="J73" s="467">
        <v>0</v>
      </c>
      <c r="K73" s="1667">
        <f>SUM(C73:J73)</f>
        <v>39573</v>
      </c>
      <c r="L73" s="573">
        <v>45623</v>
      </c>
      <c r="M73" s="606"/>
      <c r="N73" s="606"/>
    </row>
    <row r="74" spans="1:14" ht="12.75" customHeight="1" thickTop="1" thickBot="1" x14ac:dyDescent="0.25">
      <c r="A74" s="1665" t="s">
        <v>811</v>
      </c>
      <c r="B74" s="1673">
        <v>2000</v>
      </c>
      <c r="C74" s="1674">
        <f>SUM(C42,C47,C53,C57,C65,C72,C73)</f>
        <v>549264</v>
      </c>
      <c r="D74" s="1674">
        <f t="shared" ref="D74:K74" si="10">SUM(D42,D47,D53,D57,D65,D72,D73)</f>
        <v>158591</v>
      </c>
      <c r="E74" s="1674">
        <f t="shared" si="10"/>
        <v>119444</v>
      </c>
      <c r="F74" s="1674">
        <f t="shared" si="10"/>
        <v>227106</v>
      </c>
      <c r="G74" s="1674">
        <f t="shared" si="10"/>
        <v>0</v>
      </c>
      <c r="H74" s="1674">
        <f t="shared" si="10"/>
        <v>6329</v>
      </c>
      <c r="I74" s="1674">
        <f t="shared" si="10"/>
        <v>0</v>
      </c>
      <c r="J74" s="1674">
        <f t="shared" si="10"/>
        <v>0</v>
      </c>
      <c r="K74" s="1674">
        <f t="shared" si="10"/>
        <v>1060734</v>
      </c>
      <c r="L74" s="1674">
        <f>SUM(L42,L47,L53,L57,L65,L72,L73)</f>
        <v>1165988</v>
      </c>
    </row>
    <row r="75" spans="1:14" s="259" customFormat="1" ht="15.75" customHeight="1" thickTop="1" thickBot="1" x14ac:dyDescent="0.25">
      <c r="A75" s="1607" t="s">
        <v>47</v>
      </c>
      <c r="B75" s="1608" t="s">
        <v>575</v>
      </c>
      <c r="C75" s="467">
        <v>0</v>
      </c>
      <c r="D75" s="467">
        <v>0</v>
      </c>
      <c r="E75" s="467">
        <v>5000</v>
      </c>
      <c r="F75" s="467">
        <v>735</v>
      </c>
      <c r="G75" s="467">
        <v>0</v>
      </c>
      <c r="H75" s="467">
        <v>0</v>
      </c>
      <c r="I75" s="467">
        <v>0</v>
      </c>
      <c r="J75" s="467">
        <v>0</v>
      </c>
      <c r="K75" s="1667">
        <f>SUM(C75:J75)</f>
        <v>5735</v>
      </c>
      <c r="L75" s="573">
        <v>1944</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248659</v>
      </c>
      <c r="F79" s="613"/>
      <c r="G79" s="613"/>
      <c r="H79" s="466">
        <v>0</v>
      </c>
      <c r="I79" s="475"/>
      <c r="J79" s="475"/>
      <c r="K79" s="1668">
        <f t="shared" si="11"/>
        <v>248659</v>
      </c>
      <c r="L79" s="466">
        <v>306641</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248659</v>
      </c>
      <c r="F84" s="613"/>
      <c r="G84" s="613"/>
      <c r="H84" s="1667">
        <f>SUM(H78:H83)</f>
        <v>0</v>
      </c>
      <c r="I84" s="475"/>
      <c r="J84" s="475"/>
      <c r="K84" s="1667">
        <f>SUM(K78:K83)</f>
        <v>248659</v>
      </c>
      <c r="L84" s="1667">
        <f>SUM(L78:L83)</f>
        <v>306641</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102427</v>
      </c>
      <c r="I86" s="475"/>
      <c r="J86" s="475"/>
      <c r="K86" s="1674">
        <f t="shared" ref="K86:K98" si="12">H86</f>
        <v>102427</v>
      </c>
      <c r="L86" s="527">
        <v>210000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102427</v>
      </c>
      <c r="I92" s="475"/>
      <c r="J92" s="475"/>
      <c r="K92" s="1674">
        <f t="shared" si="12"/>
        <v>102427</v>
      </c>
      <c r="L92" s="1667">
        <f>SUM(L85:L91)</f>
        <v>210000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248659</v>
      </c>
      <c r="F102" s="613"/>
      <c r="G102" s="613"/>
      <c r="H102" s="1674">
        <f>SUM(H84,H92,H100,H101)</f>
        <v>102427</v>
      </c>
      <c r="I102" s="475"/>
      <c r="J102" s="475"/>
      <c r="K102" s="1674">
        <f>SUM(K84,K92,K100,K101)</f>
        <v>351086</v>
      </c>
      <c r="L102" s="1674">
        <f>SUM(L84,L92,L100,L101)</f>
        <v>516641</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3655657</v>
      </c>
      <c r="D114" s="1667">
        <f t="shared" ref="D114:K114" si="13">SUM(D33,D74,D75,D102,D112,D113)</f>
        <v>773881</v>
      </c>
      <c r="E114" s="1667">
        <f t="shared" si="13"/>
        <v>443176</v>
      </c>
      <c r="F114" s="1667">
        <f t="shared" si="13"/>
        <v>519536</v>
      </c>
      <c r="G114" s="1667">
        <f t="shared" si="13"/>
        <v>5003</v>
      </c>
      <c r="H114" s="1667">
        <f>SUM(H33,H74,H75,H102,H112,H113)</f>
        <v>160935</v>
      </c>
      <c r="I114" s="1667">
        <f t="shared" si="13"/>
        <v>0</v>
      </c>
      <c r="J114" s="1667">
        <f t="shared" si="13"/>
        <v>0</v>
      </c>
      <c r="K114" s="1667">
        <f t="shared" si="13"/>
        <v>5558188</v>
      </c>
      <c r="L114" s="1667">
        <f>SUM(L33,L74,L75,L102,L112,L113)</f>
        <v>5786838</v>
      </c>
    </row>
    <row r="115" spans="1:14" ht="13.5" thickTop="1" x14ac:dyDescent="0.2">
      <c r="A115" s="2178" t="s">
        <v>996</v>
      </c>
      <c r="B115" s="2179"/>
      <c r="C115" s="615"/>
      <c r="D115" s="615"/>
      <c r="E115" s="615"/>
      <c r="F115" s="615"/>
      <c r="G115" s="615"/>
      <c r="H115" s="615"/>
      <c r="I115" s="615"/>
      <c r="J115" s="615"/>
      <c r="K115" s="1681">
        <f>'Revenues 9-14'!C268-'Expenditures 15-22'!K114</f>
        <v>-275923</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6" t="s">
        <v>296</v>
      </c>
      <c r="B117" s="2157"/>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4120</v>
      </c>
    </row>
    <row r="124" spans="1:14" ht="14.25" thickTop="1" thickBot="1" x14ac:dyDescent="0.25">
      <c r="A124" s="1501" t="s">
        <v>197</v>
      </c>
      <c r="B124" s="611">
        <v>2540</v>
      </c>
      <c r="C124" s="466">
        <v>198930</v>
      </c>
      <c r="D124" s="466">
        <v>38430</v>
      </c>
      <c r="E124" s="466">
        <v>97454</v>
      </c>
      <c r="F124" s="466">
        <v>31784</v>
      </c>
      <c r="G124" s="466">
        <v>24984</v>
      </c>
      <c r="H124" s="466">
        <v>0</v>
      </c>
      <c r="I124" s="467">
        <v>0</v>
      </c>
      <c r="J124" s="467">
        <v>0</v>
      </c>
      <c r="K124" s="1667">
        <f>SUM(C124:J124)</f>
        <v>391582</v>
      </c>
      <c r="L124" s="466">
        <v>404081</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198930</v>
      </c>
      <c r="D127" s="1667">
        <f t="shared" ref="D127:L127" si="14">SUM(D122:D126)</f>
        <v>38430</v>
      </c>
      <c r="E127" s="1667">
        <f t="shared" si="14"/>
        <v>97454</v>
      </c>
      <c r="F127" s="1667">
        <f t="shared" si="14"/>
        <v>31784</v>
      </c>
      <c r="G127" s="1667">
        <f t="shared" si="14"/>
        <v>24984</v>
      </c>
      <c r="H127" s="1667">
        <f t="shared" si="14"/>
        <v>0</v>
      </c>
      <c r="I127" s="1667">
        <f t="shared" si="14"/>
        <v>0</v>
      </c>
      <c r="J127" s="1667">
        <f t="shared" si="14"/>
        <v>0</v>
      </c>
      <c r="K127" s="1667">
        <f t="shared" si="14"/>
        <v>391582</v>
      </c>
      <c r="L127" s="1667">
        <f t="shared" si="14"/>
        <v>408201</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198930</v>
      </c>
      <c r="D129" s="1674">
        <f t="shared" ref="D129:L129" si="15">SUM(D120,D127,D128)</f>
        <v>38430</v>
      </c>
      <c r="E129" s="1674">
        <f t="shared" si="15"/>
        <v>97454</v>
      </c>
      <c r="F129" s="1674">
        <f t="shared" si="15"/>
        <v>31784</v>
      </c>
      <c r="G129" s="1674">
        <f t="shared" si="15"/>
        <v>24984</v>
      </c>
      <c r="H129" s="1674">
        <f t="shared" si="15"/>
        <v>0</v>
      </c>
      <c r="I129" s="1674">
        <f t="shared" si="15"/>
        <v>0</v>
      </c>
      <c r="J129" s="1674">
        <f t="shared" si="15"/>
        <v>0</v>
      </c>
      <c r="K129" s="1674">
        <f t="shared" si="15"/>
        <v>391582</v>
      </c>
      <c r="L129" s="1674">
        <f t="shared" si="15"/>
        <v>408201</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5305</v>
      </c>
    </row>
    <row r="151" spans="1:14" ht="12.75" customHeight="1" thickTop="1" thickBot="1" x14ac:dyDescent="0.25">
      <c r="A151" s="2168" t="s">
        <v>620</v>
      </c>
      <c r="B151" s="2150"/>
      <c r="C151" s="1667">
        <f>SUM(C129,C130,C139,C149,C150)</f>
        <v>198930</v>
      </c>
      <c r="D151" s="1667">
        <f t="shared" ref="D151:K151" si="16">SUM(D129,D130,D139,D149,D150)</f>
        <v>38430</v>
      </c>
      <c r="E151" s="1667">
        <f t="shared" si="16"/>
        <v>97454</v>
      </c>
      <c r="F151" s="1667">
        <f t="shared" si="16"/>
        <v>31784</v>
      </c>
      <c r="G151" s="1667">
        <f t="shared" si="16"/>
        <v>24984</v>
      </c>
      <c r="H151" s="1667">
        <f t="shared" si="16"/>
        <v>0</v>
      </c>
      <c r="I151" s="1667">
        <f t="shared" si="16"/>
        <v>0</v>
      </c>
      <c r="J151" s="1667">
        <f t="shared" si="16"/>
        <v>0</v>
      </c>
      <c r="K151" s="1667">
        <f t="shared" si="16"/>
        <v>391582</v>
      </c>
      <c r="L151" s="1667">
        <f>SUM(L129,L130,L139,L149,L150)</f>
        <v>413506</v>
      </c>
    </row>
    <row r="152" spans="1:14" ht="12.75" customHeight="1" thickTop="1" x14ac:dyDescent="0.2">
      <c r="A152" s="2171" t="s">
        <v>1178</v>
      </c>
      <c r="B152" s="2172"/>
      <c r="C152" s="615"/>
      <c r="D152" s="615"/>
      <c r="E152" s="615"/>
      <c r="F152" s="615"/>
      <c r="G152" s="615"/>
      <c r="H152" s="615"/>
      <c r="I152" s="615"/>
      <c r="J152" s="613"/>
      <c r="K152" s="1681">
        <f>'Revenues 9-14'!D268-'Expenditures 15-22'!K151</f>
        <v>49392</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6" t="s">
        <v>621</v>
      </c>
      <c r="B154" s="2158"/>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454448</v>
      </c>
      <c r="I169" s="613"/>
      <c r="J169" s="613"/>
      <c r="K169" s="1668">
        <f>SUM(C169:H169)</f>
        <v>454448</v>
      </c>
      <c r="L169" s="653">
        <v>336910</v>
      </c>
    </row>
    <row r="170" spans="1:14" ht="33.75" customHeight="1" x14ac:dyDescent="0.2">
      <c r="A170" s="666" t="s">
        <v>1670</v>
      </c>
      <c r="B170" s="668" t="s">
        <v>31</v>
      </c>
      <c r="C170" s="613"/>
      <c r="D170" s="613"/>
      <c r="E170" s="613"/>
      <c r="F170" s="613"/>
      <c r="G170" s="613"/>
      <c r="H170" s="566">
        <v>435000</v>
      </c>
      <c r="I170" s="613"/>
      <c r="J170" s="613"/>
      <c r="K170" s="1668">
        <f>SUM(C170:J170)</f>
        <v>435000</v>
      </c>
      <c r="L170" s="566">
        <v>560000</v>
      </c>
    </row>
    <row r="171" spans="1:14" ht="15.75" customHeight="1" x14ac:dyDescent="0.2">
      <c r="A171" s="618" t="s">
        <v>766</v>
      </c>
      <c r="B171" s="669" t="s">
        <v>84</v>
      </c>
      <c r="C171" s="613"/>
      <c r="D171" s="613"/>
      <c r="E171" s="466">
        <v>1800</v>
      </c>
      <c r="F171" s="613"/>
      <c r="G171" s="613"/>
      <c r="H171" s="566">
        <v>0</v>
      </c>
      <c r="I171" s="475"/>
      <c r="J171" s="613"/>
      <c r="K171" s="1668">
        <f>SUM(C171:J171)</f>
        <v>1800</v>
      </c>
      <c r="L171" s="566">
        <v>3090</v>
      </c>
    </row>
    <row r="172" spans="1:14" ht="12.75" customHeight="1" thickBot="1" x14ac:dyDescent="0.25">
      <c r="A172" s="1665" t="s">
        <v>638</v>
      </c>
      <c r="B172" s="1666" t="s">
        <v>492</v>
      </c>
      <c r="C172" s="613"/>
      <c r="D172" s="613"/>
      <c r="E172" s="1674">
        <f>SUM(E168,E169,E170,E171)</f>
        <v>1800</v>
      </c>
      <c r="F172" s="613"/>
      <c r="G172" s="613"/>
      <c r="H172" s="1674">
        <f>SUM(H168,H169,H170,H171)</f>
        <v>889448</v>
      </c>
      <c r="I172" s="635"/>
      <c r="J172" s="613"/>
      <c r="K172" s="1674">
        <f>SUM(K168,K169,K170,K171)</f>
        <v>891248</v>
      </c>
      <c r="L172" s="1674">
        <f>SUM(L168,L169,L170,L171)</f>
        <v>900000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1800</v>
      </c>
      <c r="F174" s="613"/>
      <c r="G174" s="613"/>
      <c r="H174" s="1674">
        <f>SUM(H160,H172,H173)</f>
        <v>889448</v>
      </c>
      <c r="I174" s="635"/>
      <c r="J174" s="613"/>
      <c r="K174" s="1674">
        <f>SUM(K160,K172,K173)</f>
        <v>891248</v>
      </c>
      <c r="L174" s="1674">
        <f>SUM(L160,L172,L173)</f>
        <v>900000</v>
      </c>
    </row>
    <row r="175" spans="1:14" ht="13.5" thickTop="1" x14ac:dyDescent="0.2">
      <c r="A175" s="2178" t="s">
        <v>996</v>
      </c>
      <c r="B175" s="2179"/>
      <c r="C175" s="613"/>
      <c r="D175" s="613"/>
      <c r="E175" s="613"/>
      <c r="F175" s="613"/>
      <c r="G175" s="613"/>
      <c r="H175" s="615"/>
      <c r="I175" s="613"/>
      <c r="J175" s="613"/>
      <c r="K175" s="1681">
        <f>'Revenues 9-14'!E268-'Expenditures 15-22'!K174</f>
        <v>-64958</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229603</v>
      </c>
      <c r="D182" s="466">
        <v>26597</v>
      </c>
      <c r="E182" s="466">
        <v>245465</v>
      </c>
      <c r="F182" s="466">
        <v>40902</v>
      </c>
      <c r="G182" s="466">
        <v>0</v>
      </c>
      <c r="H182" s="466">
        <v>434</v>
      </c>
      <c r="I182" s="467">
        <v>0</v>
      </c>
      <c r="J182" s="467">
        <v>0</v>
      </c>
      <c r="K182" s="1668">
        <f>SUM(C182:J182)</f>
        <v>543001</v>
      </c>
      <c r="L182" s="466">
        <v>559391</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229603</v>
      </c>
      <c r="D184" s="1674">
        <f t="shared" ref="D184:J184" si="17">SUM(D180,D182,D183)</f>
        <v>26597</v>
      </c>
      <c r="E184" s="1674">
        <f t="shared" si="17"/>
        <v>245465</v>
      </c>
      <c r="F184" s="1674">
        <f t="shared" si="17"/>
        <v>40902</v>
      </c>
      <c r="G184" s="1674">
        <f t="shared" si="17"/>
        <v>0</v>
      </c>
      <c r="H184" s="1674">
        <f t="shared" si="17"/>
        <v>434</v>
      </c>
      <c r="I184" s="1674">
        <f t="shared" si="17"/>
        <v>0</v>
      </c>
      <c r="J184" s="1674">
        <f t="shared" si="17"/>
        <v>0</v>
      </c>
      <c r="K184" s="1674">
        <f>SUM(K180,K182,K183)</f>
        <v>543001</v>
      </c>
      <c r="L184" s="1674">
        <f>SUM(L180, L182:L183)</f>
        <v>559391</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10609</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10609</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10609</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229603</v>
      </c>
      <c r="D210" s="1667">
        <f>SUM(D184,D185)</f>
        <v>26597</v>
      </c>
      <c r="E210" s="1667">
        <f>SUM(E184,E185,E196)</f>
        <v>245465</v>
      </c>
      <c r="F210" s="1667">
        <f>SUM(F184,F185)</f>
        <v>40902</v>
      </c>
      <c r="G210" s="1667">
        <f>SUM(G184,G185)</f>
        <v>0</v>
      </c>
      <c r="H210" s="1667">
        <f>SUM(H184,H185,H196,H208,H209)</f>
        <v>434</v>
      </c>
      <c r="I210" s="1667">
        <f>SUM(I184,I185)</f>
        <v>0</v>
      </c>
      <c r="J210" s="1667">
        <f>SUM(J184,J185)</f>
        <v>0</v>
      </c>
      <c r="K210" s="1668">
        <f>SUM(K184,K185,K196,K208,K209)</f>
        <v>543001</v>
      </c>
      <c r="L210" s="1667">
        <f>SUM(L184,L185,L196,L208,L209)</f>
        <v>570000</v>
      </c>
    </row>
    <row r="211" spans="1:14" ht="13.5" thickTop="1" x14ac:dyDescent="0.2">
      <c r="A211" s="2178" t="s">
        <v>996</v>
      </c>
      <c r="B211" s="2179"/>
      <c r="C211" s="615"/>
      <c r="D211" s="615"/>
      <c r="E211" s="615"/>
      <c r="F211" s="615"/>
      <c r="G211" s="615"/>
      <c r="H211" s="615"/>
      <c r="I211" s="613"/>
      <c r="J211" s="613"/>
      <c r="K211" s="1681">
        <f>'Revenues 9-14'!F268-'Expenditures 15-22'!K210</f>
        <v>-48536</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3" t="s">
        <v>965</v>
      </c>
      <c r="B213" s="2174"/>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45696</v>
      </c>
      <c r="E215" s="613"/>
      <c r="F215" s="613"/>
      <c r="G215" s="613"/>
      <c r="H215" s="613"/>
      <c r="I215" s="613"/>
      <c r="J215" s="613"/>
      <c r="K215" s="1668">
        <f>D215</f>
        <v>45696</v>
      </c>
      <c r="L215" s="466">
        <v>45900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35665</v>
      </c>
      <c r="E217" s="613"/>
      <c r="F217" s="613"/>
      <c r="G217" s="613"/>
      <c r="H217" s="613"/>
      <c r="I217" s="613"/>
      <c r="J217" s="613"/>
      <c r="K217" s="1668">
        <f t="shared" si="19"/>
        <v>35665</v>
      </c>
      <c r="L217" s="466">
        <v>32688</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11724</v>
      </c>
      <c r="E219" s="613"/>
      <c r="F219" s="613"/>
      <c r="G219" s="613"/>
      <c r="H219" s="613"/>
      <c r="I219" s="613"/>
      <c r="J219" s="613"/>
      <c r="K219" s="1668">
        <f t="shared" si="19"/>
        <v>11724</v>
      </c>
      <c r="L219" s="466">
        <v>14906</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2964</v>
      </c>
      <c r="E223" s="613"/>
      <c r="F223" s="613"/>
      <c r="G223" s="613"/>
      <c r="H223" s="613"/>
      <c r="I223" s="613"/>
      <c r="J223" s="613"/>
      <c r="K223" s="1668">
        <f t="shared" si="19"/>
        <v>2964</v>
      </c>
      <c r="L223" s="466">
        <v>1397</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96049</v>
      </c>
      <c r="E229" s="613"/>
      <c r="F229" s="613"/>
      <c r="G229" s="613"/>
      <c r="H229" s="613"/>
      <c r="I229" s="613"/>
      <c r="J229" s="613"/>
      <c r="K229" s="1667">
        <f>SUM(K215:K228)</f>
        <v>96049</v>
      </c>
      <c r="L229" s="1667">
        <f>SUM(L215:L228)</f>
        <v>94891</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2217</v>
      </c>
      <c r="E237" s="613"/>
      <c r="F237" s="613"/>
      <c r="G237" s="613"/>
      <c r="H237" s="613"/>
      <c r="I237" s="613"/>
      <c r="J237" s="613"/>
      <c r="K237" s="1668">
        <f t="shared" si="20"/>
        <v>2217</v>
      </c>
      <c r="L237" s="466">
        <v>2871</v>
      </c>
    </row>
    <row r="238" spans="1:12" ht="12.75" customHeight="1" thickBot="1" x14ac:dyDescent="0.25">
      <c r="A238" s="1665" t="s">
        <v>560</v>
      </c>
      <c r="B238" s="1672" t="s">
        <v>716</v>
      </c>
      <c r="C238" s="613"/>
      <c r="D238" s="1667">
        <f>SUM(D232:D237)</f>
        <v>2217</v>
      </c>
      <c r="E238" s="613"/>
      <c r="F238" s="613"/>
      <c r="G238" s="613"/>
      <c r="H238" s="613"/>
      <c r="I238" s="613"/>
      <c r="J238" s="613"/>
      <c r="K238" s="1667">
        <f>SUM(K232:K237)</f>
        <v>2217</v>
      </c>
      <c r="L238" s="1667">
        <f>SUM(L232:L237)</f>
        <v>2871</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2634</v>
      </c>
      <c r="E241" s="613"/>
      <c r="F241" s="613"/>
      <c r="G241" s="613"/>
      <c r="H241" s="613"/>
      <c r="I241" s="613"/>
      <c r="J241" s="613"/>
      <c r="K241" s="1669">
        <f>D241</f>
        <v>2634</v>
      </c>
      <c r="L241" s="466">
        <v>3344</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2634</v>
      </c>
      <c r="E243" s="613"/>
      <c r="F243" s="613"/>
      <c r="G243" s="613"/>
      <c r="H243" s="613"/>
      <c r="I243" s="613"/>
      <c r="J243" s="613"/>
      <c r="K243" s="1667">
        <f>SUM(K240:K242)</f>
        <v>2634</v>
      </c>
      <c r="L243" s="1667">
        <f>SUM(L240:L242)</f>
        <v>3344</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90</v>
      </c>
      <c r="E245" s="613"/>
      <c r="F245" s="613"/>
      <c r="G245" s="613"/>
      <c r="H245" s="613"/>
      <c r="I245" s="613"/>
      <c r="J245" s="613"/>
      <c r="K245" s="1669">
        <f>D245</f>
        <v>90</v>
      </c>
      <c r="L245" s="479">
        <v>48</v>
      </c>
    </row>
    <row r="246" spans="1:12" x14ac:dyDescent="0.2">
      <c r="A246" s="1501" t="s">
        <v>818</v>
      </c>
      <c r="B246" s="611">
        <v>2320</v>
      </c>
      <c r="C246" s="613"/>
      <c r="D246" s="466">
        <v>1812</v>
      </c>
      <c r="E246" s="613"/>
      <c r="F246" s="613"/>
      <c r="G246" s="613"/>
      <c r="H246" s="613"/>
      <c r="I246" s="613"/>
      <c r="J246" s="613"/>
      <c r="K246" s="1669">
        <f t="shared" ref="K246:K256" si="21">D246</f>
        <v>1812</v>
      </c>
      <c r="L246" s="466">
        <v>1770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1902</v>
      </c>
      <c r="E257" s="613"/>
      <c r="F257" s="613"/>
      <c r="G257" s="613"/>
      <c r="H257" s="613"/>
      <c r="I257" s="613"/>
      <c r="J257" s="613"/>
      <c r="K257" s="1667">
        <f>SUM(K245:K256)</f>
        <v>1902</v>
      </c>
      <c r="L257" s="1667">
        <f>SUM(L245:L256)</f>
        <v>1818</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9738</v>
      </c>
      <c r="E259" s="613"/>
      <c r="F259" s="613"/>
      <c r="G259" s="613"/>
      <c r="H259" s="613"/>
      <c r="I259" s="613"/>
      <c r="J259" s="613"/>
      <c r="K259" s="1669">
        <f>D259</f>
        <v>9738</v>
      </c>
      <c r="L259" s="479">
        <v>15470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9738</v>
      </c>
      <c r="E261" s="613"/>
      <c r="F261" s="613"/>
      <c r="G261" s="613"/>
      <c r="H261" s="613"/>
      <c r="I261" s="613"/>
      <c r="J261" s="613"/>
      <c r="K261" s="1667">
        <f>SUM(K259:K260)</f>
        <v>9738</v>
      </c>
      <c r="L261" s="1667">
        <f>SUM(L259:L260)</f>
        <v>15470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7745</v>
      </c>
      <c r="E264" s="613"/>
      <c r="F264" s="613"/>
      <c r="G264" s="613"/>
      <c r="H264" s="613"/>
      <c r="I264" s="613"/>
      <c r="J264" s="613"/>
      <c r="K264" s="1669">
        <f t="shared" ref="K264:K269" si="22">D264</f>
        <v>7745</v>
      </c>
      <c r="L264" s="466">
        <v>9800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33147</v>
      </c>
      <c r="E266" s="613"/>
      <c r="F266" s="613"/>
      <c r="G266" s="613"/>
      <c r="H266" s="613"/>
      <c r="I266" s="613"/>
      <c r="J266" s="613"/>
      <c r="K266" s="1669">
        <f t="shared" si="22"/>
        <v>33147</v>
      </c>
      <c r="L266" s="466">
        <v>44194</v>
      </c>
    </row>
    <row r="267" spans="1:14" x14ac:dyDescent="0.2">
      <c r="A267" s="1501" t="s">
        <v>953</v>
      </c>
      <c r="B267" s="611">
        <v>2550</v>
      </c>
      <c r="C267" s="613"/>
      <c r="D267" s="466">
        <v>29289</v>
      </c>
      <c r="E267" s="613"/>
      <c r="F267" s="613"/>
      <c r="G267" s="613"/>
      <c r="H267" s="613"/>
      <c r="I267" s="613"/>
      <c r="J267" s="613"/>
      <c r="K267" s="1669">
        <f t="shared" si="22"/>
        <v>29289</v>
      </c>
      <c r="L267" s="466">
        <v>40754</v>
      </c>
    </row>
    <row r="268" spans="1:14" x14ac:dyDescent="0.2">
      <c r="A268" s="1501" t="s">
        <v>100</v>
      </c>
      <c r="B268" s="611">
        <v>2560</v>
      </c>
      <c r="C268" s="613"/>
      <c r="D268" s="466">
        <v>15450</v>
      </c>
      <c r="E268" s="613"/>
      <c r="F268" s="613"/>
      <c r="G268" s="613"/>
      <c r="H268" s="613"/>
      <c r="I268" s="613"/>
      <c r="J268" s="613"/>
      <c r="K268" s="1669">
        <f t="shared" si="22"/>
        <v>15450</v>
      </c>
      <c r="L268" s="466">
        <v>22061</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85631</v>
      </c>
      <c r="E270" s="613"/>
      <c r="F270" s="613"/>
      <c r="G270" s="613"/>
      <c r="H270" s="613"/>
      <c r="I270" s="613"/>
      <c r="J270" s="613"/>
      <c r="K270" s="1667">
        <f>SUM(K263:K269)</f>
        <v>85631</v>
      </c>
      <c r="L270" s="1667">
        <f>SUM(L263:L269)</f>
        <v>116809</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3725</v>
      </c>
      <c r="E278" s="613"/>
      <c r="F278" s="613"/>
      <c r="G278" s="613"/>
      <c r="H278" s="613"/>
      <c r="I278" s="613"/>
      <c r="J278" s="613"/>
      <c r="K278" s="1682">
        <f>D278</f>
        <v>3725</v>
      </c>
      <c r="L278" s="653">
        <v>4370</v>
      </c>
    </row>
    <row r="279" spans="1:12" ht="12.75" customHeight="1" thickBot="1" x14ac:dyDescent="0.25">
      <c r="A279" s="1695" t="s">
        <v>811</v>
      </c>
      <c r="B279" s="1678">
        <v>2000</v>
      </c>
      <c r="C279" s="613"/>
      <c r="D279" s="1674">
        <f>SUM(D238,D243,D257,D261,D270,D277,D278)</f>
        <v>105847</v>
      </c>
      <c r="E279" s="613"/>
      <c r="F279" s="613"/>
      <c r="G279" s="613"/>
      <c r="H279" s="613"/>
      <c r="I279" s="613"/>
      <c r="J279" s="613"/>
      <c r="K279" s="1674">
        <f>SUM(K238,K243,K257,K261,K270,K277,K278)</f>
        <v>105847</v>
      </c>
      <c r="L279" s="1674">
        <f>SUM(L238,L243,L257,L261,L270,L277,L278)</f>
        <v>144682</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69" t="s">
        <v>505</v>
      </c>
      <c r="B295" s="2170"/>
      <c r="C295" s="613"/>
      <c r="D295" s="1667">
        <f>SUM(D229,D279,D280,D285)</f>
        <v>201896</v>
      </c>
      <c r="E295" s="613"/>
      <c r="F295" s="613"/>
      <c r="G295" s="613"/>
      <c r="H295" s="1667">
        <f>H293</f>
        <v>0</v>
      </c>
      <c r="I295" s="613"/>
      <c r="J295" s="613"/>
      <c r="K295" s="1667">
        <f>SUM(K229,K279,K280,K285,K293,K294)</f>
        <v>201896</v>
      </c>
      <c r="L295" s="1667">
        <f>SUM(L229,L279,L280,L285,L293,L294)</f>
        <v>239573</v>
      </c>
    </row>
    <row r="296" spans="1:14" ht="13.5" thickTop="1" x14ac:dyDescent="0.2">
      <c r="A296" s="2178" t="s">
        <v>996</v>
      </c>
      <c r="B296" s="2179"/>
      <c r="C296" s="613"/>
      <c r="D296" s="615"/>
      <c r="E296" s="613"/>
      <c r="F296" s="613"/>
      <c r="G296" s="613"/>
      <c r="H296" s="684"/>
      <c r="I296" s="613"/>
      <c r="J296" s="613"/>
      <c r="K296" s="1681">
        <f>'Revenues 9-14'!G268-'Expenditures 15-22'!K295</f>
        <v>1995</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1" t="s">
        <v>143</v>
      </c>
      <c r="B298" s="2155"/>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17544</v>
      </c>
      <c r="H301" s="466">
        <v>0</v>
      </c>
      <c r="I301" s="467">
        <v>0</v>
      </c>
      <c r="J301" s="467">
        <v>0</v>
      </c>
      <c r="K301" s="1668">
        <f>SUM(C301:J301)</f>
        <v>17544</v>
      </c>
      <c r="L301" s="467">
        <v>18000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17544</v>
      </c>
      <c r="H303" s="1674">
        <f t="shared" si="23"/>
        <v>0</v>
      </c>
      <c r="I303" s="1674">
        <f t="shared" si="23"/>
        <v>0</v>
      </c>
      <c r="J303" s="1674">
        <f t="shared" si="23"/>
        <v>0</v>
      </c>
      <c r="K303" s="1674">
        <f t="shared" si="23"/>
        <v>17544</v>
      </c>
      <c r="L303" s="1674">
        <f t="shared" si="23"/>
        <v>18000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6" t="s">
        <v>277</v>
      </c>
      <c r="B312" s="2167"/>
      <c r="C312" s="1667">
        <f>SUM(C303)</f>
        <v>0</v>
      </c>
      <c r="D312" s="1667">
        <f>SUM(D303)</f>
        <v>0</v>
      </c>
      <c r="E312" s="1667">
        <f>SUM(E303,E310)</f>
        <v>0</v>
      </c>
      <c r="F312" s="1667">
        <f>SUM(F303)</f>
        <v>0</v>
      </c>
      <c r="G312" s="1667">
        <f>SUM(G303)</f>
        <v>17544</v>
      </c>
      <c r="H312" s="1667">
        <f>SUM(H303,H310)</f>
        <v>0</v>
      </c>
      <c r="I312" s="1667">
        <f>SUM(I303)</f>
        <v>0</v>
      </c>
      <c r="J312" s="1667">
        <f>SUM(J303)</f>
        <v>0</v>
      </c>
      <c r="K312" s="1667">
        <f>SUM(K303,K310,K311)</f>
        <v>17544</v>
      </c>
      <c r="L312" s="1667">
        <f>SUM(L303,L310,L311)</f>
        <v>18000</v>
      </c>
      <c r="M312" s="662"/>
      <c r="N312" s="662"/>
    </row>
    <row r="313" spans="1:14" ht="13.5" thickTop="1" x14ac:dyDescent="0.2">
      <c r="A313" s="2162" t="s">
        <v>996</v>
      </c>
      <c r="B313" s="2163"/>
      <c r="C313" s="623"/>
      <c r="D313" s="623"/>
      <c r="E313" s="623"/>
      <c r="F313" s="623"/>
      <c r="G313" s="623"/>
      <c r="H313" s="623"/>
      <c r="I313" s="623"/>
      <c r="J313" s="623"/>
      <c r="K313" s="1682">
        <f>'Revenues 9-14'!H268-'Expenditures 15-22'!K312</f>
        <v>166607</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5" t="s">
        <v>149</v>
      </c>
      <c r="B315" s="2176"/>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7" t="s">
        <v>898</v>
      </c>
      <c r="B317" s="2176"/>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37051</v>
      </c>
      <c r="F320" s="467">
        <v>0</v>
      </c>
      <c r="G320" s="467">
        <v>0</v>
      </c>
      <c r="H320" s="467">
        <v>0</v>
      </c>
      <c r="I320" s="467">
        <v>0</v>
      </c>
      <c r="J320" s="467">
        <v>0</v>
      </c>
      <c r="K320" s="1668">
        <f t="shared" ref="K320:K327" si="24">SUM(C320:J320)</f>
        <v>37051</v>
      </c>
      <c r="L320" s="467">
        <v>48801</v>
      </c>
      <c r="M320" s="662"/>
      <c r="N320" s="662"/>
    </row>
    <row r="321" spans="1:14" s="671" customFormat="1" x14ac:dyDescent="0.2">
      <c r="A321" s="1516" t="s">
        <v>300</v>
      </c>
      <c r="B321" s="694" t="s">
        <v>283</v>
      </c>
      <c r="C321" s="467">
        <v>0</v>
      </c>
      <c r="D321" s="467">
        <v>0</v>
      </c>
      <c r="E321" s="467">
        <v>10698</v>
      </c>
      <c r="F321" s="467">
        <v>0</v>
      </c>
      <c r="G321" s="467">
        <v>0</v>
      </c>
      <c r="H321" s="467">
        <v>0</v>
      </c>
      <c r="I321" s="467">
        <v>0</v>
      </c>
      <c r="J321" s="467">
        <v>0</v>
      </c>
      <c r="K321" s="1668">
        <f t="shared" si="24"/>
        <v>10698</v>
      </c>
      <c r="L321" s="467">
        <v>21218</v>
      </c>
      <c r="M321" s="662"/>
      <c r="N321" s="662"/>
    </row>
    <row r="322" spans="1:14" s="671" customFormat="1" x14ac:dyDescent="0.2">
      <c r="A322" s="1516" t="s">
        <v>238</v>
      </c>
      <c r="B322" s="694" t="s">
        <v>284</v>
      </c>
      <c r="C322" s="467">
        <v>0</v>
      </c>
      <c r="D322" s="467">
        <v>0</v>
      </c>
      <c r="E322" s="467">
        <v>45152</v>
      </c>
      <c r="F322" s="467">
        <v>0</v>
      </c>
      <c r="G322" s="467">
        <v>0</v>
      </c>
      <c r="H322" s="467">
        <v>0</v>
      </c>
      <c r="I322" s="467">
        <v>0</v>
      </c>
      <c r="J322" s="467">
        <v>0</v>
      </c>
      <c r="K322" s="1668">
        <f t="shared" si="24"/>
        <v>45152</v>
      </c>
      <c r="L322" s="467">
        <v>42437</v>
      </c>
      <c r="M322" s="662"/>
      <c r="N322" s="662"/>
    </row>
    <row r="323" spans="1:14" s="671" customFormat="1" x14ac:dyDescent="0.2">
      <c r="A323" s="1516" t="s">
        <v>702</v>
      </c>
      <c r="B323" s="694" t="s">
        <v>285</v>
      </c>
      <c r="C323" s="467">
        <v>0</v>
      </c>
      <c r="D323" s="467">
        <v>0</v>
      </c>
      <c r="E323" s="467">
        <v>11250</v>
      </c>
      <c r="F323" s="467">
        <v>0</v>
      </c>
      <c r="G323" s="467">
        <v>0</v>
      </c>
      <c r="H323" s="467">
        <v>0</v>
      </c>
      <c r="I323" s="467">
        <v>0</v>
      </c>
      <c r="J323" s="467">
        <v>0</v>
      </c>
      <c r="K323" s="1668">
        <f t="shared" si="24"/>
        <v>11250</v>
      </c>
      <c r="L323" s="467">
        <v>6137</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16015</v>
      </c>
      <c r="F325" s="467">
        <v>0</v>
      </c>
      <c r="G325" s="467">
        <v>0</v>
      </c>
      <c r="H325" s="467">
        <v>0</v>
      </c>
      <c r="I325" s="467">
        <v>0</v>
      </c>
      <c r="J325" s="467">
        <v>0</v>
      </c>
      <c r="K325" s="1668">
        <f t="shared" si="24"/>
        <v>16015</v>
      </c>
      <c r="L325" s="467">
        <v>5251</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3527</v>
      </c>
      <c r="F327" s="467">
        <v>0</v>
      </c>
      <c r="G327" s="467">
        <v>0</v>
      </c>
      <c r="H327" s="467">
        <v>0</v>
      </c>
      <c r="I327" s="467">
        <v>0</v>
      </c>
      <c r="J327" s="467">
        <v>0</v>
      </c>
      <c r="K327" s="1668">
        <f t="shared" si="24"/>
        <v>3527</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123693</v>
      </c>
      <c r="F330" s="1667">
        <f t="shared" si="25"/>
        <v>0</v>
      </c>
      <c r="G330" s="1667">
        <f t="shared" si="25"/>
        <v>0</v>
      </c>
      <c r="H330" s="1667">
        <f t="shared" si="25"/>
        <v>0</v>
      </c>
      <c r="I330" s="1667">
        <f t="shared" si="25"/>
        <v>0</v>
      </c>
      <c r="J330" s="1667">
        <f t="shared" si="25"/>
        <v>0</v>
      </c>
      <c r="K330" s="1667">
        <f>SUM(K319:K329)</f>
        <v>123693</v>
      </c>
      <c r="L330" s="1667">
        <f>SUM(L319:L329)</f>
        <v>123844</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123693</v>
      </c>
      <c r="F342" s="1667">
        <f>SUM(F330)</f>
        <v>0</v>
      </c>
      <c r="G342" s="1667">
        <f>SUM(G330)</f>
        <v>0</v>
      </c>
      <c r="H342" s="1667">
        <f>SUM(H330,H334,H340)</f>
        <v>0</v>
      </c>
      <c r="I342" s="1667">
        <f>SUM(I330)</f>
        <v>0</v>
      </c>
      <c r="J342" s="1667">
        <f>SUM(J330)</f>
        <v>0</v>
      </c>
      <c r="K342" s="1667">
        <f>SUM(K330,K334,K340)</f>
        <v>123693</v>
      </c>
      <c r="L342" s="1674">
        <f>SUM(L330,L340,L341)</f>
        <v>123844</v>
      </c>
    </row>
    <row r="343" spans="1:14" ht="12.75" customHeight="1" thickTop="1" x14ac:dyDescent="0.2">
      <c r="A343" s="2164" t="s">
        <v>996</v>
      </c>
      <c r="B343" s="2165"/>
      <c r="C343" s="613"/>
      <c r="D343" s="613"/>
      <c r="E343" s="613"/>
      <c r="F343" s="613"/>
      <c r="G343" s="613"/>
      <c r="H343" s="613"/>
      <c r="I343" s="613"/>
      <c r="J343" s="613"/>
      <c r="K343" s="1681">
        <f>'Revenues 9-14'!J268-'Expenditures 15-22'!K342</f>
        <v>-23535</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4" t="s">
        <v>966</v>
      </c>
      <c r="B345" s="2155"/>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43137</v>
      </c>
      <c r="F348" s="466">
        <v>21559</v>
      </c>
      <c r="G348" s="466">
        <v>0</v>
      </c>
      <c r="H348" s="466">
        <v>0</v>
      </c>
      <c r="I348" s="467">
        <v>0</v>
      </c>
      <c r="J348" s="467">
        <v>0</v>
      </c>
      <c r="K348" s="1668">
        <f>SUM(C348:J348)</f>
        <v>64696</v>
      </c>
      <c r="L348" s="466">
        <v>90000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43137</v>
      </c>
      <c r="F350" s="1667">
        <f t="shared" si="26"/>
        <v>21559</v>
      </c>
      <c r="G350" s="1667">
        <f t="shared" si="26"/>
        <v>0</v>
      </c>
      <c r="H350" s="1667">
        <f t="shared" si="26"/>
        <v>0</v>
      </c>
      <c r="I350" s="1667">
        <f t="shared" si="26"/>
        <v>0</v>
      </c>
      <c r="J350" s="1667">
        <f t="shared" si="26"/>
        <v>0</v>
      </c>
      <c r="K350" s="1667">
        <f t="shared" si="26"/>
        <v>64696</v>
      </c>
      <c r="L350" s="1667">
        <f t="shared" si="26"/>
        <v>90000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43137</v>
      </c>
      <c r="F352" s="1667">
        <f t="shared" si="27"/>
        <v>21559</v>
      </c>
      <c r="G352" s="1667">
        <f t="shared" si="27"/>
        <v>0</v>
      </c>
      <c r="H352" s="1667">
        <f t="shared" si="27"/>
        <v>0</v>
      </c>
      <c r="I352" s="1667">
        <f t="shared" si="27"/>
        <v>0</v>
      </c>
      <c r="J352" s="1667">
        <f t="shared" si="27"/>
        <v>0</v>
      </c>
      <c r="K352" s="1667">
        <f t="shared" si="27"/>
        <v>64696</v>
      </c>
      <c r="L352" s="1667">
        <f t="shared" si="27"/>
        <v>90000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43137</v>
      </c>
      <c r="F367" s="1667">
        <f t="shared" si="28"/>
        <v>21559</v>
      </c>
      <c r="G367" s="1667">
        <f t="shared" si="28"/>
        <v>0</v>
      </c>
      <c r="H367" s="1667">
        <f t="shared" si="28"/>
        <v>0</v>
      </c>
      <c r="I367" s="1667">
        <f t="shared" si="28"/>
        <v>0</v>
      </c>
      <c r="J367" s="1667">
        <f t="shared" si="28"/>
        <v>0</v>
      </c>
      <c r="K367" s="1667">
        <f t="shared" si="28"/>
        <v>64696</v>
      </c>
      <c r="L367" s="1667">
        <f t="shared" si="28"/>
        <v>90000</v>
      </c>
    </row>
    <row r="368" spans="1:14" ht="13.5" thickTop="1" x14ac:dyDescent="0.2">
      <c r="A368" s="2178" t="s">
        <v>996</v>
      </c>
      <c r="B368" s="2179"/>
      <c r="C368" s="651"/>
      <c r="D368" s="651"/>
      <c r="E368" s="623"/>
      <c r="F368" s="623"/>
      <c r="G368" s="623"/>
      <c r="H368" s="623"/>
      <c r="I368" s="623"/>
      <c r="J368" s="620"/>
      <c r="K368" s="1668">
        <f>'Revenues 9-14'!K268-'Expenditures 15-22'!K367</f>
        <v>23587</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2006/metadata/properties"/>
    <ds:schemaRef ds:uri="http://schemas.microsoft.com/sharepoint/v3"/>
    <ds:schemaRef ds:uri="http://purl.org/dc/terms/"/>
    <ds:schemaRef ds:uri="http://schemas.microsoft.com/office/infopath/2007/PartnerControls"/>
    <ds:schemaRef ds:uri="http://schemas.openxmlformats.org/package/2006/metadata/core-properties"/>
    <ds:schemaRef ds:uri="d21dc803-237d-4c68-8692-8d731fd29118"/>
    <ds:schemaRef ds:uri="http://schemas.microsoft.com/office/2006/documentManagement/types"/>
    <ds:schemaRef ds:uri="4d435f69-8686-490b-bd6d-b153bf22ab50"/>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2019-09-27T16:05:15Z</cp:lastPrinted>
  <dcterms:created xsi:type="dcterms:W3CDTF">2003-10-29T19:06:34Z</dcterms:created>
  <dcterms:modified xsi:type="dcterms:W3CDTF">2019-11-20T15:33:56Z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